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1-chenying110\共享文件夹\电子版测算表\军队吉林延吉\"/>
    </mc:Choice>
  </mc:AlternateContent>
  <xr:revisionPtr revIDLastSave="0" documentId="13_ncr:1_{91D0ADBB-BF1F-40F8-88C4-3FEDBA1D0ADE}" xr6:coauthVersionLast="45" xr6:coauthVersionMax="45" xr10:uidLastSave="{00000000-0000-0000-0000-000000000000}"/>
  <bookViews>
    <workbookView xWindow="0" yWindow="0" windowWidth="13320" windowHeight="12885" tabRatio="899" firstSheet="15" activeTab="19"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经营性测算" sheetId="82" r:id="rId16"/>
    <sheet name="Sheet1" sheetId="81" r:id="rId17"/>
    <sheet name="估价对象房地状况" sheetId="20" r:id="rId18"/>
    <sheet name="系统读取表" sheetId="74" r:id="rId19"/>
    <sheet name="结果表" sheetId="9" r:id="rId20"/>
    <sheet name="成本法" sheetId="68" r:id="rId21"/>
    <sheet name="成本法 (元)" sheetId="69" state="hidden" r:id="rId22"/>
    <sheet name="假设开发法" sheetId="12" state="hidden"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比较法-土地" sheetId="78" r:id="rId47"/>
    <sheet name="土地案例（延吉）" sheetId="79" r:id="rId48"/>
    <sheet name="资料" sheetId="80" r:id="rId49"/>
  </sheets>
  <externalReferences>
    <externalReference r:id="rId50"/>
    <externalReference r:id="rId51"/>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46" hidden="1">'比较法-土地'!$A$1:$L$50</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46">'比较法-土地'!$A$1:$K$67,'比较法-土地'!$A$71:$N$134</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2">假设开发法!$A$1:$K$32</definedName>
    <definedName name="_xlnm.Print_Area" localSheetId="19">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8">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15">[1]定义!$D$1:$D$4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工程地质条件">'[2]比较法-工业'!$B$116:$M$116</definedName>
    <definedName name="套工交易情况">'土地比较法-住宅、综合'!$A$73:$M$73</definedName>
    <definedName name="套工开发程度">'[2]比较法-工业'!$B$114:$M$114</definedName>
    <definedName name="套工临街等级">'[2]比较法-工业'!$B$99:$M$99</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1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[2]定义!$A$1:$A$50</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7" i="82" l="1"/>
  <c r="R14" i="82" s="1"/>
  <c r="B5" i="82"/>
  <c r="B4" i="82"/>
  <c r="N43" i="82"/>
  <c r="R43" i="82" s="1"/>
  <c r="R40" i="82"/>
  <c r="R41" i="82" s="1"/>
  <c r="R35" i="82" s="1"/>
  <c r="U34" i="82" s="1"/>
  <c r="F36" i="82"/>
  <c r="R34" i="82"/>
  <c r="R33" i="82"/>
  <c r="C30" i="82"/>
  <c r="R27" i="82"/>
  <c r="M24" i="82"/>
  <c r="N19" i="82"/>
  <c r="M14" i="82"/>
  <c r="N14" i="82" s="1"/>
  <c r="R4" i="82"/>
  <c r="R3" i="82"/>
  <c r="F1" i="82"/>
  <c r="R24" i="82" l="1"/>
  <c r="R19" i="82"/>
  <c r="R25" i="82"/>
  <c r="Y6" i="1"/>
  <c r="AD6" i="1" s="1"/>
  <c r="R5" i="82" l="1"/>
  <c r="D30" i="81"/>
  <c r="D29" i="81"/>
  <c r="F14" i="81"/>
  <c r="H35" i="81" s="1"/>
  <c r="I35" i="81" s="1"/>
  <c r="B43" i="81" s="1"/>
  <c r="C24" i="81"/>
  <c r="D35" i="81" s="1"/>
  <c r="E35" i="81" s="1"/>
  <c r="B39" i="81" s="1"/>
  <c r="A5" i="81"/>
  <c r="A2" i="81"/>
  <c r="A4" i="81" s="1"/>
  <c r="A6" i="81" s="1"/>
  <c r="A7" i="81" s="1"/>
  <c r="U5" i="82" l="1"/>
  <c r="D6" i="82"/>
  <c r="H37" i="81"/>
  <c r="I37" i="81" s="1"/>
  <c r="B45" i="81" s="1"/>
  <c r="H36" i="81"/>
  <c r="I36" i="81" s="1"/>
  <c r="B44" i="81" s="1"/>
  <c r="B46" i="81" s="1"/>
  <c r="D36" i="81"/>
  <c r="E36" i="81" s="1"/>
  <c r="B40" i="81" s="1"/>
  <c r="B42" i="81" s="1"/>
  <c r="D37" i="81"/>
  <c r="E37" i="81" s="1"/>
  <c r="B41" i="81" s="1"/>
  <c r="O34" i="79"/>
  <c r="S33" i="79"/>
  <c r="S32" i="79"/>
  <c r="S31" i="79"/>
  <c r="O31" i="79"/>
  <c r="S30" i="79"/>
  <c r="S29" i="79"/>
  <c r="S28" i="79"/>
  <c r="S27" i="79"/>
  <c r="S26" i="79"/>
  <c r="O26" i="79"/>
  <c r="S25" i="79"/>
  <c r="S24" i="79"/>
  <c r="S23" i="79"/>
  <c r="S22" i="79"/>
  <c r="S21" i="79"/>
  <c r="S20" i="79"/>
  <c r="S19" i="79"/>
  <c r="S18" i="79"/>
  <c r="O18" i="79"/>
  <c r="S17" i="79"/>
  <c r="S16" i="79"/>
  <c r="S15" i="79"/>
  <c r="S14" i="79"/>
  <c r="S13" i="79"/>
  <c r="S12" i="79"/>
  <c r="S11" i="79"/>
  <c r="O11" i="79"/>
  <c r="E48" i="78" s="1"/>
  <c r="R48" i="78" s="1"/>
  <c r="S10" i="79"/>
  <c r="O10" i="79"/>
  <c r="S9" i="79"/>
  <c r="O9" i="79"/>
  <c r="S8" i="79"/>
  <c r="O8" i="79"/>
  <c r="S7" i="79"/>
  <c r="O7" i="79"/>
  <c r="S6" i="79"/>
  <c r="O6" i="79"/>
  <c r="S5" i="79"/>
  <c r="O5" i="79"/>
  <c r="S4" i="79"/>
  <c r="O4" i="79"/>
  <c r="S3" i="79"/>
  <c r="O3" i="79"/>
  <c r="S2" i="79"/>
  <c r="O2" i="79"/>
  <c r="B133" i="78"/>
  <c r="B131" i="78"/>
  <c r="J46" i="78" s="1"/>
  <c r="AC46" i="78" s="1"/>
  <c r="B129" i="78"/>
  <c r="D128" i="78"/>
  <c r="E128" i="78" s="1"/>
  <c r="F128" i="78" s="1"/>
  <c r="G128" i="78" s="1"/>
  <c r="H128" i="78" s="1"/>
  <c r="I128" i="78" s="1"/>
  <c r="J128" i="78" s="1"/>
  <c r="K128" i="78" s="1"/>
  <c r="L128" i="78" s="1"/>
  <c r="M128" i="78" s="1"/>
  <c r="D126" i="78"/>
  <c r="E126" i="78" s="1"/>
  <c r="F126" i="78" s="1"/>
  <c r="G126" i="78" s="1"/>
  <c r="H126" i="78" s="1"/>
  <c r="I126" i="78" s="1"/>
  <c r="J126" i="78" s="1"/>
  <c r="K126" i="78" s="1"/>
  <c r="L126" i="78" s="1"/>
  <c r="M126" i="78" s="1"/>
  <c r="D124" i="78"/>
  <c r="E124" i="78" s="1"/>
  <c r="F124" i="78" s="1"/>
  <c r="G124" i="78" s="1"/>
  <c r="H124" i="78" s="1"/>
  <c r="I124" i="78" s="1"/>
  <c r="J124" i="78" s="1"/>
  <c r="K124" i="78" s="1"/>
  <c r="L124" i="78" s="1"/>
  <c r="M124" i="78" s="1"/>
  <c r="D122" i="78"/>
  <c r="E122" i="78" s="1"/>
  <c r="F122" i="78" s="1"/>
  <c r="G122" i="78" s="1"/>
  <c r="H122" i="78" s="1"/>
  <c r="I122" i="78" s="1"/>
  <c r="J122" i="78" s="1"/>
  <c r="K122" i="78" s="1"/>
  <c r="L122" i="78" s="1"/>
  <c r="M122" i="78" s="1"/>
  <c r="M118" i="78"/>
  <c r="L118" i="78"/>
  <c r="K118" i="78"/>
  <c r="J118" i="78"/>
  <c r="I118" i="78"/>
  <c r="H118" i="78"/>
  <c r="G118" i="78"/>
  <c r="F118" i="78"/>
  <c r="E118" i="78"/>
  <c r="D118" i="78"/>
  <c r="C118" i="78"/>
  <c r="B116" i="78"/>
  <c r="B114" i="78"/>
  <c r="H38" i="78" s="1"/>
  <c r="AB38" i="78" s="1"/>
  <c r="B112" i="78"/>
  <c r="E111" i="78"/>
  <c r="F111" i="78" s="1"/>
  <c r="G111" i="78" s="1"/>
  <c r="H111" i="78" s="1"/>
  <c r="I111" i="78" s="1"/>
  <c r="J111" i="78" s="1"/>
  <c r="K111" i="78" s="1"/>
  <c r="L111" i="78" s="1"/>
  <c r="M111" i="78" s="1"/>
  <c r="D111" i="78"/>
  <c r="D109" i="78"/>
  <c r="E109" i="78" s="1"/>
  <c r="F109" i="78" s="1"/>
  <c r="G109" i="78" s="1"/>
  <c r="H109" i="78" s="1"/>
  <c r="I109" i="78" s="1"/>
  <c r="J109" i="78" s="1"/>
  <c r="K109" i="78" s="1"/>
  <c r="L109" i="78" s="1"/>
  <c r="M109" i="78" s="1"/>
  <c r="D107" i="78"/>
  <c r="E107" i="78" s="1"/>
  <c r="F107" i="78" s="1"/>
  <c r="G107" i="78" s="1"/>
  <c r="H107" i="78" s="1"/>
  <c r="I107" i="78" s="1"/>
  <c r="J107" i="78" s="1"/>
  <c r="K107" i="78" s="1"/>
  <c r="L107" i="78" s="1"/>
  <c r="M107" i="78" s="1"/>
  <c r="B106" i="78"/>
  <c r="E105" i="78"/>
  <c r="F105" i="78" s="1"/>
  <c r="G105" i="78" s="1"/>
  <c r="D105" i="78"/>
  <c r="D103" i="78"/>
  <c r="E103" i="78" s="1"/>
  <c r="F103" i="78" s="1"/>
  <c r="G103" i="78" s="1"/>
  <c r="D101" i="78"/>
  <c r="E101" i="78" s="1"/>
  <c r="D99" i="78"/>
  <c r="E99" i="78" s="1"/>
  <c r="F99" i="78" s="1"/>
  <c r="G99" i="78" s="1"/>
  <c r="D97" i="78"/>
  <c r="E97" i="78" s="1"/>
  <c r="F97" i="78" s="1"/>
  <c r="G97" i="78" s="1"/>
  <c r="D95" i="78"/>
  <c r="E95" i="78" s="1"/>
  <c r="F95" i="78" s="1"/>
  <c r="G95" i="78" s="1"/>
  <c r="D93" i="78"/>
  <c r="E93" i="78" s="1"/>
  <c r="D91" i="78"/>
  <c r="E91" i="78" s="1"/>
  <c r="F91" i="78" s="1"/>
  <c r="G91" i="78" s="1"/>
  <c r="B88" i="78"/>
  <c r="H16" i="78" s="1"/>
  <c r="AB16" i="78" s="1"/>
  <c r="B86" i="78"/>
  <c r="B84" i="78"/>
  <c r="H14" i="78" s="1"/>
  <c r="AB14" i="78" s="1"/>
  <c r="D83" i="78"/>
  <c r="E83" i="78" s="1"/>
  <c r="F83" i="78" s="1"/>
  <c r="G83" i="78" s="1"/>
  <c r="H83" i="78" s="1"/>
  <c r="I83" i="78" s="1"/>
  <c r="J83" i="78" s="1"/>
  <c r="K83" i="78" s="1"/>
  <c r="L83" i="78" s="1"/>
  <c r="M83" i="78" s="1"/>
  <c r="M81" i="78"/>
  <c r="L81" i="78"/>
  <c r="K81" i="78"/>
  <c r="J81" i="78"/>
  <c r="I81" i="78"/>
  <c r="H81" i="78"/>
  <c r="G81" i="78"/>
  <c r="F81" i="78"/>
  <c r="E81" i="78"/>
  <c r="D81" i="78"/>
  <c r="C81" i="78"/>
  <c r="D77" i="78"/>
  <c r="C77" i="78"/>
  <c r="H11" i="78" s="1"/>
  <c r="AB11" i="78" s="1"/>
  <c r="B73" i="78"/>
  <c r="E68" i="78"/>
  <c r="H67" i="78"/>
  <c r="I67" i="78" s="1"/>
  <c r="C67" i="78" s="1"/>
  <c r="E67" i="78"/>
  <c r="H66" i="78"/>
  <c r="I66" i="78" s="1"/>
  <c r="C66" i="78" s="1"/>
  <c r="E66" i="78"/>
  <c r="H65" i="78"/>
  <c r="I65" i="78" s="1"/>
  <c r="C65" i="78" s="1"/>
  <c r="E65" i="78"/>
  <c r="H64" i="78"/>
  <c r="I64" i="78" s="1"/>
  <c r="C64" i="78" s="1"/>
  <c r="E64" i="78"/>
  <c r="H63" i="78"/>
  <c r="I63" i="78" s="1"/>
  <c r="C63" i="78" s="1"/>
  <c r="E63" i="78"/>
  <c r="H62" i="78"/>
  <c r="I62" i="78" s="1"/>
  <c r="C62" i="78" s="1"/>
  <c r="H61" i="78"/>
  <c r="I61" i="78" s="1"/>
  <c r="C61" i="78" s="1"/>
  <c r="H60" i="78"/>
  <c r="I60" i="78" s="1"/>
  <c r="C60" i="78" s="1"/>
  <c r="H59" i="78"/>
  <c r="I59" i="78" s="1"/>
  <c r="C59" i="78" s="1"/>
  <c r="E58" i="78"/>
  <c r="J57" i="78"/>
  <c r="P50" i="78"/>
  <c r="P49" i="78"/>
  <c r="K49" i="78"/>
  <c r="P48" i="78"/>
  <c r="I48" i="78"/>
  <c r="V48" i="78" s="1"/>
  <c r="G48" i="78"/>
  <c r="Q47" i="78"/>
  <c r="Z47" i="78" s="1"/>
  <c r="J47" i="78"/>
  <c r="AC47" i="78" s="1"/>
  <c r="H47" i="78"/>
  <c r="AB47" i="78" s="1"/>
  <c r="F47" i="78"/>
  <c r="AA47" i="78" s="1"/>
  <c r="Q46" i="78"/>
  <c r="Z46" i="78" s="1"/>
  <c r="H46" i="78"/>
  <c r="AB46" i="78" s="1"/>
  <c r="Q45" i="78"/>
  <c r="Z45" i="78" s="1"/>
  <c r="J45" i="78"/>
  <c r="AC45" i="78" s="1"/>
  <c r="H45" i="78"/>
  <c r="AB45" i="78" s="1"/>
  <c r="F45" i="78"/>
  <c r="AA45" i="78" s="1"/>
  <c r="Q44" i="78"/>
  <c r="Z44" i="78" s="1"/>
  <c r="J44" i="78"/>
  <c r="AC44" i="78" s="1"/>
  <c r="H44" i="78"/>
  <c r="AB44" i="78" s="1"/>
  <c r="F44" i="78"/>
  <c r="AA44" i="78" s="1"/>
  <c r="Q43" i="78"/>
  <c r="Z43" i="78" s="1"/>
  <c r="J43" i="78"/>
  <c r="W43" i="78" s="1"/>
  <c r="H43" i="78"/>
  <c r="AB43" i="78" s="1"/>
  <c r="F43" i="78"/>
  <c r="AA43" i="78" s="1"/>
  <c r="Q42" i="78"/>
  <c r="Z42" i="78" s="1"/>
  <c r="J42" i="78"/>
  <c r="AC42" i="78" s="1"/>
  <c r="H42" i="78"/>
  <c r="AB42" i="78" s="1"/>
  <c r="F42" i="78"/>
  <c r="AA42" i="78" s="1"/>
  <c r="Q41" i="78"/>
  <c r="Z41" i="78" s="1"/>
  <c r="J41" i="78"/>
  <c r="AC41" i="78" s="1"/>
  <c r="H41" i="78"/>
  <c r="AB41" i="78" s="1"/>
  <c r="F41" i="78"/>
  <c r="AA41" i="78" s="1"/>
  <c r="Q40" i="78"/>
  <c r="Z40" i="78" s="1"/>
  <c r="I40" i="78"/>
  <c r="G40" i="78"/>
  <c r="E40" i="78"/>
  <c r="C40" i="78"/>
  <c r="Q39" i="78"/>
  <c r="Z39" i="78" s="1"/>
  <c r="J39" i="78"/>
  <c r="AC39" i="78" s="1"/>
  <c r="H39" i="78"/>
  <c r="AB39" i="78" s="1"/>
  <c r="F39" i="78"/>
  <c r="AA39" i="78" s="1"/>
  <c r="Q38" i="78"/>
  <c r="Z38" i="78" s="1"/>
  <c r="J38" i="78"/>
  <c r="AC38" i="78" s="1"/>
  <c r="F38" i="78"/>
  <c r="AA38" i="78" s="1"/>
  <c r="Q37" i="78"/>
  <c r="Z37" i="78" s="1"/>
  <c r="J37" i="78"/>
  <c r="W37" i="78" s="1"/>
  <c r="H37" i="78"/>
  <c r="AB37" i="78" s="1"/>
  <c r="F37" i="78"/>
  <c r="AA37" i="78" s="1"/>
  <c r="Q36" i="78"/>
  <c r="Z36" i="78" s="1"/>
  <c r="J36" i="78"/>
  <c r="AC36" i="78" s="1"/>
  <c r="H36" i="78"/>
  <c r="AB36" i="78" s="1"/>
  <c r="F36" i="78"/>
  <c r="Q34" i="78"/>
  <c r="Z34" i="78" s="1"/>
  <c r="H34" i="78"/>
  <c r="AB34" i="78" s="1"/>
  <c r="Q33" i="78"/>
  <c r="Z33" i="78" s="1"/>
  <c r="J33" i="78"/>
  <c r="AC33" i="78" s="1"/>
  <c r="H33" i="78"/>
  <c r="AB33" i="78" s="1"/>
  <c r="F33" i="78"/>
  <c r="AA33" i="78" s="1"/>
  <c r="Q31" i="78"/>
  <c r="Z31" i="78" s="1"/>
  <c r="J31" i="78"/>
  <c r="AC31" i="78" s="1"/>
  <c r="H31" i="78"/>
  <c r="AB31" i="78" s="1"/>
  <c r="F31" i="78"/>
  <c r="AA31" i="78" s="1"/>
  <c r="C31" i="78"/>
  <c r="Q29" i="78"/>
  <c r="Z29" i="78" s="1"/>
  <c r="J29" i="78"/>
  <c r="AC29" i="78" s="1"/>
  <c r="F29" i="78"/>
  <c r="AA29" i="78" s="1"/>
  <c r="C29" i="78"/>
  <c r="Q27" i="78"/>
  <c r="Z27" i="78" s="1"/>
  <c r="C27" i="78"/>
  <c r="Q25" i="78"/>
  <c r="Z25" i="78" s="1"/>
  <c r="J25" i="78"/>
  <c r="AC25" i="78" s="1"/>
  <c r="H25" i="78"/>
  <c r="AB25" i="78" s="1"/>
  <c r="F25" i="78"/>
  <c r="AA25" i="78" s="1"/>
  <c r="C25" i="78"/>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J17" i="78"/>
  <c r="AC17" i="78" s="1"/>
  <c r="H17" i="78"/>
  <c r="AB17" i="78" s="1"/>
  <c r="F17" i="78"/>
  <c r="AA17" i="78" s="1"/>
  <c r="C17" i="78"/>
  <c r="Q16" i="78"/>
  <c r="Z16" i="78" s="1"/>
  <c r="J16" i="78"/>
  <c r="AC16" i="78" s="1"/>
  <c r="F16" i="78"/>
  <c r="AA16" i="78" s="1"/>
  <c r="Q15" i="78"/>
  <c r="Z15" i="78" s="1"/>
  <c r="J15" i="78"/>
  <c r="AC15" i="78" s="1"/>
  <c r="H15" i="78"/>
  <c r="AB15" i="78" s="1"/>
  <c r="F15" i="78"/>
  <c r="AA15" i="78" s="1"/>
  <c r="Q14" i="78"/>
  <c r="Z14" i="78" s="1"/>
  <c r="J14" i="78"/>
  <c r="AC14" i="78" s="1"/>
  <c r="F14" i="78"/>
  <c r="AA14" i="78" s="1"/>
  <c r="Q13" i="78"/>
  <c r="Z13" i="78" s="1"/>
  <c r="C13" i="78"/>
  <c r="H13" i="78" s="1"/>
  <c r="Q12" i="78"/>
  <c r="Z12" i="78" s="1"/>
  <c r="J12" i="78"/>
  <c r="AC12" i="78" s="1"/>
  <c r="H12" i="78"/>
  <c r="AB12" i="78" s="1"/>
  <c r="F12" i="78"/>
  <c r="AA12" i="78" s="1"/>
  <c r="Q11" i="78"/>
  <c r="Z11" i="78" s="1"/>
  <c r="J11" i="78"/>
  <c r="AC11" i="78" s="1"/>
  <c r="F11" i="78"/>
  <c r="AA11" i="78" s="1"/>
  <c r="J10" i="78"/>
  <c r="W10" i="78" s="1"/>
  <c r="H10" i="78"/>
  <c r="AB10" i="78" s="1"/>
  <c r="F10" i="78"/>
  <c r="S10" i="78" s="1"/>
  <c r="I9" i="78"/>
  <c r="G9" i="78"/>
  <c r="E9" i="78"/>
  <c r="C9" i="78"/>
  <c r="C70" i="78" s="1"/>
  <c r="I7" i="78"/>
  <c r="G7" i="78"/>
  <c r="E7" i="78"/>
  <c r="C7" i="78"/>
  <c r="C23" i="82" l="1"/>
  <c r="D18" i="82"/>
  <c r="D16" i="82"/>
  <c r="D10" i="82"/>
  <c r="D17" i="82"/>
  <c r="D15" i="82"/>
  <c r="D9" i="82"/>
  <c r="F93" i="78"/>
  <c r="G93" i="78" s="1"/>
  <c r="H19" i="78"/>
  <c r="AB19" i="78" s="1"/>
  <c r="J19" i="78"/>
  <c r="AC19" i="78" s="1"/>
  <c r="F19" i="78"/>
  <c r="AA19" i="78" s="1"/>
  <c r="B47" i="81"/>
  <c r="B49" i="81" s="1"/>
  <c r="U6" i="1" s="1"/>
  <c r="Z6" i="1" s="1"/>
  <c r="H29" i="78"/>
  <c r="AB29" i="78" s="1"/>
  <c r="F34" i="78"/>
  <c r="AA34" i="78" s="1"/>
  <c r="J34" i="78"/>
  <c r="AC34" i="78" s="1"/>
  <c r="AC37" i="78"/>
  <c r="J40" i="78"/>
  <c r="W40" i="78" s="1"/>
  <c r="F46" i="78"/>
  <c r="AA46" i="78" s="1"/>
  <c r="F101" i="78"/>
  <c r="G101" i="78" s="1"/>
  <c r="J27" i="78"/>
  <c r="AC27" i="78" s="1"/>
  <c r="H27" i="78"/>
  <c r="AB27" i="78" s="1"/>
  <c r="F27" i="78"/>
  <c r="AA27" i="78" s="1"/>
  <c r="F13" i="78"/>
  <c r="AA13" i="78" s="1"/>
  <c r="I55" i="78"/>
  <c r="J55" i="78" s="1"/>
  <c r="G55" i="78"/>
  <c r="H55" i="78" s="1"/>
  <c r="F40" i="78"/>
  <c r="AA40" i="78" s="1"/>
  <c r="U42" i="78"/>
  <c r="J13" i="78"/>
  <c r="AC13" i="78" s="1"/>
  <c r="U36" i="78"/>
  <c r="H40" i="78"/>
  <c r="AB40" i="78" s="1"/>
  <c r="AC43" i="78"/>
  <c r="U10" i="78"/>
  <c r="AB13" i="78"/>
  <c r="U13" i="78"/>
  <c r="AA10" i="78"/>
  <c r="AC10" i="78"/>
  <c r="C72" i="78"/>
  <c r="D70" i="78"/>
  <c r="S11" i="78"/>
  <c r="W11" i="78"/>
  <c r="U12" i="78"/>
  <c r="S14" i="78"/>
  <c r="W14" i="78"/>
  <c r="U15" i="78"/>
  <c r="S16" i="78"/>
  <c r="W16" i="78"/>
  <c r="S17" i="78"/>
  <c r="W17" i="78"/>
  <c r="S19" i="78"/>
  <c r="W19" i="78"/>
  <c r="S21" i="78"/>
  <c r="W21" i="78"/>
  <c r="S23" i="78"/>
  <c r="W23" i="78"/>
  <c r="S25" i="78"/>
  <c r="W25" i="78"/>
  <c r="S29" i="78"/>
  <c r="W29" i="78"/>
  <c r="S31" i="78"/>
  <c r="W31" i="78"/>
  <c r="U33" i="78"/>
  <c r="S34" i="78"/>
  <c r="W34" i="78"/>
  <c r="S37" i="78"/>
  <c r="U38" i="78"/>
  <c r="W39" i="78"/>
  <c r="AC40" i="78"/>
  <c r="W41" i="78"/>
  <c r="S43" i="78"/>
  <c r="U44" i="78"/>
  <c r="U11" i="78"/>
  <c r="S12" i="78"/>
  <c r="W12" i="78"/>
  <c r="U14" i="78"/>
  <c r="S15" i="78"/>
  <c r="W15" i="78"/>
  <c r="U16" i="78"/>
  <c r="U17" i="78"/>
  <c r="U19" i="78"/>
  <c r="U21" i="78"/>
  <c r="U23" i="78"/>
  <c r="U25" i="78"/>
  <c r="U29" i="78"/>
  <c r="U31" i="78"/>
  <c r="S33" i="78"/>
  <c r="W33" i="78"/>
  <c r="U34" i="78"/>
  <c r="AA36" i="78"/>
  <c r="S36" i="78"/>
  <c r="S39" i="78"/>
  <c r="S41" i="78"/>
  <c r="W36" i="78"/>
  <c r="U37" i="78"/>
  <c r="S38" i="78"/>
  <c r="W38" i="78"/>
  <c r="U39" i="78"/>
  <c r="U41" i="78"/>
  <c r="S42" i="78"/>
  <c r="W42" i="78"/>
  <c r="U43" i="78"/>
  <c r="S44" i="78"/>
  <c r="W44" i="78"/>
  <c r="U45" i="78"/>
  <c r="S46" i="78"/>
  <c r="W46" i="78"/>
  <c r="U47" i="78"/>
  <c r="S45" i="78"/>
  <c r="W45" i="78"/>
  <c r="U46" i="78"/>
  <c r="S47" i="78"/>
  <c r="W47" i="78"/>
  <c r="T48" i="78"/>
  <c r="E55" i="78"/>
  <c r="F55" i="78" s="1"/>
  <c r="D14" i="9"/>
  <c r="C6" i="69"/>
  <c r="C19" i="6"/>
  <c r="F19" i="6"/>
  <c r="B3" i="4"/>
  <c r="D23" i="82" l="1"/>
  <c r="C29" i="82"/>
  <c r="U40" i="78"/>
  <c r="S40" i="78"/>
  <c r="W27" i="78"/>
  <c r="W13" i="78"/>
  <c r="S27" i="78"/>
  <c r="S13" i="78"/>
  <c r="U27" i="78"/>
  <c r="E70" i="78"/>
  <c r="D72" i="78"/>
  <c r="D26" i="82" l="1"/>
  <c r="D29" i="82"/>
  <c r="E23" i="82"/>
  <c r="E72" i="78"/>
  <c r="F70" i="78"/>
  <c r="E20" i="43"/>
  <c r="E26" i="82" l="1"/>
  <c r="E29" i="82"/>
  <c r="E32" i="82" s="1"/>
  <c r="D32" i="82"/>
  <c r="G70" i="78"/>
  <c r="F72" i="78"/>
  <c r="AH5" i="71"/>
  <c r="AG5" i="71"/>
  <c r="AE5" i="71"/>
  <c r="AF5" i="71" s="1"/>
  <c r="AD5" i="71"/>
  <c r="Q5" i="71"/>
  <c r="P5" i="71"/>
  <c r="O5" i="71"/>
  <c r="N5" i="71"/>
  <c r="G72" i="78" l="1"/>
  <c r="H70" i="78"/>
  <c r="AH6" i="71"/>
  <c r="AG6" i="71"/>
  <c r="AE6" i="71"/>
  <c r="AF6" i="71" s="1"/>
  <c r="AD6" i="71"/>
  <c r="Q6" i="71"/>
  <c r="P6" i="71"/>
  <c r="O6" i="71"/>
  <c r="N6" i="71"/>
  <c r="I70" i="78" l="1"/>
  <c r="H72" i="78"/>
  <c r="AH7" i="71"/>
  <c r="AG7" i="71"/>
  <c r="AE7" i="71"/>
  <c r="AF7" i="71" s="1"/>
  <c r="AD7" i="71"/>
  <c r="Q7" i="71"/>
  <c r="P7" i="71"/>
  <c r="O7" i="71"/>
  <c r="N7" i="71"/>
  <c r="I72" i="78" l="1"/>
  <c r="J70" i="78"/>
  <c r="K70" i="78" l="1"/>
  <c r="J72" i="78"/>
  <c r="H16" i="49"/>
  <c r="D16" i="49"/>
  <c r="D15" i="49"/>
  <c r="B2" i="49"/>
  <c r="F15" i="49" s="1"/>
  <c r="H15" i="49" s="1"/>
  <c r="K72" i="78" l="1"/>
  <c r="L70" i="78"/>
  <c r="B5" i="49"/>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M70" i="78" l="1"/>
  <c r="L72" i="78"/>
  <c r="K42" i="40"/>
  <c r="K47" i="39"/>
  <c r="K36" i="36"/>
  <c r="E59" i="9"/>
  <c r="M72" i="78" l="1"/>
  <c r="N70" i="78"/>
  <c r="N72" i="78" s="1"/>
  <c r="K38" i="35"/>
  <c r="K42" i="37"/>
  <c r="K49" i="34"/>
  <c r="K48" i="33"/>
  <c r="K48" i="21"/>
  <c r="H104" i="9"/>
  <c r="F59" i="9"/>
  <c r="F9" i="78" l="1"/>
  <c r="H9" i="78"/>
  <c r="J9" i="78"/>
  <c r="AH8" i="71"/>
  <c r="AG8" i="71"/>
  <c r="AE8" i="71"/>
  <c r="AF8" i="71" s="1"/>
  <c r="AD8" i="71"/>
  <c r="Q8" i="71"/>
  <c r="P8" i="71"/>
  <c r="O8" i="71"/>
  <c r="N8" i="71"/>
  <c r="AB9" i="78" l="1"/>
  <c r="T49" i="78" s="1"/>
  <c r="G49" i="78" s="1"/>
  <c r="U9" i="78"/>
  <c r="W9" i="78"/>
  <c r="AC9" i="78"/>
  <c r="V49" i="78" s="1"/>
  <c r="I49" i="78" s="1"/>
  <c r="S9" i="78"/>
  <c r="AA9" i="78"/>
  <c r="R49" i="78" s="1"/>
  <c r="R50" i="78" l="1"/>
  <c r="E49" i="78"/>
  <c r="I54" i="78" s="1"/>
  <c r="J54" i="78" s="1"/>
  <c r="I53" i="78"/>
  <c r="J53" i="78" s="1"/>
  <c r="G54" i="78"/>
  <c r="H54" i="78" s="1"/>
  <c r="G53" i="78"/>
  <c r="H53" i="78" s="1"/>
  <c r="AH9" i="71"/>
  <c r="AG9" i="71"/>
  <c r="AE9" i="71"/>
  <c r="AF9" i="71" s="1"/>
  <c r="AD9" i="71"/>
  <c r="Q9" i="71"/>
  <c r="P9" i="71"/>
  <c r="O9" i="71"/>
  <c r="N9" i="71"/>
  <c r="E54" i="78" l="1"/>
  <c r="F54" i="78" s="1"/>
  <c r="E53" i="78"/>
  <c r="F53" i="78" s="1"/>
  <c r="C49" i="78"/>
  <c r="C50" i="78"/>
  <c r="Q11" i="71"/>
  <c r="P11" i="71"/>
  <c r="O11" i="71"/>
  <c r="N11" i="71"/>
  <c r="AH10" i="71"/>
  <c r="AG10" i="71"/>
  <c r="AE10" i="71"/>
  <c r="AF10" i="71" s="1"/>
  <c r="AD10" i="71"/>
  <c r="Q10" i="71"/>
  <c r="P10" i="71"/>
  <c r="O10" i="71"/>
  <c r="N10" i="71"/>
  <c r="AH11" i="71"/>
  <c r="AG11" i="71"/>
  <c r="AE11" i="71"/>
  <c r="AF11" i="71" s="1"/>
  <c r="AD11" i="71"/>
  <c r="Q12" i="71"/>
  <c r="Q13" i="71"/>
  <c r="P12" i="71"/>
  <c r="P13" i="71"/>
  <c r="O12" i="71"/>
  <c r="O13" i="71"/>
  <c r="N12" i="71"/>
  <c r="N13" i="71"/>
  <c r="AH12" i="71"/>
  <c r="AG12" i="71"/>
  <c r="AE12" i="71"/>
  <c r="AF12" i="71" s="1"/>
  <c r="AD12" i="71"/>
  <c r="F24" i="12"/>
  <c r="F7" i="69"/>
  <c r="F7" i="68"/>
  <c r="M15" i="45"/>
  <c r="L15" i="45"/>
  <c r="K15" i="45"/>
  <c r="J15" i="45"/>
  <c r="I15" i="45"/>
  <c r="H15" i="45"/>
  <c r="G15" i="45"/>
  <c r="F15" i="45"/>
  <c r="E15" i="45"/>
  <c r="D15" i="45"/>
  <c r="C15" i="45"/>
  <c r="B15" i="45"/>
  <c r="AH13" i="71"/>
  <c r="AG13" i="71"/>
  <c r="AE13" i="71"/>
  <c r="AF13" i="71" s="1"/>
  <c r="AD13" i="71"/>
  <c r="AD14" i="71"/>
  <c r="AH14" i="71"/>
  <c r="AG14" i="71"/>
  <c r="AE14" i="71"/>
  <c r="AF14" i="71" s="1"/>
  <c r="Q14" i="71"/>
  <c r="P14" i="71"/>
  <c r="O14" i="71"/>
  <c r="N14" i="71"/>
  <c r="L3" i="71"/>
  <c r="AH3" i="71" s="1"/>
  <c r="K3" i="71"/>
  <c r="AG3" i="71" s="1"/>
  <c r="J3" i="71"/>
  <c r="AE3" i="71" s="1"/>
  <c r="I3" i="71"/>
  <c r="AH15" i="71"/>
  <c r="AG15" i="71"/>
  <c r="AE15" i="71"/>
  <c r="AF15" i="71" s="1"/>
  <c r="AD15" i="71"/>
  <c r="Q15" i="71"/>
  <c r="Q16" i="71"/>
  <c r="P15" i="71"/>
  <c r="P16" i="71"/>
  <c r="O15" i="71"/>
  <c r="O16" i="71"/>
  <c r="N15" i="71"/>
  <c r="N16" i="71"/>
  <c r="N17" i="71"/>
  <c r="AH16" i="71"/>
  <c r="AG16" i="71"/>
  <c r="AE16" i="71"/>
  <c r="AF16" i="71" s="1"/>
  <c r="AD16" i="71"/>
  <c r="Q17" i="71"/>
  <c r="P17" i="71"/>
  <c r="O17" i="71"/>
  <c r="M19" i="43"/>
  <c r="D19" i="71"/>
  <c r="AH17" i="71"/>
  <c r="AG17" i="71"/>
  <c r="AE17" i="71"/>
  <c r="AF17" i="71" s="1"/>
  <c r="AD17" i="71"/>
  <c r="AD18" i="71"/>
  <c r="AG18" i="71"/>
  <c r="AH18" i="71"/>
  <c r="AE18" i="71"/>
  <c r="AF18" i="71" s="1"/>
  <c r="N18" i="71"/>
  <c r="Q18" i="71"/>
  <c r="P18" i="71"/>
  <c r="E18" i="71" s="1"/>
  <c r="O18" i="71"/>
  <c r="Q19" i="71"/>
  <c r="F18" i="71"/>
  <c r="P19" i="71"/>
  <c r="O19" i="71"/>
  <c r="N19" i="71"/>
  <c r="A2" i="53"/>
  <c r="K59" i="67"/>
  <c r="P61" i="67" s="1"/>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Q20" i="71"/>
  <c r="P20" i="71"/>
  <c r="O20" i="71"/>
  <c r="N20" i="71"/>
  <c r="A15" i="51"/>
  <c r="B12" i="72" s="1"/>
  <c r="C76" i="9"/>
  <c r="I107" i="40"/>
  <c r="K6" i="4"/>
  <c r="N56" i="9" s="1"/>
  <c r="B22" i="31"/>
  <c r="E15" i="74"/>
  <c r="F15" i="74"/>
  <c r="E16" i="74"/>
  <c r="F16" i="74"/>
  <c r="E17" i="74"/>
  <c r="F17" i="74"/>
  <c r="E18" i="74"/>
  <c r="F18" i="74"/>
  <c r="E19" i="74"/>
  <c r="F19" i="74"/>
  <c r="E20" i="74"/>
  <c r="F20" i="74"/>
  <c r="E21" i="74"/>
  <c r="F21" i="74"/>
  <c r="E22" i="74"/>
  <c r="F22" i="74"/>
  <c r="E23" i="74"/>
  <c r="F23" i="74"/>
  <c r="B3" i="74"/>
  <c r="C91" i="9"/>
  <c r="B8" i="72"/>
  <c r="O21" i="71"/>
  <c r="P21" i="71"/>
  <c r="Q21" i="71"/>
  <c r="N21" i="71"/>
  <c r="AD19" i="71"/>
  <c r="AE19" i="71"/>
  <c r="AF19" i="71" s="1"/>
  <c r="AG19" i="71"/>
  <c r="AH19" i="71"/>
  <c r="AD20" i="71"/>
  <c r="AE20" i="71"/>
  <c r="AF20" i="71"/>
  <c r="AG20" i="71"/>
  <c r="AH20" i="71"/>
  <c r="AD21" i="71"/>
  <c r="AE21" i="71"/>
  <c r="AF21" i="71" s="1"/>
  <c r="AG21" i="71"/>
  <c r="AH21" i="71"/>
  <c r="AD22" i="71"/>
  <c r="AE22" i="71"/>
  <c r="AF22" i="71" s="1"/>
  <c r="AG22" i="71"/>
  <c r="AH22" i="71"/>
  <c r="AD23" i="71"/>
  <c r="AE23" i="71"/>
  <c r="AF23" i="71" s="1"/>
  <c r="AG23" i="71"/>
  <c r="AH23" i="71"/>
  <c r="AD24" i="71"/>
  <c r="AE24" i="71"/>
  <c r="AF24" i="71"/>
  <c r="AG24" i="71"/>
  <c r="AH24" i="71"/>
  <c r="AD25" i="71"/>
  <c r="AE25" i="71"/>
  <c r="AF25" i="71" s="1"/>
  <c r="AG25" i="71"/>
  <c r="AH25" i="71"/>
  <c r="AD26" i="71"/>
  <c r="AE26" i="71"/>
  <c r="AF26" i="71" s="1"/>
  <c r="AG26" i="71"/>
  <c r="AH26" i="71"/>
  <c r="AD27" i="71"/>
  <c r="AE27" i="71"/>
  <c r="AF27" i="71" s="1"/>
  <c r="AG27" i="71"/>
  <c r="AH27" i="71"/>
  <c r="AD28" i="71"/>
  <c r="AE28" i="71"/>
  <c r="AF28" i="71"/>
  <c r="AG28" i="71"/>
  <c r="AH28" i="71"/>
  <c r="AD29" i="71"/>
  <c r="AE29" i="71"/>
  <c r="AF29" i="71" s="1"/>
  <c r="AG29" i="71"/>
  <c r="AH29" i="71"/>
  <c r="AD30" i="71"/>
  <c r="AE30" i="71"/>
  <c r="AF30" i="71" s="1"/>
  <c r="AG30" i="71"/>
  <c r="AH30" i="71"/>
  <c r="AD31" i="71"/>
  <c r="AE31" i="71"/>
  <c r="AF31" i="71" s="1"/>
  <c r="AG31" i="71"/>
  <c r="AH31" i="71"/>
  <c r="AD32" i="71"/>
  <c r="AE32" i="71"/>
  <c r="AF32" i="71"/>
  <c r="AG32" i="71"/>
  <c r="AH32" i="71"/>
  <c r="AH33" i="71"/>
  <c r="AG33" i="71"/>
  <c r="AE33" i="71"/>
  <c r="AF33" i="71"/>
  <c r="AD33" i="71"/>
  <c r="AD34" i="71"/>
  <c r="AE34" i="71"/>
  <c r="AF34" i="71"/>
  <c r="AG34" i="71"/>
  <c r="AH34" i="71"/>
  <c r="S2" i="31"/>
  <c r="M2" i="31"/>
  <c r="N2" i="31"/>
  <c r="O2" i="31"/>
  <c r="P2" i="31"/>
  <c r="Q2" i="31"/>
  <c r="R2" i="31"/>
  <c r="C1" i="73"/>
  <c r="L1" i="73" s="1"/>
  <c r="B74" i="72"/>
  <c r="Y12" i="43"/>
  <c r="Y10" i="43"/>
  <c r="AJ9" i="43"/>
  <c r="AJ12" i="43" s="1"/>
  <c r="AI9" i="43"/>
  <c r="AI12" i="43" s="1"/>
  <c r="AH9" i="43"/>
  <c r="AH12" i="43" s="1"/>
  <c r="AG9" i="43"/>
  <c r="AG12" i="43" s="1"/>
  <c r="AF9" i="43"/>
  <c r="AF12" i="43" s="1"/>
  <c r="AE9" i="43"/>
  <c r="AE12" i="43" s="1"/>
  <c r="AD9" i="43"/>
  <c r="AD10" i="43" s="1"/>
  <c r="AD12" i="43"/>
  <c r="AC9" i="43"/>
  <c r="AC10" i="43" s="1"/>
  <c r="AC12" i="43"/>
  <c r="AB9" i="43"/>
  <c r="AB12" i="43"/>
  <c r="AA9" i="43"/>
  <c r="AA12" i="43" s="1"/>
  <c r="Z9" i="43"/>
  <c r="Z12" i="43" s="1"/>
  <c r="Z10" i="43"/>
  <c r="AB10" i="43"/>
  <c r="AF10" i="43"/>
  <c r="AJ10" i="43"/>
  <c r="K49" i="9"/>
  <c r="E107" i="9"/>
  <c r="A122" i="9"/>
  <c r="A8" i="52" s="1"/>
  <c r="B54" i="72" s="1"/>
  <c r="E111" i="9"/>
  <c r="A126" i="9"/>
  <c r="E109" i="9"/>
  <c r="A124" i="9"/>
  <c r="B44" i="72"/>
  <c r="B42" i="72"/>
  <c r="B69" i="72"/>
  <c r="B68" i="72"/>
  <c r="B63" i="72"/>
  <c r="B62" i="72"/>
  <c r="B16" i="72"/>
  <c r="B60" i="72"/>
  <c r="B67" i="72"/>
  <c r="B66" i="72"/>
  <c r="B10" i="72"/>
  <c r="C53" i="10"/>
  <c r="B51" i="10"/>
  <c r="B19" i="72"/>
  <c r="A18" i="51"/>
  <c r="B13" i="72" s="1"/>
  <c r="C8" i="68"/>
  <c r="B49" i="48"/>
  <c r="B5" i="72" s="1"/>
  <c r="I19" i="43"/>
  <c r="D83" i="71"/>
  <c r="F82" i="71"/>
  <c r="F81" i="71" s="1"/>
  <c r="F80" i="71" s="1"/>
  <c r="E82" i="71"/>
  <c r="E81" i="71" s="1"/>
  <c r="E80" i="71" s="1"/>
  <c r="C82" i="71"/>
  <c r="D82" i="71" s="1"/>
  <c r="B82" i="71"/>
  <c r="B81" i="71" s="1"/>
  <c r="B80" i="71" s="1"/>
  <c r="D79" i="71"/>
  <c r="F78" i="71"/>
  <c r="F77" i="71" s="1"/>
  <c r="F76" i="71" s="1"/>
  <c r="E78" i="71"/>
  <c r="E77" i="71" s="1"/>
  <c r="E76" i="71" s="1"/>
  <c r="C78" i="71"/>
  <c r="D78" i="71" s="1"/>
  <c r="B78" i="71"/>
  <c r="B77" i="71" s="1"/>
  <c r="B76" i="71" s="1"/>
  <c r="D75" i="71"/>
  <c r="Q74" i="71"/>
  <c r="P74" i="71"/>
  <c r="O74" i="71"/>
  <c r="N74" i="71"/>
  <c r="F74" i="71"/>
  <c r="V74" i="71" s="1"/>
  <c r="E74" i="71"/>
  <c r="U74" i="71" s="1"/>
  <c r="C74" i="71"/>
  <c r="T74" i="71" s="1"/>
  <c r="B74" i="71"/>
  <c r="S74" i="71" s="1"/>
  <c r="Q73" i="71"/>
  <c r="P73" i="71"/>
  <c r="O73" i="71"/>
  <c r="N73" i="71"/>
  <c r="F73" i="71"/>
  <c r="F72" i="71" s="1"/>
  <c r="Q72" i="71"/>
  <c r="P72" i="71"/>
  <c r="O72" i="71"/>
  <c r="N72" i="71"/>
  <c r="Q71" i="71"/>
  <c r="P71" i="71"/>
  <c r="O71" i="71"/>
  <c r="N71" i="71"/>
  <c r="D71" i="71"/>
  <c r="Q70" i="71"/>
  <c r="P70" i="71"/>
  <c r="O70" i="71"/>
  <c r="N70" i="71"/>
  <c r="F70" i="71"/>
  <c r="V70" i="71" s="1"/>
  <c r="E70" i="71"/>
  <c r="U70" i="71" s="1"/>
  <c r="C70" i="71"/>
  <c r="T70" i="71" s="1"/>
  <c r="B70" i="71"/>
  <c r="S70" i="71" s="1"/>
  <c r="Q69" i="71"/>
  <c r="P69" i="71"/>
  <c r="O69" i="71"/>
  <c r="N69" i="71"/>
  <c r="B69" i="71"/>
  <c r="B68" i="71" s="1"/>
  <c r="Q68" i="71"/>
  <c r="P68" i="71"/>
  <c r="O68" i="71"/>
  <c r="N68" i="71"/>
  <c r="Q67" i="71"/>
  <c r="P67" i="71"/>
  <c r="O67" i="71"/>
  <c r="N67" i="71"/>
  <c r="D67" i="71"/>
  <c r="Q66" i="71"/>
  <c r="P66" i="71"/>
  <c r="O66" i="71"/>
  <c r="N66" i="71"/>
  <c r="F66" i="71"/>
  <c r="V66" i="71" s="1"/>
  <c r="E66" i="71"/>
  <c r="U66" i="71" s="1"/>
  <c r="C66" i="71"/>
  <c r="T66" i="71" s="1"/>
  <c r="B66" i="71"/>
  <c r="S66" i="71" s="1"/>
  <c r="Q65" i="71"/>
  <c r="P65" i="71"/>
  <c r="O65" i="71"/>
  <c r="N65" i="71"/>
  <c r="B65" i="71"/>
  <c r="B64" i="71" s="1"/>
  <c r="Q64" i="71"/>
  <c r="P64" i="71"/>
  <c r="O64" i="71"/>
  <c r="N64" i="71"/>
  <c r="Q63" i="71"/>
  <c r="P63" i="71"/>
  <c r="O63" i="71"/>
  <c r="N63" i="71"/>
  <c r="D63" i="71"/>
  <c r="F62" i="71"/>
  <c r="V62" i="71" s="1"/>
  <c r="E62" i="71"/>
  <c r="P62" i="71" s="1"/>
  <c r="C62" i="71"/>
  <c r="O62" i="71" s="1"/>
  <c r="B62" i="71"/>
  <c r="F61" i="71"/>
  <c r="F60" i="71" s="1"/>
  <c r="Q60" i="71" s="1"/>
  <c r="D59" i="71"/>
  <c r="Q58" i="71"/>
  <c r="P58" i="71"/>
  <c r="O58" i="71"/>
  <c r="N58" i="71"/>
  <c r="Q57" i="71"/>
  <c r="P57" i="71"/>
  <c r="O57" i="71"/>
  <c r="N57" i="71"/>
  <c r="Q56" i="71"/>
  <c r="P56" i="71"/>
  <c r="O56" i="71"/>
  <c r="N56" i="71"/>
  <c r="Q55" i="71"/>
  <c r="F56" i="71" s="1"/>
  <c r="F57" i="71" s="1"/>
  <c r="F58" i="71" s="1"/>
  <c r="V58" i="71" s="1"/>
  <c r="P55" i="71"/>
  <c r="E56" i="71" s="1"/>
  <c r="O55" i="71"/>
  <c r="C56" i="71" s="1"/>
  <c r="C57" i="71" s="1"/>
  <c r="C58" i="71" s="1"/>
  <c r="N55" i="71"/>
  <c r="B56" i="71" s="1"/>
  <c r="B57" i="71" s="1"/>
  <c r="B58" i="71" s="1"/>
  <c r="S58" i="71" s="1"/>
  <c r="D55" i="71"/>
  <c r="Q54" i="71"/>
  <c r="P54" i="71"/>
  <c r="O54" i="71"/>
  <c r="N54" i="71"/>
  <c r="Q53" i="71"/>
  <c r="P53" i="71"/>
  <c r="O53" i="71"/>
  <c r="N53" i="71"/>
  <c r="Q52" i="71"/>
  <c r="P52" i="71"/>
  <c r="O52" i="71"/>
  <c r="N52" i="71"/>
  <c r="Q51" i="71"/>
  <c r="F52" i="71" s="1"/>
  <c r="F53" i="71"/>
  <c r="F54" i="71" s="1"/>
  <c r="V54" i="71" s="1"/>
  <c r="P51" i="71"/>
  <c r="E52" i="71"/>
  <c r="O51" i="71"/>
  <c r="C52" i="71" s="1"/>
  <c r="N51" i="71"/>
  <c r="B52" i="71" s="1"/>
  <c r="B53" i="71" s="1"/>
  <c r="B54" i="71" s="1"/>
  <c r="S54" i="71" s="1"/>
  <c r="D51" i="71"/>
  <c r="Q50" i="71"/>
  <c r="P50" i="71"/>
  <c r="O50" i="71"/>
  <c r="N50" i="71"/>
  <c r="Q49" i="71"/>
  <c r="P49" i="71"/>
  <c r="O49" i="71"/>
  <c r="N49" i="71"/>
  <c r="Q48" i="71"/>
  <c r="P48" i="71"/>
  <c r="O48" i="71"/>
  <c r="N48" i="71"/>
  <c r="Q47" i="71"/>
  <c r="F48" i="71" s="1"/>
  <c r="F49" i="71" s="1"/>
  <c r="F50" i="71" s="1"/>
  <c r="V50" i="71" s="1"/>
  <c r="P47" i="71"/>
  <c r="E48" i="71" s="1"/>
  <c r="E49" i="71" s="1"/>
  <c r="E50" i="71" s="1"/>
  <c r="U50" i="71" s="1"/>
  <c r="O47" i="71"/>
  <c r="C48" i="71" s="1"/>
  <c r="D48" i="71" s="1"/>
  <c r="N47" i="71"/>
  <c r="B48" i="71"/>
  <c r="D47" i="71"/>
  <c r="Q46" i="71"/>
  <c r="P46" i="71"/>
  <c r="O46" i="71"/>
  <c r="N46" i="71"/>
  <c r="Q45" i="71"/>
  <c r="P45" i="71"/>
  <c r="O45" i="71"/>
  <c r="N45" i="71"/>
  <c r="Q44" i="71"/>
  <c r="P44" i="71"/>
  <c r="O44" i="71"/>
  <c r="N44" i="71"/>
  <c r="Q43" i="71"/>
  <c r="F44" i="71" s="1"/>
  <c r="F45" i="71" s="1"/>
  <c r="F46" i="71" s="1"/>
  <c r="V46" i="71" s="1"/>
  <c r="P43" i="71"/>
  <c r="E44" i="71" s="1"/>
  <c r="E45" i="71" s="1"/>
  <c r="E46" i="71" s="1"/>
  <c r="U46" i="71" s="1"/>
  <c r="O43" i="71"/>
  <c r="C44" i="71" s="1"/>
  <c r="D44" i="71" s="1"/>
  <c r="N43" i="71"/>
  <c r="B44" i="71" s="1"/>
  <c r="B45" i="71" s="1"/>
  <c r="B46" i="71" s="1"/>
  <c r="S46" i="71" s="1"/>
  <c r="D43" i="71"/>
  <c r="T42" i="71"/>
  <c r="Q42" i="71"/>
  <c r="P42" i="71"/>
  <c r="O42" i="71"/>
  <c r="N42" i="71"/>
  <c r="D42" i="71"/>
  <c r="Q41" i="71"/>
  <c r="P41" i="71"/>
  <c r="O41" i="71"/>
  <c r="N41" i="71"/>
  <c r="Q40" i="71"/>
  <c r="P40" i="71"/>
  <c r="O40" i="71"/>
  <c r="N40" i="71"/>
  <c r="Q39" i="71"/>
  <c r="F40" i="71" s="1"/>
  <c r="P39" i="71"/>
  <c r="E40" i="71"/>
  <c r="O39" i="71"/>
  <c r="C40" i="71" s="1"/>
  <c r="N39" i="71"/>
  <c r="B40" i="71" s="1"/>
  <c r="B41" i="71" s="1"/>
  <c r="D39" i="71"/>
  <c r="Q38" i="71"/>
  <c r="P38" i="71"/>
  <c r="O38" i="71"/>
  <c r="N38" i="71"/>
  <c r="Q37" i="71"/>
  <c r="P37" i="71"/>
  <c r="O37" i="71"/>
  <c r="N37" i="71"/>
  <c r="Q36" i="71"/>
  <c r="P36" i="71"/>
  <c r="O36" i="71"/>
  <c r="N36" i="71"/>
  <c r="Q35" i="71"/>
  <c r="F36" i="71" s="1"/>
  <c r="P35" i="71"/>
  <c r="E36" i="71" s="1"/>
  <c r="E37" i="71" s="1"/>
  <c r="E38" i="71" s="1"/>
  <c r="U38" i="71" s="1"/>
  <c r="O35" i="71"/>
  <c r="C36" i="71" s="1"/>
  <c r="D36" i="71" s="1"/>
  <c r="N35" i="71"/>
  <c r="B36" i="71" s="1"/>
  <c r="B37" i="71" s="1"/>
  <c r="B38" i="71" s="1"/>
  <c r="S38" i="71" s="1"/>
  <c r="D35" i="71"/>
  <c r="Q34" i="71"/>
  <c r="P34" i="71"/>
  <c r="O34" i="71"/>
  <c r="N34" i="71"/>
  <c r="Q33" i="71"/>
  <c r="AB33" i="71" s="1"/>
  <c r="P33" i="71"/>
  <c r="AA33" i="71" s="1"/>
  <c r="O33" i="71"/>
  <c r="Y33" i="71" s="1"/>
  <c r="Z33" i="71" s="1"/>
  <c r="N33" i="71"/>
  <c r="X33" i="71" s="1"/>
  <c r="Q32" i="71"/>
  <c r="AB32" i="71" s="1"/>
  <c r="P32" i="71"/>
  <c r="AA32" i="71" s="1"/>
  <c r="O32" i="71"/>
  <c r="N32" i="71"/>
  <c r="Q31" i="71"/>
  <c r="P31" i="71"/>
  <c r="E32" i="71" s="1"/>
  <c r="E33" i="71" s="1"/>
  <c r="E34" i="71" s="1"/>
  <c r="U34" i="71" s="1"/>
  <c r="O31" i="71"/>
  <c r="C32" i="71" s="1"/>
  <c r="N31" i="71"/>
  <c r="X31" i="71" s="1"/>
  <c r="D31" i="71"/>
  <c r="Q30" i="71"/>
  <c r="AB30" i="71" s="1"/>
  <c r="P30" i="71"/>
  <c r="O30" i="71"/>
  <c r="N30" i="71"/>
  <c r="Q29" i="71"/>
  <c r="P29" i="71"/>
  <c r="O29" i="71"/>
  <c r="Y29" i="71" s="1"/>
  <c r="Z29" i="71" s="1"/>
  <c r="N29" i="71"/>
  <c r="Q28" i="71"/>
  <c r="P28" i="71"/>
  <c r="O28" i="71"/>
  <c r="N28" i="71"/>
  <c r="Q27" i="71"/>
  <c r="P27" i="71"/>
  <c r="O27" i="71"/>
  <c r="C28" i="71" s="1"/>
  <c r="N27" i="71"/>
  <c r="B28" i="71" s="1"/>
  <c r="B29" i="71" s="1"/>
  <c r="B30" i="71" s="1"/>
  <c r="S30" i="71" s="1"/>
  <c r="D27" i="71"/>
  <c r="Q26" i="71"/>
  <c r="P26" i="71"/>
  <c r="O26" i="71"/>
  <c r="N26" i="71"/>
  <c r="X26" i="71" s="1"/>
  <c r="Q25" i="71"/>
  <c r="P25" i="71"/>
  <c r="O25" i="71"/>
  <c r="N25" i="71"/>
  <c r="Q24" i="71"/>
  <c r="P24" i="71"/>
  <c r="O24" i="71"/>
  <c r="N24" i="71"/>
  <c r="Q23" i="71"/>
  <c r="P23" i="71"/>
  <c r="O23" i="71"/>
  <c r="C24" i="71" s="1"/>
  <c r="N23" i="71"/>
  <c r="B24" i="71" s="1"/>
  <c r="B25" i="71" s="1"/>
  <c r="B26" i="71" s="1"/>
  <c r="S26" i="71" s="1"/>
  <c r="D23" i="71"/>
  <c r="O22" i="71"/>
  <c r="C22" i="71" s="1"/>
  <c r="N22" i="71"/>
  <c r="B32" i="71"/>
  <c r="B33" i="71" s="1"/>
  <c r="B34" i="71" s="1"/>
  <c r="S34" i="71" s="1"/>
  <c r="N62" i="71"/>
  <c r="E28" i="71"/>
  <c r="AA28" i="71"/>
  <c r="X32" i="71"/>
  <c r="D32" i="71"/>
  <c r="P22" i="71"/>
  <c r="E22" i="71" s="1"/>
  <c r="E57" i="71"/>
  <c r="E58" i="71" s="1"/>
  <c r="U58" i="71" s="1"/>
  <c r="Q59" i="71"/>
  <c r="Q22" i="71"/>
  <c r="C49" i="71"/>
  <c r="D49" i="71" s="1"/>
  <c r="D56" i="71"/>
  <c r="T62" i="71"/>
  <c r="D62" i="71"/>
  <c r="Q62" i="71"/>
  <c r="E65" i="71"/>
  <c r="E64" i="71" s="1"/>
  <c r="C69" i="71"/>
  <c r="C68" i="71" s="1"/>
  <c r="D70" i="71"/>
  <c r="C73" i="71"/>
  <c r="C72" i="71" s="1"/>
  <c r="D72" i="71" s="1"/>
  <c r="D74" i="71"/>
  <c r="C77" i="71"/>
  <c r="D77" i="71" s="1"/>
  <c r="C81" i="71"/>
  <c r="C80" i="71" s="1"/>
  <c r="D80" i="71" s="1"/>
  <c r="F22" i="71"/>
  <c r="F21" i="71" s="1"/>
  <c r="F20" i="71" s="1"/>
  <c r="D68" i="71"/>
  <c r="D81" i="71"/>
  <c r="D73" i="71"/>
  <c r="O27" i="6"/>
  <c r="N27" i="6"/>
  <c r="P20" i="6"/>
  <c r="P21" i="6"/>
  <c r="P22" i="6"/>
  <c r="P23" i="6"/>
  <c r="P24" i="6"/>
  <c r="P25" i="6"/>
  <c r="P26" i="6"/>
  <c r="P19" i="6"/>
  <c r="P27" i="6" s="1"/>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Q18" i="36"/>
  <c r="Z18" i="36" s="1"/>
  <c r="D66" i="36"/>
  <c r="E66" i="36" s="1"/>
  <c r="F66" i="36" s="1"/>
  <c r="G66" i="36" s="1"/>
  <c r="H18" i="36"/>
  <c r="U18" i="36" s="1"/>
  <c r="F18" i="36"/>
  <c r="S18" i="36" s="1"/>
  <c r="C18" i="36"/>
  <c r="Z18" i="35"/>
  <c r="Q18" i="35"/>
  <c r="D68" i="35"/>
  <c r="E68" i="35" s="1"/>
  <c r="F68" i="35" s="1"/>
  <c r="F18" i="35"/>
  <c r="C18" i="35"/>
  <c r="Q21" i="37"/>
  <c r="Z21" i="37" s="1"/>
  <c r="D77" i="37"/>
  <c r="E77" i="37"/>
  <c r="F77" i="37" s="1"/>
  <c r="G77" i="37" s="1"/>
  <c r="C21" i="37"/>
  <c r="Z21" i="34"/>
  <c r="Q21" i="34"/>
  <c r="D84" i="34"/>
  <c r="E84" i="34" s="1"/>
  <c r="F84" i="34" s="1"/>
  <c r="F21" i="34"/>
  <c r="AA21" i="34" s="1"/>
  <c r="C21" i="34"/>
  <c r="Q21" i="33"/>
  <c r="Z21" i="33" s="1"/>
  <c r="D83" i="33"/>
  <c r="E83" i="33"/>
  <c r="F83" i="33" s="1"/>
  <c r="G83" i="33" s="1"/>
  <c r="C21" i="33"/>
  <c r="C21" i="21"/>
  <c r="Q21" i="21"/>
  <c r="Z21" i="21" s="1"/>
  <c r="H19" i="21"/>
  <c r="D83" i="21"/>
  <c r="F21" i="21"/>
  <c r="AA21" i="21" s="1"/>
  <c r="D81" i="21"/>
  <c r="G20" i="20"/>
  <c r="B86" i="43" s="1"/>
  <c r="C22" i="20"/>
  <c r="C25" i="40"/>
  <c r="H25" i="40"/>
  <c r="AB25" i="40" s="1"/>
  <c r="J25" i="40"/>
  <c r="AC25" i="40" s="1"/>
  <c r="H29" i="39"/>
  <c r="AB29" i="39" s="1"/>
  <c r="J29" i="39"/>
  <c r="AC29" i="39" s="1"/>
  <c r="J18" i="36"/>
  <c r="AC18" i="36" s="1"/>
  <c r="H18" i="35"/>
  <c r="U18" i="35" s="1"/>
  <c r="G68" i="35"/>
  <c r="J18" i="35"/>
  <c r="AC18" i="35" s="1"/>
  <c r="H21" i="37"/>
  <c r="U21" i="37" s="1"/>
  <c r="F21" i="37"/>
  <c r="AA21" i="37" s="1"/>
  <c r="H21" i="34"/>
  <c r="AB21" i="34" s="1"/>
  <c r="H21" i="33"/>
  <c r="U21" i="33" s="1"/>
  <c r="F21" i="33"/>
  <c r="S21" i="33" s="1"/>
  <c r="E83" i="21"/>
  <c r="F83" i="21" s="1"/>
  <c r="G83" i="21" s="1"/>
  <c r="S21" i="21"/>
  <c r="H1" i="69"/>
  <c r="W18" i="36"/>
  <c r="U21" i="34"/>
  <c r="AB18" i="35"/>
  <c r="J21" i="37"/>
  <c r="AC21" i="37" s="1"/>
  <c r="G84" i="34"/>
  <c r="J21" i="34"/>
  <c r="W21" i="34" s="1"/>
  <c r="J21" i="33"/>
  <c r="AC21" i="33" s="1"/>
  <c r="H21" i="21"/>
  <c r="AB21" i="21" s="1"/>
  <c r="F38" i="69"/>
  <c r="E37" i="69"/>
  <c r="F36" i="69"/>
  <c r="F35" i="69"/>
  <c r="F21" i="69"/>
  <c r="F40" i="69" s="1"/>
  <c r="F20" i="69"/>
  <c r="F39" i="69" s="1"/>
  <c r="E10" i="69"/>
  <c r="E9" i="69"/>
  <c r="C7" i="69"/>
  <c r="W21" i="37"/>
  <c r="AC21" i="34"/>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C27" i="66"/>
  <c r="C31" i="66" s="1"/>
  <c r="I23" i="66"/>
  <c r="D20" i="66"/>
  <c r="I19" i="66"/>
  <c r="I18" i="66"/>
  <c r="I17" i="66"/>
  <c r="I20" i="66"/>
  <c r="E15" i="66"/>
  <c r="I14" i="66"/>
  <c r="I13" i="66"/>
  <c r="I12" i="66"/>
  <c r="I15" i="66" s="1"/>
  <c r="I9" i="66"/>
  <c r="I8" i="66"/>
  <c r="I7" i="66"/>
  <c r="I6" i="66"/>
  <c r="I5" i="66"/>
  <c r="I4" i="66"/>
  <c r="I3" i="66"/>
  <c r="D1" i="43"/>
  <c r="F113" i="43"/>
  <c r="N99" i="43"/>
  <c r="N108" i="43" s="1"/>
  <c r="D99" i="43"/>
  <c r="D100"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E100" i="43"/>
  <c r="I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s="1"/>
  <c r="M87" i="43"/>
  <c r="N87" i="43" s="1"/>
  <c r="K87" i="43"/>
  <c r="J87" i="43" s="1"/>
  <c r="M86" i="43"/>
  <c r="N86" i="43"/>
  <c r="K86" i="43"/>
  <c r="J86" i="43"/>
  <c r="M85" i="43"/>
  <c r="N85" i="43"/>
  <c r="K85" i="43"/>
  <c r="J85" i="43" s="1"/>
  <c r="M84" i="43"/>
  <c r="N84" i="43" s="1"/>
  <c r="K84" i="43"/>
  <c r="J84" i="43" s="1"/>
  <c r="M83" i="43"/>
  <c r="N83" i="43"/>
  <c r="K83" i="43"/>
  <c r="J83" i="43"/>
  <c r="M82" i="43"/>
  <c r="N82" i="43"/>
  <c r="K82" i="43"/>
  <c r="J82" i="43" s="1"/>
  <c r="M81" i="43"/>
  <c r="N81" i="43" s="1"/>
  <c r="K81" i="43"/>
  <c r="J81" i="43" s="1"/>
  <c r="M78" i="43"/>
  <c r="N78" i="43"/>
  <c r="K78" i="43"/>
  <c r="J78" i="43"/>
  <c r="D78" i="43"/>
  <c r="M77" i="43"/>
  <c r="N77" i="43" s="1"/>
  <c r="K77" i="43"/>
  <c r="J77" i="43" s="1"/>
  <c r="D77" i="43"/>
  <c r="M76" i="43"/>
  <c r="N76" i="43"/>
  <c r="K76" i="43"/>
  <c r="J76" i="43" s="1"/>
  <c r="D76" i="43"/>
  <c r="M75" i="43"/>
  <c r="N75" i="43" s="1"/>
  <c r="K75" i="43"/>
  <c r="J75" i="43" s="1"/>
  <c r="D75" i="43"/>
  <c r="M74" i="43"/>
  <c r="N74" i="43" s="1"/>
  <c r="K74" i="43"/>
  <c r="J74" i="43" s="1"/>
  <c r="D74" i="43"/>
  <c r="M73" i="43"/>
  <c r="N73" i="43" s="1"/>
  <c r="K73" i="43"/>
  <c r="J73" i="43" s="1"/>
  <c r="D73" i="43"/>
  <c r="M72" i="43"/>
  <c r="N72" i="43"/>
  <c r="K72" i="43"/>
  <c r="J72" i="43"/>
  <c r="D72" i="43"/>
  <c r="M71" i="43"/>
  <c r="N71" i="43" s="1"/>
  <c r="K71" i="43"/>
  <c r="J71" i="43" s="1"/>
  <c r="D71" i="43"/>
  <c r="M70" i="43"/>
  <c r="N70" i="43"/>
  <c r="K70" i="43"/>
  <c r="J70" i="43" s="1"/>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M49" i="43"/>
  <c r="N49" i="43" s="1"/>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K10" i="1" s="1"/>
  <c r="A11" i="1"/>
  <c r="B11" i="1" s="1"/>
  <c r="E11" i="1" s="1"/>
  <c r="A12" i="1"/>
  <c r="A13" i="1"/>
  <c r="K13" i="1" s="1"/>
  <c r="A6" i="1"/>
  <c r="F3" i="35"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s="1"/>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L105" i="3" s="1"/>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G100" i="3" s="1"/>
  <c r="H100" i="3"/>
  <c r="BT99" i="3"/>
  <c r="BS99" i="3"/>
  <c r="BR99" i="3"/>
  <c r="BQ99" i="3"/>
  <c r="BP99" i="3"/>
  <c r="BO99" i="3"/>
  <c r="BN99" i="3"/>
  <c r="BM99" i="3"/>
  <c r="BK99" i="3"/>
  <c r="BJ99" i="3"/>
  <c r="BI99" i="3"/>
  <c r="BH99" i="3"/>
  <c r="BG99" i="3"/>
  <c r="BF99" i="3"/>
  <c r="BE99" i="3"/>
  <c r="BD99" i="3"/>
  <c r="BC99" i="3"/>
  <c r="BA99" i="3" s="1"/>
  <c r="BB99" i="3"/>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L95" i="3" s="1"/>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K93" i="3"/>
  <c r="BJ93" i="3"/>
  <c r="BI93" i="3"/>
  <c r="BH93" i="3"/>
  <c r="BG93" i="3"/>
  <c r="BF93" i="3"/>
  <c r="BE93" i="3"/>
  <c r="BD93" i="3"/>
  <c r="BC93" i="3"/>
  <c r="BB93" i="3"/>
  <c r="BA93" i="3" s="1"/>
  <c r="AX93" i="3"/>
  <c r="AW93" i="3"/>
  <c r="AV93" i="3"/>
  <c r="AC93" i="3"/>
  <c r="H93" i="3"/>
  <c r="BT92" i="3"/>
  <c r="BS92" i="3"/>
  <c r="BR92" i="3"/>
  <c r="BQ92" i="3"/>
  <c r="BP92" i="3"/>
  <c r="BO92" i="3"/>
  <c r="BN92" i="3"/>
  <c r="BM92" i="3"/>
  <c r="BK92" i="3"/>
  <c r="BJ92" i="3"/>
  <c r="BI92" i="3"/>
  <c r="BH92" i="3"/>
  <c r="BG92" i="3"/>
  <c r="BF92" i="3"/>
  <c r="BE92" i="3"/>
  <c r="BD92" i="3"/>
  <c r="BC92" i="3"/>
  <c r="BA92" i="3" s="1"/>
  <c r="BB92" i="3"/>
  <c r="AX92" i="3"/>
  <c r="AW92" i="3"/>
  <c r="AV92" i="3"/>
  <c r="AC92" i="3"/>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L89" i="3" s="1"/>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L87" i="3" s="1"/>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BA81" i="3" s="1"/>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L74" i="3" s="1"/>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A70" i="3" s="1"/>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L60" i="3" s="1"/>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BA52" i="3" s="1"/>
  <c r="AX52" i="3"/>
  <c r="AW52" i="3"/>
  <c r="AV52" i="3"/>
  <c r="AC52" i="3"/>
  <c r="H52" i="3"/>
  <c r="G52" i="3"/>
  <c r="BT51" i="3"/>
  <c r="BS51" i="3"/>
  <c r="BR51" i="3"/>
  <c r="BQ51" i="3"/>
  <c r="BP51" i="3"/>
  <c r="BO51" i="3"/>
  <c r="BN51" i="3"/>
  <c r="BM51" i="3"/>
  <c r="BK51" i="3"/>
  <c r="BJ51" i="3"/>
  <c r="BI51" i="3"/>
  <c r="BH51" i="3"/>
  <c r="BG51" i="3"/>
  <c r="BF51" i="3"/>
  <c r="BE51" i="3"/>
  <c r="BD51" i="3"/>
  <c r="BC51" i="3"/>
  <c r="BB51" i="3"/>
  <c r="BA51" i="3" s="1"/>
  <c r="AX51" i="3"/>
  <c r="AW51" i="3"/>
  <c r="AV51" i="3"/>
  <c r="AC51" i="3"/>
  <c r="H51" i="3"/>
  <c r="G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G48" i="3" s="1"/>
  <c r="H48" i="3"/>
  <c r="BT47" i="3"/>
  <c r="BS47" i="3"/>
  <c r="BR47" i="3"/>
  <c r="BQ47" i="3"/>
  <c r="BP47" i="3"/>
  <c r="BO47" i="3"/>
  <c r="BN47" i="3"/>
  <c r="BM47" i="3"/>
  <c r="BK47" i="3"/>
  <c r="BJ47" i="3"/>
  <c r="BI47" i="3"/>
  <c r="BH47" i="3"/>
  <c r="BG47" i="3"/>
  <c r="BF47" i="3"/>
  <c r="BE47" i="3"/>
  <c r="BD47" i="3"/>
  <c r="BC47" i="3"/>
  <c r="BB47" i="3"/>
  <c r="AX47" i="3"/>
  <c r="AW47" i="3"/>
  <c r="AV47" i="3"/>
  <c r="AC47" i="3"/>
  <c r="H47" i="3"/>
  <c r="G47" i="3" s="1"/>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AX43" i="3"/>
  <c r="AW43" i="3"/>
  <c r="AV43" i="3"/>
  <c r="AC43" i="3"/>
  <c r="H43" i="3"/>
  <c r="G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L36" i="3" s="1"/>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K32" i="3"/>
  <c r="BJ32" i="3"/>
  <c r="BI32" i="3"/>
  <c r="BH32" i="3"/>
  <c r="BG32" i="3"/>
  <c r="BF32" i="3"/>
  <c r="BE32" i="3"/>
  <c r="BD32" i="3"/>
  <c r="BC32" i="3"/>
  <c r="BB32" i="3"/>
  <c r="BA32" i="3" s="1"/>
  <c r="AX32" i="3"/>
  <c r="AW32" i="3"/>
  <c r="AV32" i="3"/>
  <c r="AC32" i="3"/>
  <c r="H32" i="3"/>
  <c r="G32" i="3"/>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BA26" i="3" s="1"/>
  <c r="AX26" i="3"/>
  <c r="AW26" i="3"/>
  <c r="AV26" i="3"/>
  <c r="AC26" i="3"/>
  <c r="H26" i="3"/>
  <c r="G26" i="3"/>
  <c r="BT25" i="3"/>
  <c r="BS25" i="3"/>
  <c r="BR25" i="3"/>
  <c r="BQ25" i="3"/>
  <c r="BP25" i="3"/>
  <c r="BO25" i="3"/>
  <c r="BN25" i="3"/>
  <c r="BM25" i="3"/>
  <c r="BK25" i="3"/>
  <c r="BJ25" i="3"/>
  <c r="BI25" i="3"/>
  <c r="BH25" i="3"/>
  <c r="BG25" i="3"/>
  <c r="BF25" i="3"/>
  <c r="BE25" i="3"/>
  <c r="BD25" i="3"/>
  <c r="BC25" i="3"/>
  <c r="BB25" i="3"/>
  <c r="BA25" i="3" s="1"/>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A162" i="3" s="1"/>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G151" i="3" s="1"/>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G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L121" i="3" s="1"/>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G120" i="3" s="1"/>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BA298" i="3" s="1"/>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s="1"/>
  <c r="AX277" i="3"/>
  <c r="AW277" i="3"/>
  <c r="AV277" i="3"/>
  <c r="AC277" i="3"/>
  <c r="H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BT263" i="3"/>
  <c r="BS263" i="3"/>
  <c r="BR263" i="3"/>
  <c r="BQ263" i="3"/>
  <c r="BP263" i="3"/>
  <c r="BO263" i="3"/>
  <c r="BN263" i="3"/>
  <c r="BL263" i="3" s="1"/>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L259" i="3" s="1"/>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A256" i="3" s="1"/>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G251" i="3" s="1"/>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s="1"/>
  <c r="AX249" i="3"/>
  <c r="AW249" i="3"/>
  <c r="AV249" i="3"/>
  <c r="AC249" i="3"/>
  <c r="G249" i="3" s="1"/>
  <c r="H249" i="3"/>
  <c r="BT248" i="3"/>
  <c r="BS248" i="3"/>
  <c r="BR248" i="3"/>
  <c r="BQ248" i="3"/>
  <c r="BP248" i="3"/>
  <c r="BO248" i="3"/>
  <c r="BN248" i="3"/>
  <c r="BM248" i="3"/>
  <c r="BK248" i="3"/>
  <c r="BJ248" i="3"/>
  <c r="BI248" i="3"/>
  <c r="BH248" i="3"/>
  <c r="BG248" i="3"/>
  <c r="BF248" i="3"/>
  <c r="BE248" i="3"/>
  <c r="BD248" i="3"/>
  <c r="BC248" i="3"/>
  <c r="BA248" i="3" s="1"/>
  <c r="BB248" i="3"/>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s="1"/>
  <c r="AX247" i="3"/>
  <c r="AW247" i="3"/>
  <c r="AV247" i="3"/>
  <c r="AC247" i="3"/>
  <c r="H247" i="3"/>
  <c r="BT246" i="3"/>
  <c r="BS246" i="3"/>
  <c r="BR246" i="3"/>
  <c r="BQ246" i="3"/>
  <c r="BP246" i="3"/>
  <c r="BO246" i="3"/>
  <c r="BN246" i="3"/>
  <c r="BM246" i="3"/>
  <c r="BL246" i="3" s="1"/>
  <c r="BK246" i="3"/>
  <c r="BJ246" i="3"/>
  <c r="BI246" i="3"/>
  <c r="BH246" i="3"/>
  <c r="BG246" i="3"/>
  <c r="BF246" i="3"/>
  <c r="BE246" i="3"/>
  <c r="BD246" i="3"/>
  <c r="BC246" i="3"/>
  <c r="BB246" i="3"/>
  <c r="BA246" i="3" s="1"/>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BA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s="1"/>
  <c r="AX237" i="3"/>
  <c r="AW237" i="3"/>
  <c r="AV237" i="3"/>
  <c r="AC237" i="3"/>
  <c r="G237" i="3" s="1"/>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G224" i="3" s="1"/>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H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L217" i="3" s="1"/>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A211" i="3" s="1"/>
  <c r="BB211" i="3"/>
  <c r="AX211" i="3"/>
  <c r="AW211" i="3"/>
  <c r="AV211" i="3"/>
  <c r="AC211" i="3"/>
  <c r="H211" i="3"/>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G362" i="3" s="1"/>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A484" i="3" s="1"/>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BA474" i="3" s="1"/>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L456" i="3" s="1"/>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BA455" i="3" s="1"/>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L448" i="3" s="1"/>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s="1"/>
  <c r="AX447" i="3"/>
  <c r="AW447" i="3"/>
  <c r="AV447" i="3"/>
  <c r="AC447" i="3"/>
  <c r="H447" i="3"/>
  <c r="BT446" i="3"/>
  <c r="BS446" i="3"/>
  <c r="BR446" i="3"/>
  <c r="BQ446" i="3"/>
  <c r="BP446" i="3"/>
  <c r="BO446" i="3"/>
  <c r="BN446" i="3"/>
  <c r="BM446" i="3"/>
  <c r="BK446" i="3"/>
  <c r="BJ446" i="3"/>
  <c r="BI446" i="3"/>
  <c r="BH446" i="3"/>
  <c r="BG446" i="3"/>
  <c r="BF446" i="3"/>
  <c r="BE446" i="3"/>
  <c r="BD446" i="3"/>
  <c r="BC446" i="3"/>
  <c r="BA446" i="3" s="1"/>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BA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BA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BA423" i="3" s="1"/>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BT413" i="3"/>
  <c r="BS413" i="3"/>
  <c r="BR413" i="3"/>
  <c r="BQ413" i="3"/>
  <c r="BP413" i="3"/>
  <c r="BO413" i="3"/>
  <c r="BN413" i="3"/>
  <c r="BM413" i="3"/>
  <c r="BL413" i="3" s="1"/>
  <c r="BK413" i="3"/>
  <c r="BJ413" i="3"/>
  <c r="BI413" i="3"/>
  <c r="BH413" i="3"/>
  <c r="BG413" i="3"/>
  <c r="BF413" i="3"/>
  <c r="BE413" i="3"/>
  <c r="BD413" i="3"/>
  <c r="BC413" i="3"/>
  <c r="BB413" i="3"/>
  <c r="BA413" i="3" s="1"/>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s="1"/>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s="1"/>
  <c r="D2" i="52"/>
  <c r="B46" i="72"/>
  <c r="B8" i="53"/>
  <c r="B23" i="72" s="1"/>
  <c r="L4" i="9"/>
  <c r="B17" i="72"/>
  <c r="B15" i="72"/>
  <c r="A3" i="51"/>
  <c r="C8" i="11"/>
  <c r="B40" i="48"/>
  <c r="B3" i="72" s="1"/>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s="1"/>
  <c r="I55" i="34"/>
  <c r="J55" i="34" s="1"/>
  <c r="G55" i="34"/>
  <c r="H55" i="34" s="1"/>
  <c r="E55" i="34"/>
  <c r="F55" i="34" s="1"/>
  <c r="I48" i="40"/>
  <c r="J48" i="40" s="1"/>
  <c r="G48" i="40"/>
  <c r="H48" i="40" s="1"/>
  <c r="E48" i="40"/>
  <c r="F48" i="40" s="1"/>
  <c r="I53" i="39"/>
  <c r="J53" i="39"/>
  <c r="G53" i="39"/>
  <c r="H53" i="39" s="1"/>
  <c r="E53" i="39"/>
  <c r="F53" i="39" s="1"/>
  <c r="I42" i="36"/>
  <c r="J42" i="36"/>
  <c r="G42" i="36"/>
  <c r="H42" i="36"/>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BL506" i="3" s="1"/>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G528" i="3" s="1"/>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L540" i="3" s="1"/>
  <c r="BT540" i="3"/>
  <c r="H541" i="3"/>
  <c r="AC541" i="3"/>
  <c r="BB541" i="3"/>
  <c r="BC541" i="3"/>
  <c r="BD541" i="3"/>
  <c r="BE541" i="3"/>
  <c r="BF541" i="3"/>
  <c r="BG541" i="3"/>
  <c r="BH541" i="3"/>
  <c r="BI541" i="3"/>
  <c r="BJ541" i="3"/>
  <c r="BA541" i="3" s="1"/>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H36" i="39" s="1"/>
  <c r="AB36" i="39" s="1"/>
  <c r="J30" i="36"/>
  <c r="AC30" i="36" s="1"/>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J41" i="33"/>
  <c r="D113" i="33"/>
  <c r="E113" i="33" s="1"/>
  <c r="F37" i="33"/>
  <c r="S37" i="33" s="1"/>
  <c r="D111" i="33"/>
  <c r="E111" i="33" s="1"/>
  <c r="F111" i="33" s="1"/>
  <c r="S515" i="31"/>
  <c r="S516" i="31"/>
  <c r="S517" i="31"/>
  <c r="S518" i="31"/>
  <c r="S519" i="31"/>
  <c r="S520" i="31"/>
  <c r="S521" i="31"/>
  <c r="S522" i="31"/>
  <c r="S523" i="31"/>
  <c r="S524"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F40" i="40" s="1"/>
  <c r="AA40" i="40" s="1"/>
  <c r="B118" i="40"/>
  <c r="F39" i="40" s="1"/>
  <c r="AA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J27" i="40" s="1"/>
  <c r="AC27" i="40" s="1"/>
  <c r="D92" i="40"/>
  <c r="E92" i="40" s="1"/>
  <c r="F92" i="40" s="1"/>
  <c r="G92" i="40" s="1"/>
  <c r="D90" i="40"/>
  <c r="E90" i="40" s="1"/>
  <c r="F90" i="40" s="1"/>
  <c r="G90" i="40" s="1"/>
  <c r="D88" i="40"/>
  <c r="E88" i="40" s="1"/>
  <c r="D86" i="40"/>
  <c r="E86" i="40" s="1"/>
  <c r="F86" i="40" s="1"/>
  <c r="G86" i="40" s="1"/>
  <c r="D84" i="40"/>
  <c r="E84" i="40" s="1"/>
  <c r="F84" i="40" s="1"/>
  <c r="G84" i="40" s="1"/>
  <c r="B81" i="40"/>
  <c r="H14" i="40" s="1"/>
  <c r="AB14" i="40" s="1"/>
  <c r="B79" i="40"/>
  <c r="B77" i="40"/>
  <c r="J12" i="40" s="1"/>
  <c r="AC12" i="40" s="1"/>
  <c r="M74" i="40"/>
  <c r="L74" i="40"/>
  <c r="K74" i="40"/>
  <c r="J74" i="40"/>
  <c r="I74" i="40"/>
  <c r="H74" i="40"/>
  <c r="G74" i="40"/>
  <c r="F74" i="40"/>
  <c r="E74" i="40"/>
  <c r="D74" i="40"/>
  <c r="C74" i="40"/>
  <c r="P43" i="40"/>
  <c r="P42" i="40"/>
  <c r="V41" i="40"/>
  <c r="T41" i="40"/>
  <c r="R41" i="40"/>
  <c r="P41" i="40"/>
  <c r="Q40" i="40"/>
  <c r="Z40" i="40" s="1"/>
  <c r="J40" i="40"/>
  <c r="W40" i="40" s="1"/>
  <c r="H40" i="40"/>
  <c r="AB40" i="40" s="1"/>
  <c r="Q39" i="40"/>
  <c r="Z39" i="40" s="1"/>
  <c r="Q38" i="40"/>
  <c r="Z38" i="40" s="1"/>
  <c r="J38" i="40"/>
  <c r="AC38" i="40" s="1"/>
  <c r="Q37" i="40"/>
  <c r="Z37" i="40" s="1"/>
  <c r="Q36" i="40"/>
  <c r="Z36" i="40" s="1"/>
  <c r="Q35" i="40"/>
  <c r="Z35" i="40" s="1"/>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S34" i="39" s="1"/>
  <c r="AA34" i="39"/>
  <c r="D107" i="39"/>
  <c r="E107" i="39"/>
  <c r="D105" i="39"/>
  <c r="E105" i="39" s="1"/>
  <c r="F105" i="39" s="1"/>
  <c r="G105" i="39" s="1"/>
  <c r="H105" i="39" s="1"/>
  <c r="I105" i="39" s="1"/>
  <c r="J105" i="39" s="1"/>
  <c r="K105" i="39" s="1"/>
  <c r="L105" i="39" s="1"/>
  <c r="M105" i="39" s="1"/>
  <c r="D101" i="39"/>
  <c r="E101" i="39" s="1"/>
  <c r="F101"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AB31" i="39" s="1"/>
  <c r="D97" i="39"/>
  <c r="E97" i="39" s="1"/>
  <c r="J23" i="39"/>
  <c r="AC23" i="39" s="1"/>
  <c r="D95" i="39"/>
  <c r="E95" i="39" s="1"/>
  <c r="F95" i="39" s="1"/>
  <c r="D93" i="39"/>
  <c r="E93" i="39" s="1"/>
  <c r="F93" i="39" s="1"/>
  <c r="G93" i="39" s="1"/>
  <c r="D91" i="39"/>
  <c r="E91" i="39" s="1"/>
  <c r="F91" i="39" s="1"/>
  <c r="G91" i="39" s="1"/>
  <c r="D89" i="39"/>
  <c r="E89" i="39" s="1"/>
  <c r="F89" i="39" s="1"/>
  <c r="G89" i="39" s="1"/>
  <c r="B86" i="39"/>
  <c r="B84" i="39"/>
  <c r="F13" i="39" s="1"/>
  <c r="B82" i="39"/>
  <c r="J12" i="39"/>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F9" i="39"/>
  <c r="AA9" i="39" s="1"/>
  <c r="J8" i="39"/>
  <c r="AC8" i="39" s="1"/>
  <c r="H8" i="39"/>
  <c r="U8" i="39" s="1"/>
  <c r="F8" i="39"/>
  <c r="AA8" i="39" s="1"/>
  <c r="C20" i="36"/>
  <c r="C20" i="35"/>
  <c r="C16" i="36"/>
  <c r="C16" i="35"/>
  <c r="C14" i="36"/>
  <c r="C14" i="35"/>
  <c r="B80" i="37"/>
  <c r="B110" i="37"/>
  <c r="B108" i="37"/>
  <c r="C23" i="37"/>
  <c r="C19" i="37"/>
  <c r="C17" i="37"/>
  <c r="C15" i="37"/>
  <c r="B112" i="37"/>
  <c r="D107" i="37"/>
  <c r="E107" i="37" s="1"/>
  <c r="D105" i="37"/>
  <c r="E105" i="37" s="1"/>
  <c r="D103" i="37"/>
  <c r="J35" i="37"/>
  <c r="W35" i="37" s="1"/>
  <c r="F97" i="37"/>
  <c r="E97" i="37"/>
  <c r="D97" i="37"/>
  <c r="C97" i="37"/>
  <c r="D96" i="37"/>
  <c r="E96" i="37" s="1"/>
  <c r="F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AA28" i="37" s="1"/>
  <c r="B84" i="37"/>
  <c r="H27" i="37" s="1"/>
  <c r="U27" i="37" s="1"/>
  <c r="B82" i="37"/>
  <c r="J26" i="37" s="1"/>
  <c r="AC26" i="37" s="1"/>
  <c r="D79" i="37"/>
  <c r="E79" i="37" s="1"/>
  <c r="D75" i="37"/>
  <c r="E75" i="37" s="1"/>
  <c r="D73" i="37"/>
  <c r="E73" i="37" s="1"/>
  <c r="F73" i="37" s="1"/>
  <c r="D71" i="37"/>
  <c r="E71" i="37" s="1"/>
  <c r="H15" i="37"/>
  <c r="AB15" i="37" s="1"/>
  <c r="B68" i="37"/>
  <c r="H14" i="37" s="1"/>
  <c r="AB14" i="37" s="1"/>
  <c r="B66" i="37"/>
  <c r="H13" i="37" s="1"/>
  <c r="B64" i="37"/>
  <c r="J12" i="37" s="1"/>
  <c r="W12" i="37" s="1"/>
  <c r="D63" i="37"/>
  <c r="E63" i="37" s="1"/>
  <c r="M61" i="37"/>
  <c r="L61" i="37"/>
  <c r="K61" i="37"/>
  <c r="J61" i="37"/>
  <c r="I61" i="37"/>
  <c r="H61" i="37"/>
  <c r="G61" i="37"/>
  <c r="F61" i="37"/>
  <c r="E61" i="37"/>
  <c r="D61" i="37"/>
  <c r="C61" i="37"/>
  <c r="F60" i="37"/>
  <c r="G60" i="37"/>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F26" i="37"/>
  <c r="AA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P37" i="36"/>
  <c r="P36" i="36"/>
  <c r="V35" i="36"/>
  <c r="T35" i="36"/>
  <c r="R35" i="36"/>
  <c r="P35" i="36"/>
  <c r="Q34" i="36"/>
  <c r="Z34" i="36" s="1"/>
  <c r="Q33" i="36"/>
  <c r="Z33" i="36" s="1"/>
  <c r="Q32" i="36"/>
  <c r="Z32" i="36"/>
  <c r="Q31" i="36"/>
  <c r="Z31" i="36"/>
  <c r="Q30" i="36"/>
  <c r="Z30" i="36" s="1"/>
  <c r="Q29" i="36"/>
  <c r="Z29" i="36" s="1"/>
  <c r="Q28" i="36"/>
  <c r="Z28" i="36" s="1"/>
  <c r="J28" i="36"/>
  <c r="Q27" i="36"/>
  <c r="Z27" i="36" s="1"/>
  <c r="Q26" i="36"/>
  <c r="Z26" i="36" s="1"/>
  <c r="H26" i="36"/>
  <c r="AB26" i="36" s="1"/>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H11" i="35" s="1"/>
  <c r="B61" i="35"/>
  <c r="B59" i="35"/>
  <c r="H12" i="35" s="1"/>
  <c r="B131" i="34"/>
  <c r="H47" i="34" s="1"/>
  <c r="U47" i="34" s="1"/>
  <c r="B129" i="34"/>
  <c r="B127" i="34"/>
  <c r="B99" i="34"/>
  <c r="B97" i="34"/>
  <c r="J31" i="34" s="1"/>
  <c r="AC31" i="34" s="1"/>
  <c r="B95" i="34"/>
  <c r="B93" i="34"/>
  <c r="B75" i="34"/>
  <c r="B73" i="34"/>
  <c r="B71" i="34"/>
  <c r="B130" i="33"/>
  <c r="B128" i="33"/>
  <c r="H45" i="33" s="1"/>
  <c r="U45" i="33" s="1"/>
  <c r="B126" i="33"/>
  <c r="H44" i="33" s="1"/>
  <c r="B98" i="33"/>
  <c r="B96" i="33"/>
  <c r="B94" i="33"/>
  <c r="B74" i="33"/>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c r="F64" i="35" s="1"/>
  <c r="G64" i="35" s="1"/>
  <c r="J14" i="35"/>
  <c r="W14" i="35"/>
  <c r="F56" i="35"/>
  <c r="G56" i="35" s="1"/>
  <c r="H56" i="35" s="1"/>
  <c r="I56" i="35" s="1"/>
  <c r="C53" i="35"/>
  <c r="J9" i="35" s="1"/>
  <c r="P39" i="35"/>
  <c r="P38" i="35"/>
  <c r="V37" i="35"/>
  <c r="T37" i="35"/>
  <c r="R37" i="35"/>
  <c r="P37" i="35"/>
  <c r="Q36" i="35"/>
  <c r="Z36" i="35" s="1"/>
  <c r="Q35" i="35"/>
  <c r="Z35" i="35" s="1"/>
  <c r="Q34" i="35"/>
  <c r="Z34" i="35"/>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J9" i="34" s="1"/>
  <c r="P50" i="34"/>
  <c r="P49" i="34"/>
  <c r="V48" i="34"/>
  <c r="T48" i="34"/>
  <c r="R48" i="34"/>
  <c r="P48" i="34"/>
  <c r="Q47" i="34"/>
  <c r="Z47" i="34"/>
  <c r="Q46" i="34"/>
  <c r="Z46" i="34"/>
  <c r="Q45" i="34"/>
  <c r="Z45" i="34" s="1"/>
  <c r="Q44" i="34"/>
  <c r="Z44" i="34" s="1"/>
  <c r="Q43" i="34"/>
  <c r="Z43" i="34"/>
  <c r="Q42" i="34"/>
  <c r="Z42" i="34"/>
  <c r="Q41" i="34"/>
  <c r="Z41" i="34"/>
  <c r="Q40" i="34"/>
  <c r="Z40" i="34"/>
  <c r="Q39" i="34"/>
  <c r="Z39" i="34" s="1"/>
  <c r="H39" i="34"/>
  <c r="AB39" i="34" s="1"/>
  <c r="Q38" i="34"/>
  <c r="Z38" i="34"/>
  <c r="Q37" i="34"/>
  <c r="Z37" i="34"/>
  <c r="Q36" i="34"/>
  <c r="Z36" i="34"/>
  <c r="Q35" i="34"/>
  <c r="Z35" i="34"/>
  <c r="Q34" i="34"/>
  <c r="Z34" i="34" s="1"/>
  <c r="J34" i="34"/>
  <c r="AC34" i="34" s="1"/>
  <c r="H34" i="34"/>
  <c r="AB34" i="34"/>
  <c r="F34" i="34"/>
  <c r="AA34" i="34"/>
  <c r="Q33" i="34"/>
  <c r="Z33" i="34"/>
  <c r="Q32" i="34"/>
  <c r="Z32" i="34"/>
  <c r="Q31" i="34"/>
  <c r="Z31" i="34" s="1"/>
  <c r="Q30" i="34"/>
  <c r="Z30" i="34" s="1"/>
  <c r="Q29" i="34"/>
  <c r="Z29" i="34"/>
  <c r="Q28" i="34"/>
  <c r="Z28" i="34"/>
  <c r="Q27" i="34"/>
  <c r="Z27" i="34"/>
  <c r="Q25" i="34"/>
  <c r="Z25" i="34"/>
  <c r="Q23" i="34"/>
  <c r="Z23" i="34" s="1"/>
  <c r="C23" i="34"/>
  <c r="Q19" i="34"/>
  <c r="Z19" i="34" s="1"/>
  <c r="C19" i="34"/>
  <c r="Q17" i="34"/>
  <c r="Z17" i="34"/>
  <c r="C17" i="34"/>
  <c r="Q15" i="34"/>
  <c r="Z15" i="34" s="1"/>
  <c r="Q14" i="34"/>
  <c r="Z14" i="34" s="1"/>
  <c r="Q13" i="34"/>
  <c r="Z13" i="34" s="1"/>
  <c r="Q12" i="34"/>
  <c r="Z12" i="34" s="1"/>
  <c r="J12" i="34"/>
  <c r="W12" i="34" s="1"/>
  <c r="Q11" i="34"/>
  <c r="Z11" i="34" s="1"/>
  <c r="Q10" i="34"/>
  <c r="Z10" i="34" s="1"/>
  <c r="F10" i="34"/>
  <c r="AA10" i="34" s="1"/>
  <c r="Q9" i="34"/>
  <c r="Z9" i="34" s="1"/>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F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J39" i="33"/>
  <c r="AC39" i="33" s="1"/>
  <c r="Q38" i="33"/>
  <c r="Z38" i="33"/>
  <c r="J38" i="33"/>
  <c r="AC38" i="33"/>
  <c r="H38" i="33"/>
  <c r="AB38" i="33" s="1"/>
  <c r="F38" i="33"/>
  <c r="Q37" i="33"/>
  <c r="Z37" i="33" s="1"/>
  <c r="Q36" i="33"/>
  <c r="Z36" i="33" s="1"/>
  <c r="Q35" i="33"/>
  <c r="Z35" i="33" s="1"/>
  <c r="H35" i="33"/>
  <c r="Q34" i="33"/>
  <c r="Z34" i="33" s="1"/>
  <c r="Q33" i="33"/>
  <c r="Z33" i="33"/>
  <c r="J33" i="33"/>
  <c r="AC33" i="33" s="1"/>
  <c r="H33" i="33"/>
  <c r="F33" i="33"/>
  <c r="AA33" i="33"/>
  <c r="Q32" i="33"/>
  <c r="Z32" i="33"/>
  <c r="Q31" i="33"/>
  <c r="Z31" i="33" s="1"/>
  <c r="Q30" i="33"/>
  <c r="Z30" i="33" s="1"/>
  <c r="Q29" i="33"/>
  <c r="Z29" i="33" s="1"/>
  <c r="Q28" i="33"/>
  <c r="Z28" i="33" s="1"/>
  <c r="Q27" i="33"/>
  <c r="Z27" i="33" s="1"/>
  <c r="Q26" i="33"/>
  <c r="Z26" i="33" s="1"/>
  <c r="Q25" i="33"/>
  <c r="Z25" i="33" s="1"/>
  <c r="Q23" i="33"/>
  <c r="Z23" i="33"/>
  <c r="Q19" i="33"/>
  <c r="Z19" i="33" s="1"/>
  <c r="Q17" i="33"/>
  <c r="Z17" i="33" s="1"/>
  <c r="Q15" i="33"/>
  <c r="Z15" i="33"/>
  <c r="F15" i="33"/>
  <c r="AA15" i="33"/>
  <c r="Q14" i="33"/>
  <c r="Z14" i="33" s="1"/>
  <c r="Q13" i="33"/>
  <c r="Z13" i="33" s="1"/>
  <c r="Q12" i="33"/>
  <c r="Z12" i="33" s="1"/>
  <c r="Q11" i="33"/>
  <c r="Z11" i="33" s="1"/>
  <c r="Q10" i="33"/>
  <c r="Z10" i="33" s="1"/>
  <c r="Q9" i="33"/>
  <c r="Z9" i="33" s="1"/>
  <c r="J8" i="33"/>
  <c r="AC8" i="33"/>
  <c r="H8" i="33"/>
  <c r="AB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C18" i="20"/>
  <c r="C17" i="20"/>
  <c r="B59" i="43" s="1"/>
  <c r="C16" i="20"/>
  <c r="C17" i="39" s="1"/>
  <c r="C15" i="20"/>
  <c r="E54" i="21"/>
  <c r="F54" i="21" s="1"/>
  <c r="I54" i="21"/>
  <c r="J54" i="21" s="1"/>
  <c r="G54" i="21"/>
  <c r="H54" i="21" s="1"/>
  <c r="D125" i="21"/>
  <c r="E125" i="21" s="1"/>
  <c r="F125" i="21" s="1"/>
  <c r="G125" i="21" s="1"/>
  <c r="D123" i="21"/>
  <c r="E123" i="21" s="1"/>
  <c r="F123" i="21" s="1"/>
  <c r="G123" i="21" s="1"/>
  <c r="F42" i="21"/>
  <c r="AA42" i="21" s="1"/>
  <c r="D119" i="21"/>
  <c r="F40"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J44" i="21" s="1"/>
  <c r="AC44" i="21" s="1"/>
  <c r="B98" i="21"/>
  <c r="H31" i="21" s="1"/>
  <c r="B96" i="21"/>
  <c r="B94" i="21"/>
  <c r="J29" i="21"/>
  <c r="AC29" i="21" s="1"/>
  <c r="B92" i="21"/>
  <c r="J28" i="21" s="1"/>
  <c r="W28" i="21" s="1"/>
  <c r="B90" i="21"/>
  <c r="J27" i="21" s="1"/>
  <c r="W27" i="21" s="1"/>
  <c r="B74" i="21"/>
  <c r="B72" i="21"/>
  <c r="H13" i="21"/>
  <c r="AB13" i="21" s="1"/>
  <c r="B70" i="21"/>
  <c r="F12" i="21"/>
  <c r="S12" i="21" s="1"/>
  <c r="C19" i="21"/>
  <c r="C17" i="21"/>
  <c r="C23" i="21"/>
  <c r="Q9" i="21"/>
  <c r="Z9" i="21" s="1"/>
  <c r="Q10" i="21"/>
  <c r="Z10" i="21" s="1"/>
  <c r="Q11" i="21"/>
  <c r="Z11" i="21" s="1"/>
  <c r="Q12" i="21"/>
  <c r="Z12" i="21"/>
  <c r="Q13" i="21"/>
  <c r="Z13" i="21" s="1"/>
  <c r="Q14" i="21"/>
  <c r="Z14" i="21" s="1"/>
  <c r="Q15" i="21"/>
  <c r="Z15" i="21"/>
  <c r="Q17" i="21"/>
  <c r="Z17" i="21"/>
  <c r="Q19" i="21"/>
  <c r="Z19" i="21" s="1"/>
  <c r="Q23" i="21"/>
  <c r="Z23" i="21" s="1"/>
  <c r="Q25" i="21"/>
  <c r="Z25" i="21" s="1"/>
  <c r="Q26" i="21"/>
  <c r="Z26" i="21" s="1"/>
  <c r="Q27" i="21"/>
  <c r="Z27" i="21" s="1"/>
  <c r="Q28" i="21"/>
  <c r="Z28" i="21" s="1"/>
  <c r="Q29" i="21"/>
  <c r="Z29" i="21" s="1"/>
  <c r="Q30" i="21"/>
  <c r="Z30" i="21"/>
  <c r="Q31" i="21"/>
  <c r="Z31" i="21" s="1"/>
  <c r="Q32" i="21"/>
  <c r="Z32" i="21" s="1"/>
  <c r="Q33" i="21"/>
  <c r="Z33" i="21"/>
  <c r="Q34" i="21"/>
  <c r="Z34" i="21"/>
  <c r="J35" i="21"/>
  <c r="W35" i="21" s="1"/>
  <c r="Q35" i="21"/>
  <c r="Z35" i="21" s="1"/>
  <c r="Q36" i="21"/>
  <c r="Z36" i="21" s="1"/>
  <c r="Q37" i="21"/>
  <c r="Z37" i="21" s="1"/>
  <c r="J38" i="21"/>
  <c r="W38" i="21" s="1"/>
  <c r="Q38" i="21"/>
  <c r="Z38" i="21" s="1"/>
  <c r="J39" i="21"/>
  <c r="AC39" i="21" s="1"/>
  <c r="Q39" i="21"/>
  <c r="Z39" i="21"/>
  <c r="H40" i="21"/>
  <c r="AB40" i="21" s="1"/>
  <c r="Q40" i="21"/>
  <c r="Z40" i="21" s="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A585" i="3" s="1"/>
  <c r="AZ585" i="3" s="1"/>
  <c r="BD585" i="3"/>
  <c r="BE585" i="3"/>
  <c r="BF585" i="3"/>
  <c r="BG585" i="3"/>
  <c r="BG5" i="3" s="1"/>
  <c r="BH585" i="3"/>
  <c r="BI585" i="3"/>
  <c r="BJ585" i="3"/>
  <c r="BK585" i="3"/>
  <c r="BK5" i="3" s="1"/>
  <c r="BM585" i="3"/>
  <c r="BN585" i="3"/>
  <c r="BO585" i="3"/>
  <c r="BP585" i="3"/>
  <c r="BP5" i="3" s="1"/>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A587" i="3" s="1"/>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c r="J26" i="21"/>
  <c r="W26" i="21"/>
  <c r="F26" i="21"/>
  <c r="S26" i="21"/>
  <c r="S41" i="21"/>
  <c r="F36" i="39"/>
  <c r="S36" i="39" s="1"/>
  <c r="J35" i="39"/>
  <c r="AC35" i="39" s="1"/>
  <c r="F35" i="39"/>
  <c r="AA35" i="39" s="1"/>
  <c r="J36" i="39"/>
  <c r="AC36" i="39" s="1"/>
  <c r="E103" i="37"/>
  <c r="F103" i="37" s="1"/>
  <c r="G103" i="37" s="1"/>
  <c r="H103" i="37" s="1"/>
  <c r="I103" i="37" s="1"/>
  <c r="J103" i="37" s="1"/>
  <c r="K103" i="37" s="1"/>
  <c r="L103" i="37" s="1"/>
  <c r="M103" i="37" s="1"/>
  <c r="F29" i="36"/>
  <c r="AA29" i="36"/>
  <c r="W8" i="36"/>
  <c r="F16" i="36"/>
  <c r="AA16" i="36" s="1"/>
  <c r="S30" i="36"/>
  <c r="AC31" i="36"/>
  <c r="W31" i="36"/>
  <c r="H22" i="35"/>
  <c r="AB22" i="35" s="1"/>
  <c r="AC27" i="35"/>
  <c r="W22" i="35"/>
  <c r="F36" i="34"/>
  <c r="J35" i="34"/>
  <c r="W35" i="34" s="1"/>
  <c r="S34" i="34"/>
  <c r="U34" i="34"/>
  <c r="H39" i="33"/>
  <c r="AB39" i="33"/>
  <c r="S40" i="33"/>
  <c r="W33" i="33"/>
  <c r="W39" i="33"/>
  <c r="F11" i="40"/>
  <c r="AA11" i="40" s="1"/>
  <c r="H11" i="40"/>
  <c r="AB11" i="40" s="1"/>
  <c r="W8" i="40"/>
  <c r="AC40" i="40"/>
  <c r="U9" i="40"/>
  <c r="S40" i="40"/>
  <c r="U34" i="40"/>
  <c r="F42" i="39"/>
  <c r="AA42" i="39" s="1"/>
  <c r="F41" i="39"/>
  <c r="S41" i="39" s="1"/>
  <c r="H40" i="39"/>
  <c r="AB40" i="39"/>
  <c r="H39" i="39"/>
  <c r="U39" i="39"/>
  <c r="H34" i="39"/>
  <c r="U34" i="39" s="1"/>
  <c r="F31" i="39"/>
  <c r="AA31" i="39" s="1"/>
  <c r="H19" i="39"/>
  <c r="AB19" i="39"/>
  <c r="F19" i="39"/>
  <c r="AA19" i="39"/>
  <c r="H17" i="39"/>
  <c r="AB17" i="39" s="1"/>
  <c r="F17" i="39"/>
  <c r="AA17" i="39" s="1"/>
  <c r="J23" i="40"/>
  <c r="AC23" i="40" s="1"/>
  <c r="F21" i="40"/>
  <c r="AA21" i="40" s="1"/>
  <c r="J21" i="40"/>
  <c r="W21" i="40" s="1"/>
  <c r="H42" i="39"/>
  <c r="AB42" i="39" s="1"/>
  <c r="J34" i="39"/>
  <c r="AC34" i="39" s="1"/>
  <c r="J31" i="39"/>
  <c r="H27" i="39"/>
  <c r="U27" i="39" s="1"/>
  <c r="J19" i="39"/>
  <c r="AC19" i="39"/>
  <c r="J17" i="39"/>
  <c r="J27" i="39"/>
  <c r="AC27" i="39" s="1"/>
  <c r="F27" i="39"/>
  <c r="F11" i="21"/>
  <c r="S11" i="21" s="1"/>
  <c r="U34" i="21"/>
  <c r="C27" i="39"/>
  <c r="H11" i="39"/>
  <c r="S40" i="39"/>
  <c r="H32" i="33"/>
  <c r="AB32" i="33" s="1"/>
  <c r="H11" i="21"/>
  <c r="U11" i="21" s="1"/>
  <c r="J11" i="21"/>
  <c r="W11" i="21" s="1"/>
  <c r="H37" i="40"/>
  <c r="U37" i="40" s="1"/>
  <c r="H36" i="40"/>
  <c r="AB36" i="40" s="1"/>
  <c r="F35" i="40"/>
  <c r="AA35" i="40" s="1"/>
  <c r="H23" i="40"/>
  <c r="AB23" i="40" s="1"/>
  <c r="H17" i="40"/>
  <c r="U17" i="40" s="1"/>
  <c r="J15" i="40"/>
  <c r="W15" i="40" s="1"/>
  <c r="J11" i="40"/>
  <c r="W11" i="40" s="1"/>
  <c r="AB8" i="39"/>
  <c r="AC12" i="34"/>
  <c r="F37" i="39"/>
  <c r="AA37" i="39" s="1"/>
  <c r="U30" i="36"/>
  <c r="J30" i="35"/>
  <c r="W30" i="35"/>
  <c r="H30" i="35"/>
  <c r="U30" i="35" s="1"/>
  <c r="AB30" i="35"/>
  <c r="F22" i="35"/>
  <c r="AA22" i="35" s="1"/>
  <c r="H10" i="35"/>
  <c r="U10" i="35" s="1"/>
  <c r="AC16" i="36"/>
  <c r="W30" i="36"/>
  <c r="H16" i="36"/>
  <c r="AB16" i="36"/>
  <c r="E85" i="36"/>
  <c r="F85" i="36" s="1"/>
  <c r="G85" i="36" s="1"/>
  <c r="H85" i="36" s="1"/>
  <c r="I85" i="36" s="1"/>
  <c r="J85" i="36" s="1"/>
  <c r="K85" i="36" s="1"/>
  <c r="L85" i="36" s="1"/>
  <c r="M85" i="36" s="1"/>
  <c r="J29" i="36"/>
  <c r="AC29" i="36" s="1"/>
  <c r="F34" i="36"/>
  <c r="S34" i="36" s="1"/>
  <c r="S10" i="36"/>
  <c r="S8" i="36"/>
  <c r="U8" i="35"/>
  <c r="F14" i="35"/>
  <c r="AA14" i="35" s="1"/>
  <c r="F23" i="35"/>
  <c r="AA23" i="35" s="1"/>
  <c r="J32" i="35"/>
  <c r="AC32" i="35" s="1"/>
  <c r="J16" i="35"/>
  <c r="AC16" i="35" s="1"/>
  <c r="H16" i="35"/>
  <c r="U16" i="35" s="1"/>
  <c r="F16" i="35"/>
  <c r="S16" i="35" s="1"/>
  <c r="H14" i="35"/>
  <c r="AB14" i="35" s="1"/>
  <c r="J29" i="35"/>
  <c r="W29" i="35" s="1"/>
  <c r="H33" i="35"/>
  <c r="J20" i="35"/>
  <c r="W20" i="35"/>
  <c r="F35" i="37"/>
  <c r="S35" i="37" s="1"/>
  <c r="E101" i="37"/>
  <c r="F101" i="37" s="1"/>
  <c r="G101" i="37" s="1"/>
  <c r="H101" i="37" s="1"/>
  <c r="I101" i="37" s="1"/>
  <c r="J101" i="37" s="1"/>
  <c r="K101" i="37" s="1"/>
  <c r="L101" i="37" s="1"/>
  <c r="M101" i="37" s="1"/>
  <c r="J34" i="37"/>
  <c r="W34" i="37" s="1"/>
  <c r="S10" i="37"/>
  <c r="AB34" i="37"/>
  <c r="J33" i="37"/>
  <c r="AC33" i="37" s="1"/>
  <c r="U42" i="34"/>
  <c r="H40" i="34"/>
  <c r="U40" i="34" s="1"/>
  <c r="H36" i="34"/>
  <c r="U36" i="34"/>
  <c r="F37" i="34"/>
  <c r="AA37" i="34"/>
  <c r="F28" i="34"/>
  <c r="AA28" i="34" s="1"/>
  <c r="F25" i="34"/>
  <c r="S25" i="34" s="1"/>
  <c r="H23" i="34"/>
  <c r="U23" i="34" s="1"/>
  <c r="J23" i="34"/>
  <c r="F19" i="34"/>
  <c r="H17" i="34"/>
  <c r="F15" i="34"/>
  <c r="J15" i="34"/>
  <c r="H15" i="34"/>
  <c r="AB15" i="34" s="1"/>
  <c r="W8" i="34"/>
  <c r="J28" i="34"/>
  <c r="F41" i="33"/>
  <c r="F32" i="33"/>
  <c r="AA32" i="33" s="1"/>
  <c r="J19" i="33"/>
  <c r="AC19" i="33" s="1"/>
  <c r="J15" i="33"/>
  <c r="AC15" i="33" s="1"/>
  <c r="F11" i="33"/>
  <c r="AA11" i="33" s="1"/>
  <c r="U40" i="33"/>
  <c r="W40" i="33"/>
  <c r="U8" i="33"/>
  <c r="S8" i="33"/>
  <c r="F37" i="40"/>
  <c r="AA37" i="40"/>
  <c r="F36" i="40"/>
  <c r="AA36" i="40"/>
  <c r="H28" i="40"/>
  <c r="U28" i="40" s="1"/>
  <c r="F23" i="40"/>
  <c r="AA23" i="40" s="1"/>
  <c r="F17" i="40"/>
  <c r="AA17" i="40" s="1"/>
  <c r="J17" i="40"/>
  <c r="W17" i="40" s="1"/>
  <c r="F15" i="40"/>
  <c r="S15" i="40" s="1"/>
  <c r="H15" i="40"/>
  <c r="AB15" i="40" s="1"/>
  <c r="AC11" i="40"/>
  <c r="AB30" i="36"/>
  <c r="F29" i="35"/>
  <c r="H29" i="35"/>
  <c r="AB29" i="35" s="1"/>
  <c r="H33" i="37"/>
  <c r="AB33" i="37" s="1"/>
  <c r="F33" i="37"/>
  <c r="AA33" i="37" s="1"/>
  <c r="U34" i="37"/>
  <c r="S34" i="37"/>
  <c r="AA34" i="37"/>
  <c r="J43" i="34"/>
  <c r="AB42" i="34"/>
  <c r="J40" i="34"/>
  <c r="H38" i="34"/>
  <c r="AB38" i="34"/>
  <c r="J36" i="34"/>
  <c r="W36" i="34"/>
  <c r="H37" i="34"/>
  <c r="U37" i="34" s="1"/>
  <c r="H25" i="34"/>
  <c r="AB25" i="34" s="1"/>
  <c r="J25" i="34"/>
  <c r="AC25" i="34" s="1"/>
  <c r="AB23" i="34"/>
  <c r="F23" i="34"/>
  <c r="AA23" i="34" s="1"/>
  <c r="J19" i="34"/>
  <c r="AC19" i="34" s="1"/>
  <c r="F17" i="34"/>
  <c r="AA17" i="34" s="1"/>
  <c r="J17" i="34"/>
  <c r="W17" i="34" s="1"/>
  <c r="AA15"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H123" i="21"/>
  <c r="I123" i="21" s="1"/>
  <c r="J123" i="21" s="1"/>
  <c r="K123" i="21" s="1"/>
  <c r="L123" i="21" s="1"/>
  <c r="M123" i="21" s="1"/>
  <c r="J42" i="21"/>
  <c r="AC42" i="21" s="1"/>
  <c r="H42" i="21"/>
  <c r="U42" i="21" s="1"/>
  <c r="J44" i="34"/>
  <c r="F44" i="34"/>
  <c r="S44" i="34" s="1"/>
  <c r="AA44" i="34"/>
  <c r="J10" i="35"/>
  <c r="W10" i="35"/>
  <c r="H14" i="21"/>
  <c r="U14" i="21" s="1"/>
  <c r="H28" i="21"/>
  <c r="AB28" i="21" s="1"/>
  <c r="F28" i="21"/>
  <c r="AA28" i="21" s="1"/>
  <c r="F30" i="21"/>
  <c r="S30" i="21" s="1"/>
  <c r="H44" i="21"/>
  <c r="U44" i="21" s="1"/>
  <c r="J46" i="21"/>
  <c r="W46" i="21" s="1"/>
  <c r="E119" i="21"/>
  <c r="F119" i="21" s="1"/>
  <c r="G119" i="21" s="1"/>
  <c r="H119" i="21" s="1"/>
  <c r="I119" i="21" s="1"/>
  <c r="J119" i="21" s="1"/>
  <c r="K119" i="21" s="1"/>
  <c r="L119" i="21" s="1"/>
  <c r="M119" i="21" s="1"/>
  <c r="J28" i="33"/>
  <c r="W28" i="33" s="1"/>
  <c r="F33" i="35"/>
  <c r="S33" i="35"/>
  <c r="J33" i="35"/>
  <c r="AC33" i="35" s="1"/>
  <c r="F30" i="35"/>
  <c r="S30"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U13" i="33" s="1"/>
  <c r="F13" i="33"/>
  <c r="S13" i="33" s="1"/>
  <c r="J29" i="33"/>
  <c r="W29" i="33" s="1"/>
  <c r="H29" i="33"/>
  <c r="U29" i="33" s="1"/>
  <c r="F29" i="33"/>
  <c r="S29" i="33" s="1"/>
  <c r="J31" i="33"/>
  <c r="W31" i="33" s="1"/>
  <c r="H31" i="33"/>
  <c r="AB31" i="33" s="1"/>
  <c r="F31" i="33"/>
  <c r="J45" i="33"/>
  <c r="W45" i="33" s="1"/>
  <c r="F45" i="33"/>
  <c r="AA45" i="33" s="1"/>
  <c r="J14" i="34"/>
  <c r="W14" i="34"/>
  <c r="F14" i="34"/>
  <c r="AA14" i="34" s="1"/>
  <c r="H14" i="34"/>
  <c r="U14" i="34" s="1"/>
  <c r="H30" i="34"/>
  <c r="F30" i="34"/>
  <c r="S30" i="34" s="1"/>
  <c r="J30" i="34"/>
  <c r="AC30" i="34" s="1"/>
  <c r="H32" i="34"/>
  <c r="U32" i="34" s="1"/>
  <c r="F32" i="34"/>
  <c r="J32" i="34"/>
  <c r="W32" i="34" s="1"/>
  <c r="H46" i="34"/>
  <c r="AB46" i="34" s="1"/>
  <c r="F46" i="34"/>
  <c r="J46" i="34"/>
  <c r="W46" i="34" s="1"/>
  <c r="J11" i="35"/>
  <c r="AC11" i="35"/>
  <c r="F11" i="35"/>
  <c r="S11" i="35"/>
  <c r="J26" i="36"/>
  <c r="W26" i="36"/>
  <c r="H28" i="36"/>
  <c r="U28" i="36" s="1"/>
  <c r="H32" i="36"/>
  <c r="AB32" i="36" s="1"/>
  <c r="J32" i="36"/>
  <c r="W32" i="36" s="1"/>
  <c r="J11" i="36"/>
  <c r="AC11" i="36" s="1"/>
  <c r="H11" i="36"/>
  <c r="U11" i="36" s="1"/>
  <c r="F11" i="36"/>
  <c r="AA11" i="36" s="1"/>
  <c r="H13" i="36"/>
  <c r="AB13" i="36" s="1"/>
  <c r="J13" i="36"/>
  <c r="AC13" i="36" s="1"/>
  <c r="F13" i="36"/>
  <c r="S13" i="36" s="1"/>
  <c r="J29" i="37"/>
  <c r="W29" i="37"/>
  <c r="F29" i="37"/>
  <c r="S29" i="37" s="1"/>
  <c r="F105" i="37"/>
  <c r="G105" i="37" s="1"/>
  <c r="H36" i="37"/>
  <c r="AB36" i="37" s="1"/>
  <c r="F107" i="37"/>
  <c r="J37" i="37"/>
  <c r="AC37" i="37" s="1"/>
  <c r="H37" i="37"/>
  <c r="U37" i="37" s="1"/>
  <c r="J40" i="37"/>
  <c r="AC40" i="37" s="1"/>
  <c r="W12" i="40"/>
  <c r="H14" i="33"/>
  <c r="U14" i="33" s="1"/>
  <c r="F14" i="33"/>
  <c r="S14" i="33" s="1"/>
  <c r="J14" i="33"/>
  <c r="H30" i="33"/>
  <c r="AB30" i="33" s="1"/>
  <c r="F30" i="33"/>
  <c r="S30" i="33" s="1"/>
  <c r="J30" i="33"/>
  <c r="J44" i="33"/>
  <c r="AC44" i="33" s="1"/>
  <c r="J46" i="33"/>
  <c r="AC46" i="33" s="1"/>
  <c r="F46" i="33"/>
  <c r="AA46" i="33" s="1"/>
  <c r="H46" i="33"/>
  <c r="H13" i="34"/>
  <c r="U13" i="34" s="1"/>
  <c r="J13" i="34"/>
  <c r="W13" i="34" s="1"/>
  <c r="F13" i="34"/>
  <c r="AA13" i="34" s="1"/>
  <c r="J29" i="34"/>
  <c r="F29" i="34"/>
  <c r="S29" i="34" s="1"/>
  <c r="H29" i="34"/>
  <c r="AB29" i="34"/>
  <c r="H31" i="34"/>
  <c r="U31" i="34" s="1"/>
  <c r="AB31" i="34"/>
  <c r="F31" i="34"/>
  <c r="S31" i="34" s="1"/>
  <c r="H45" i="34"/>
  <c r="U45" i="34" s="1"/>
  <c r="J45" i="34"/>
  <c r="W45" i="34" s="1"/>
  <c r="F45" i="34"/>
  <c r="S45" i="34" s="1"/>
  <c r="F47" i="34"/>
  <c r="S47" i="34" s="1"/>
  <c r="J47" i="34"/>
  <c r="AC47" i="34" s="1"/>
  <c r="F13" i="35"/>
  <c r="S13" i="35" s="1"/>
  <c r="J13" i="35"/>
  <c r="AC13" i="35" s="1"/>
  <c r="H13" i="35"/>
  <c r="U13" i="35"/>
  <c r="J25" i="35"/>
  <c r="W25" i="35"/>
  <c r="F25" i="35"/>
  <c r="S25" i="35"/>
  <c r="H25" i="35"/>
  <c r="AB25" i="35"/>
  <c r="J35" i="35"/>
  <c r="AC35" i="35"/>
  <c r="F35" i="35"/>
  <c r="AA35" i="35" s="1"/>
  <c r="H35" i="35"/>
  <c r="AB35" i="35" s="1"/>
  <c r="J25" i="36"/>
  <c r="W25" i="36" s="1"/>
  <c r="F25" i="36"/>
  <c r="S25" i="36" s="1"/>
  <c r="H25" i="36"/>
  <c r="AB25" i="36" s="1"/>
  <c r="AB13" i="37"/>
  <c r="F13" i="37"/>
  <c r="S13" i="37"/>
  <c r="J13" i="37"/>
  <c r="W13" i="37"/>
  <c r="H38" i="37"/>
  <c r="AB38" i="37" s="1"/>
  <c r="J38" i="37"/>
  <c r="AC38" i="37" s="1"/>
  <c r="F38" i="37"/>
  <c r="S38" i="37" s="1"/>
  <c r="F43" i="39"/>
  <c r="AA43" i="39" s="1"/>
  <c r="H43" i="39"/>
  <c r="AB43" i="39" s="1"/>
  <c r="J14" i="39"/>
  <c r="AC14" i="39" s="1"/>
  <c r="F14" i="39"/>
  <c r="AA14" i="39" s="1"/>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27" i="37"/>
  <c r="AA27" i="37" s="1"/>
  <c r="J13" i="39"/>
  <c r="W13" i="39" s="1"/>
  <c r="H13" i="39"/>
  <c r="AB13" i="39" s="1"/>
  <c r="J14" i="40"/>
  <c r="W14" i="40" s="1"/>
  <c r="J14" i="37"/>
  <c r="AC14" i="37" s="1"/>
  <c r="J27" i="37"/>
  <c r="AC27" i="37" s="1"/>
  <c r="AA13" i="35"/>
  <c r="J36" i="37"/>
  <c r="AC36" i="37" s="1"/>
  <c r="AB11" i="36"/>
  <c r="J10" i="36"/>
  <c r="AC10" i="36" s="1"/>
  <c r="W31" i="34"/>
  <c r="S11" i="36"/>
  <c r="W11" i="35"/>
  <c r="AB45" i="33"/>
  <c r="U31" i="33"/>
  <c r="AC28" i="21"/>
  <c r="BA586" i="3"/>
  <c r="F17" i="21"/>
  <c r="AA17" i="21" s="1"/>
  <c r="H17" i="21"/>
  <c r="AB17" i="21" s="1"/>
  <c r="F15" i="21"/>
  <c r="S15" i="21" s="1"/>
  <c r="AB11" i="21"/>
  <c r="J41" i="39"/>
  <c r="W41" i="39" s="1"/>
  <c r="W36" i="39"/>
  <c r="W35" i="39"/>
  <c r="U36" i="39"/>
  <c r="S35" i="39"/>
  <c r="G544" i="3"/>
  <c r="G540" i="3"/>
  <c r="G536" i="3"/>
  <c r="G535" i="3"/>
  <c r="G532" i="3"/>
  <c r="G531" i="3"/>
  <c r="G527" i="3"/>
  <c r="G523" i="3"/>
  <c r="G518" i="3"/>
  <c r="G514" i="3"/>
  <c r="G510" i="3"/>
  <c r="G508" i="3"/>
  <c r="G504" i="3"/>
  <c r="G500" i="3"/>
  <c r="G496" i="3"/>
  <c r="G584" i="3"/>
  <c r="G580" i="3"/>
  <c r="G576" i="3"/>
  <c r="G572" i="3"/>
  <c r="G568" i="3"/>
  <c r="G564" i="3"/>
  <c r="G560" i="3"/>
  <c r="G554" i="3"/>
  <c r="G550" i="3"/>
  <c r="BL584" i="3"/>
  <c r="BL580" i="3"/>
  <c r="BL576" i="3"/>
  <c r="BL568" i="3"/>
  <c r="BL554" i="3"/>
  <c r="BL546" i="3"/>
  <c r="BL542" i="3"/>
  <c r="BL538" i="3"/>
  <c r="BL534" i="3"/>
  <c r="BL530" i="3"/>
  <c r="BL526" i="3"/>
  <c r="BL522" i="3"/>
  <c r="BL516" i="3"/>
  <c r="BL512" i="3"/>
  <c r="BL502" i="3"/>
  <c r="BL498" i="3"/>
  <c r="BL494" i="3"/>
  <c r="BL582" i="3"/>
  <c r="BL578" i="3"/>
  <c r="BL570" i="3"/>
  <c r="BL566" i="3"/>
  <c r="BL562" i="3"/>
  <c r="BL556" i="3"/>
  <c r="BL552" i="3"/>
  <c r="BL536" i="3"/>
  <c r="G533" i="3"/>
  <c r="BL532" i="3"/>
  <c r="G529" i="3"/>
  <c r="BL528" i="3"/>
  <c r="G525" i="3"/>
  <c r="BL524" i="3"/>
  <c r="BL518" i="3"/>
  <c r="BL514" i="3"/>
  <c r="BL510" i="3"/>
  <c r="BL504" i="3"/>
  <c r="BL500" i="3"/>
  <c r="BL496" i="3"/>
  <c r="AZ496" i="3" s="1"/>
  <c r="G493" i="3"/>
  <c r="BA584" i="3"/>
  <c r="BA582" i="3"/>
  <c r="AZ582" i="3" s="1"/>
  <c r="BA578" i="3"/>
  <c r="BA576" i="3"/>
  <c r="BA574" i="3"/>
  <c r="BA570" i="3"/>
  <c r="AZ570" i="3" s="1"/>
  <c r="BA564" i="3"/>
  <c r="BA562" i="3"/>
  <c r="AZ562" i="3" s="1"/>
  <c r="BA560" i="3"/>
  <c r="BA558" i="3"/>
  <c r="BA556" i="3"/>
  <c r="AZ556" i="3" s="1"/>
  <c r="BA554" i="3"/>
  <c r="AZ554" i="3" s="1"/>
  <c r="BA552" i="3"/>
  <c r="AZ552" i="3" s="1"/>
  <c r="BA546" i="3"/>
  <c r="BA544" i="3"/>
  <c r="BA542" i="3"/>
  <c r="BA540" i="3"/>
  <c r="AZ540" i="3" s="1"/>
  <c r="BA538" i="3"/>
  <c r="AZ538" i="3" s="1"/>
  <c r="BA536" i="3"/>
  <c r="BA534" i="3"/>
  <c r="AZ534" i="3"/>
  <c r="BA532" i="3"/>
  <c r="AZ532" i="3"/>
  <c r="BA530" i="3"/>
  <c r="BA528" i="3"/>
  <c r="AZ528" i="3" s="1"/>
  <c r="BA526" i="3"/>
  <c r="BA524" i="3"/>
  <c r="AZ524" i="3" s="1"/>
  <c r="BA522" i="3"/>
  <c r="BA520" i="3"/>
  <c r="BA518" i="3"/>
  <c r="AZ518" i="3" s="1"/>
  <c r="BA514" i="3"/>
  <c r="AZ514" i="3" s="1"/>
  <c r="BA512" i="3"/>
  <c r="AZ512" i="3"/>
  <c r="BA510" i="3"/>
  <c r="AZ510" i="3"/>
  <c r="BA508" i="3"/>
  <c r="BA506" i="3"/>
  <c r="BA504" i="3"/>
  <c r="AZ504" i="3"/>
  <c r="BA502" i="3"/>
  <c r="BA500" i="3"/>
  <c r="AZ500" i="3" s="1"/>
  <c r="BA496" i="3"/>
  <c r="BA494" i="3"/>
  <c r="AZ494" i="3" s="1"/>
  <c r="BA581" i="3"/>
  <c r="BA579" i="3"/>
  <c r="AZ579" i="3" s="1"/>
  <c r="BA577" i="3"/>
  <c r="BA573" i="3"/>
  <c r="BA567" i="3"/>
  <c r="BA565" i="3"/>
  <c r="BA563" i="3"/>
  <c r="BA561" i="3"/>
  <c r="BA559" i="3"/>
  <c r="BA555" i="3"/>
  <c r="BA553" i="3"/>
  <c r="BA549" i="3"/>
  <c r="BA547" i="3"/>
  <c r="BA545" i="3"/>
  <c r="BA539" i="3"/>
  <c r="BA537" i="3"/>
  <c r="BA535" i="3"/>
  <c r="BA533" i="3"/>
  <c r="BA531" i="3"/>
  <c r="BA529" i="3"/>
  <c r="BA527" i="3"/>
  <c r="BA525" i="3"/>
  <c r="BA523" i="3"/>
  <c r="BA519" i="3"/>
  <c r="BA515" i="3"/>
  <c r="BA513" i="3"/>
  <c r="BA511" i="3"/>
  <c r="BA507" i="3"/>
  <c r="BA505" i="3"/>
  <c r="BA503" i="3"/>
  <c r="BA501" i="3"/>
  <c r="BA499" i="3"/>
  <c r="BA497" i="3"/>
  <c r="BA495" i="3"/>
  <c r="BA493" i="3"/>
  <c r="G583" i="3"/>
  <c r="G581" i="3"/>
  <c r="G579" i="3"/>
  <c r="G577" i="3"/>
  <c r="G575" i="3"/>
  <c r="G573" i="3"/>
  <c r="G571" i="3"/>
  <c r="G569" i="3"/>
  <c r="G567" i="3"/>
  <c r="G565" i="3"/>
  <c r="G563" i="3"/>
  <c r="G561" i="3"/>
  <c r="BA557" i="3"/>
  <c r="AC557" i="3"/>
  <c r="G557" i="3" s="1"/>
  <c r="BQ557" i="3"/>
  <c r="BL557" i="3" s="1"/>
  <c r="BQ583" i="3"/>
  <c r="BL583" i="3" s="1"/>
  <c r="BQ581" i="3"/>
  <c r="BL581" i="3" s="1"/>
  <c r="BQ579" i="3"/>
  <c r="BL579" i="3" s="1"/>
  <c r="BQ577" i="3"/>
  <c r="BQ575" i="3"/>
  <c r="BL575" i="3" s="1"/>
  <c r="BQ573" i="3"/>
  <c r="BL573" i="3" s="1"/>
  <c r="BQ571" i="3"/>
  <c r="BL571" i="3"/>
  <c r="BQ569" i="3"/>
  <c r="BL569" i="3" s="1"/>
  <c r="BQ567" i="3"/>
  <c r="BL567" i="3" s="1"/>
  <c r="BQ565" i="3"/>
  <c r="BL565" i="3" s="1"/>
  <c r="BQ563" i="3"/>
  <c r="BL563" i="3" s="1"/>
  <c r="AZ563" i="3" s="1"/>
  <c r="BQ561" i="3"/>
  <c r="BL561" i="3" s="1"/>
  <c r="BQ559" i="3"/>
  <c r="G559" i="3"/>
  <c r="G555" i="3"/>
  <c r="G553" i="3"/>
  <c r="G549" i="3"/>
  <c r="G547" i="3"/>
  <c r="G545" i="3"/>
  <c r="G543" i="3"/>
  <c r="G541" i="3"/>
  <c r="G539" i="3"/>
  <c r="G537" i="3"/>
  <c r="BQ555" i="3"/>
  <c r="BQ553" i="3"/>
  <c r="BQ551" i="3"/>
  <c r="BL551" i="3" s="1"/>
  <c r="BQ549" i="3"/>
  <c r="BQ547" i="3"/>
  <c r="BL547" i="3" s="1"/>
  <c r="AZ547" i="3" s="1"/>
  <c r="BQ545" i="3"/>
  <c r="BL545" i="3" s="1"/>
  <c r="AZ545" i="3" s="1"/>
  <c r="BQ543" i="3"/>
  <c r="BL543" i="3" s="1"/>
  <c r="BQ541" i="3"/>
  <c r="BL541" i="3" s="1"/>
  <c r="AZ541" i="3" s="1"/>
  <c r="BQ539" i="3"/>
  <c r="BL539" i="3" s="1"/>
  <c r="AZ539" i="3" s="1"/>
  <c r="BQ537" i="3"/>
  <c r="BL537" i="3"/>
  <c r="BQ535" i="3"/>
  <c r="BL535" i="3" s="1"/>
  <c r="AZ535" i="3" s="1"/>
  <c r="BQ533" i="3"/>
  <c r="BL533" i="3" s="1"/>
  <c r="BQ531" i="3"/>
  <c r="BL531" i="3" s="1"/>
  <c r="AZ531" i="3" s="1"/>
  <c r="BQ529" i="3"/>
  <c r="BL529" i="3" s="1"/>
  <c r="BQ527" i="3"/>
  <c r="BL527" i="3" s="1"/>
  <c r="AZ527" i="3" s="1"/>
  <c r="BQ525" i="3"/>
  <c r="BL525" i="3" s="1"/>
  <c r="BQ523" i="3"/>
  <c r="BL523" i="3" s="1"/>
  <c r="AZ523" i="3" s="1"/>
  <c r="AC521" i="3"/>
  <c r="G521" i="3"/>
  <c r="BQ521" i="3"/>
  <c r="BL521" i="3" s="1"/>
  <c r="BL520" i="3"/>
  <c r="AZ520" i="3" s="1"/>
  <c r="G519" i="3"/>
  <c r="G517" i="3"/>
  <c r="G515" i="3"/>
  <c r="G513" i="3"/>
  <c r="G511" i="3"/>
  <c r="BQ519" i="3"/>
  <c r="BQ517" i="3"/>
  <c r="BL517" i="3"/>
  <c r="BQ515" i="3"/>
  <c r="BL515" i="3" s="1"/>
  <c r="AZ515" i="3" s="1"/>
  <c r="BQ513" i="3"/>
  <c r="BL513" i="3" s="1"/>
  <c r="BQ511" i="3"/>
  <c r="BL511" i="3" s="1"/>
  <c r="BA509" i="3"/>
  <c r="AC509" i="3"/>
  <c r="BQ509" i="3"/>
  <c r="BL509" i="3" s="1"/>
  <c r="BL508" i="3"/>
  <c r="G507" i="3"/>
  <c r="G505" i="3"/>
  <c r="G503" i="3"/>
  <c r="G501" i="3"/>
  <c r="G499" i="3"/>
  <c r="G497" i="3"/>
  <c r="G495" i="3"/>
  <c r="BQ507" i="3"/>
  <c r="BL507" i="3" s="1"/>
  <c r="BQ505" i="3"/>
  <c r="BL505" i="3" s="1"/>
  <c r="BQ503" i="3"/>
  <c r="BL503" i="3" s="1"/>
  <c r="BQ501" i="3"/>
  <c r="BL501" i="3" s="1"/>
  <c r="BQ499" i="3"/>
  <c r="BL499" i="3" s="1"/>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s="1"/>
  <c r="F25" i="21"/>
  <c r="S25" i="21" s="1"/>
  <c r="J25" i="21"/>
  <c r="AC25" i="21" s="1"/>
  <c r="E125" i="33"/>
  <c r="F125" i="33" s="1"/>
  <c r="G125" i="33" s="1"/>
  <c r="H43" i="33"/>
  <c r="AB43" i="33" s="1"/>
  <c r="H17" i="37"/>
  <c r="U17" i="37" s="1"/>
  <c r="AB27" i="37"/>
  <c r="U32" i="33"/>
  <c r="F39" i="33"/>
  <c r="E123" i="33"/>
  <c r="F123" i="33" s="1"/>
  <c r="G123" i="33" s="1"/>
  <c r="H123" i="33" s="1"/>
  <c r="I123" i="33" s="1"/>
  <c r="J123" i="33" s="1"/>
  <c r="K123" i="33" s="1"/>
  <c r="L123" i="33" s="1"/>
  <c r="M123" i="33" s="1"/>
  <c r="F42" i="33"/>
  <c r="AA42" i="33" s="1"/>
  <c r="H28" i="34"/>
  <c r="F14" i="36"/>
  <c r="AA14" i="36" s="1"/>
  <c r="F22" i="36"/>
  <c r="F26" i="36"/>
  <c r="S26" i="36" s="1"/>
  <c r="H27" i="34"/>
  <c r="AB27" i="34" s="1"/>
  <c r="H35" i="34"/>
  <c r="U35" i="34" s="1"/>
  <c r="F41" i="34"/>
  <c r="H41" i="34"/>
  <c r="U41" i="34" s="1"/>
  <c r="J41" i="34"/>
  <c r="F10" i="35"/>
  <c r="S10" i="35" s="1"/>
  <c r="F24" i="35"/>
  <c r="H24" i="35"/>
  <c r="AB24" i="35" s="1"/>
  <c r="H23" i="37"/>
  <c r="J32" i="37"/>
  <c r="AC32" i="37" s="1"/>
  <c r="F36" i="37"/>
  <c r="AA36" i="37" s="1"/>
  <c r="F37" i="37"/>
  <c r="AA37" i="37" s="1"/>
  <c r="F31" i="40"/>
  <c r="AA31" i="40" s="1"/>
  <c r="H31" i="40"/>
  <c r="U31" i="40" s="1"/>
  <c r="F32" i="40"/>
  <c r="S32" i="40" s="1"/>
  <c r="J36" i="40"/>
  <c r="W36" i="40" s="1"/>
  <c r="H19" i="37"/>
  <c r="H42" i="33"/>
  <c r="AB42" i="33"/>
  <c r="J43" i="33"/>
  <c r="AC43" i="33" s="1"/>
  <c r="U43" i="33"/>
  <c r="S28" i="31"/>
  <c r="S27" i="31"/>
  <c r="S26" i="31"/>
  <c r="U14" i="40"/>
  <c r="W23" i="35"/>
  <c r="U33" i="37"/>
  <c r="W26" i="37"/>
  <c r="W47" i="34"/>
  <c r="W37" i="34"/>
  <c r="AB37" i="34"/>
  <c r="AC36" i="34"/>
  <c r="AC31"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c r="J9" i="37"/>
  <c r="W9" i="37" s="1"/>
  <c r="H9" i="37"/>
  <c r="AB9" i="37" s="1"/>
  <c r="F9" i="37"/>
  <c r="S9" i="37"/>
  <c r="H12" i="37"/>
  <c r="U12" i="37" s="1"/>
  <c r="F15" i="37"/>
  <c r="E94" i="37"/>
  <c r="F31" i="37"/>
  <c r="S31" i="37" s="1"/>
  <c r="F12" i="39"/>
  <c r="S12" i="39"/>
  <c r="J42" i="39"/>
  <c r="AC42" i="39"/>
  <c r="H21" i="40"/>
  <c r="AB21" i="40" s="1"/>
  <c r="F94" i="37"/>
  <c r="G94" i="37" s="1"/>
  <c r="H94" i="37" s="1"/>
  <c r="I94" i="37" s="1"/>
  <c r="J94" i="37" s="1"/>
  <c r="K94" i="37" s="1"/>
  <c r="L94" i="37" s="1"/>
  <c r="M94" i="37" s="1"/>
  <c r="H31" i="37"/>
  <c r="U31" i="37" s="1"/>
  <c r="F71" i="37"/>
  <c r="G71" i="37" s="1"/>
  <c r="J15" i="37"/>
  <c r="W15" i="37" s="1"/>
  <c r="AT6" i="3"/>
  <c r="AA25" i="21"/>
  <c r="C12" i="43"/>
  <c r="H19" i="40"/>
  <c r="F88" i="40"/>
  <c r="G88" i="40" s="1"/>
  <c r="F19" i="40"/>
  <c r="S19" i="40" s="1"/>
  <c r="AC13" i="40"/>
  <c r="AB33" i="40"/>
  <c r="W23" i="39"/>
  <c r="AC43" i="39"/>
  <c r="AB44" i="39"/>
  <c r="U44" i="39"/>
  <c r="G101" i="39"/>
  <c r="H37" i="39"/>
  <c r="AB37" i="39" s="1"/>
  <c r="AC37" i="39"/>
  <c r="W37" i="39"/>
  <c r="H25" i="39"/>
  <c r="AB25" i="39" s="1"/>
  <c r="J25" i="39"/>
  <c r="F25" i="39"/>
  <c r="F15" i="39"/>
  <c r="AA15" i="39" s="1"/>
  <c r="H15" i="39"/>
  <c r="J15" i="39"/>
  <c r="W15" i="39"/>
  <c r="H41" i="39"/>
  <c r="W27" i="39"/>
  <c r="U40" i="39"/>
  <c r="S42" i="39"/>
  <c r="AA41" i="39"/>
  <c r="W9" i="39"/>
  <c r="W8" i="39"/>
  <c r="J19" i="40"/>
  <c r="AC19" i="40" s="1"/>
  <c r="J50" i="40"/>
  <c r="H103" i="9"/>
  <c r="D8" i="53" s="1"/>
  <c r="B16" i="53"/>
  <c r="B33" i="72" s="1"/>
  <c r="C7" i="37"/>
  <c r="C7" i="34"/>
  <c r="C7" i="36"/>
  <c r="W35" i="40"/>
  <c r="A118" i="9"/>
  <c r="A4" i="52"/>
  <c r="B41" i="72" s="1"/>
  <c r="J11" i="39"/>
  <c r="W11" i="39" s="1"/>
  <c r="F11" i="39"/>
  <c r="AA11" i="39" s="1"/>
  <c r="A12" i="52"/>
  <c r="B56" i="72" s="1"/>
  <c r="G4" i="4"/>
  <c r="I4" i="4"/>
  <c r="A2" i="9"/>
  <c r="F59" i="43"/>
  <c r="H61" i="43" s="1"/>
  <c r="BL549" i="3"/>
  <c r="AZ502" i="3"/>
  <c r="AZ522" i="3"/>
  <c r="AZ530" i="3"/>
  <c r="AZ546"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AZ343" i="3" s="1"/>
  <c r="BA345" i="3"/>
  <c r="BL355" i="3"/>
  <c r="G356" i="3"/>
  <c r="BL357" i="3"/>
  <c r="BA359" i="3"/>
  <c r="BA360" i="3"/>
  <c r="AZ360" i="3" s="1"/>
  <c r="BL360" i="3"/>
  <c r="G361" i="3"/>
  <c r="BA362" i="3"/>
  <c r="G370" i="3"/>
  <c r="BL371" i="3"/>
  <c r="G372" i="3"/>
  <c r="BL373" i="3"/>
  <c r="BA375" i="3"/>
  <c r="BA376" i="3"/>
  <c r="BL376" i="3"/>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G149" i="3"/>
  <c r="BA151" i="3"/>
  <c r="AZ151" i="3" s="1"/>
  <c r="BL152" i="3"/>
  <c r="G153" i="3"/>
  <c r="BA155" i="3"/>
  <c r="AZ155" i="3" s="1"/>
  <c r="BL156" i="3"/>
  <c r="G157" i="3"/>
  <c r="BA159" i="3"/>
  <c r="BL160" i="3"/>
  <c r="AZ160" i="3" s="1"/>
  <c r="G161" i="3"/>
  <c r="BA163" i="3"/>
  <c r="BL164" i="3"/>
  <c r="G165" i="3"/>
  <c r="BA167" i="3"/>
  <c r="BL168" i="3"/>
  <c r="G169" i="3"/>
  <c r="BA171" i="3"/>
  <c r="BL172" i="3"/>
  <c r="G173" i="3"/>
  <c r="BA175" i="3"/>
  <c r="BL176" i="3"/>
  <c r="AZ176" i="3" s="1"/>
  <c r="G177" i="3"/>
  <c r="BA179" i="3"/>
  <c r="BL180" i="3"/>
  <c r="G181" i="3"/>
  <c r="BA183" i="3"/>
  <c r="AZ183" i="3" s="1"/>
  <c r="BL184" i="3"/>
  <c r="G185" i="3"/>
  <c r="BA187" i="3"/>
  <c r="BL188" i="3"/>
  <c r="G189" i="3"/>
  <c r="BA191" i="3"/>
  <c r="BL192" i="3"/>
  <c r="G193" i="3"/>
  <c r="BA195" i="3"/>
  <c r="BL196" i="3"/>
  <c r="G197" i="3"/>
  <c r="BA199" i="3"/>
  <c r="BL200" i="3"/>
  <c r="G201" i="3"/>
  <c r="BA203" i="3"/>
  <c r="BL204" i="3"/>
  <c r="AZ55" i="3"/>
  <c r="G534" i="3"/>
  <c r="G530" i="3"/>
  <c r="G522" i="3"/>
  <c r="G516" i="3"/>
  <c r="G512" i="3"/>
  <c r="G506" i="3"/>
  <c r="G498" i="3"/>
  <c r="G494" i="3"/>
  <c r="G16" i="3"/>
  <c r="G15" i="3"/>
  <c r="BA304" i="3"/>
  <c r="BA305" i="3"/>
  <c r="BL305" i="3"/>
  <c r="G306" i="3"/>
  <c r="G309" i="3"/>
  <c r="BL310" i="3"/>
  <c r="BA312" i="3"/>
  <c r="BA313" i="3"/>
  <c r="BL313" i="3"/>
  <c r="AZ313" i="3" s="1"/>
  <c r="G314" i="3"/>
  <c r="G317" i="3"/>
  <c r="BL318" i="3"/>
  <c r="BA320" i="3"/>
  <c r="AZ320" i="3" s="1"/>
  <c r="BA321" i="3"/>
  <c r="BL321" i="3"/>
  <c r="AZ321" i="3" s="1"/>
  <c r="G322" i="3"/>
  <c r="G325" i="3"/>
  <c r="BL326" i="3"/>
  <c r="BA328" i="3"/>
  <c r="BA329" i="3"/>
  <c r="BL329" i="3"/>
  <c r="AZ329" i="3" s="1"/>
  <c r="G330" i="3"/>
  <c r="G333" i="3"/>
  <c r="BL334" i="3"/>
  <c r="BA336" i="3"/>
  <c r="BA337" i="3"/>
  <c r="AZ337" i="3" s="1"/>
  <c r="BL337" i="3"/>
  <c r="G338" i="3"/>
  <c r="G341" i="3"/>
  <c r="BA342" i="3"/>
  <c r="BL342" i="3"/>
  <c r="AZ342" i="3" s="1"/>
  <c r="BA344" i="3"/>
  <c r="BL344" i="3"/>
  <c r="BA346" i="3"/>
  <c r="BA347" i="3"/>
  <c r="AZ347" i="3" s="1"/>
  <c r="BL347" i="3"/>
  <c r="G350" i="3"/>
  <c r="BA351" i="3"/>
  <c r="BL351" i="3"/>
  <c r="G352" i="3"/>
  <c r="G354" i="3"/>
  <c r="BA355" i="3"/>
  <c r="BA356" i="3"/>
  <c r="BL356" i="3"/>
  <c r="G357" i="3"/>
  <c r="G360" i="3"/>
  <c r="BL361" i="3"/>
  <c r="BA363" i="3"/>
  <c r="BA364" i="3"/>
  <c r="BL364" i="3"/>
  <c r="G365" i="3"/>
  <c r="G368" i="3"/>
  <c r="BL369" i="3"/>
  <c r="BA371" i="3"/>
  <c r="AZ371" i="3" s="1"/>
  <c r="BA372" i="3"/>
  <c r="BL372" i="3"/>
  <c r="G373" i="3"/>
  <c r="G376" i="3"/>
  <c r="BL377" i="3"/>
  <c r="BL379" i="3"/>
  <c r="BA381" i="3"/>
  <c r="BA382" i="3"/>
  <c r="BL382" i="3"/>
  <c r="AZ382" i="3" s="1"/>
  <c r="G383" i="3"/>
  <c r="G386" i="3"/>
  <c r="BL387" i="3"/>
  <c r="BA389" i="3"/>
  <c r="AZ389" i="3" s="1"/>
  <c r="BA390" i="3"/>
  <c r="BL390" i="3"/>
  <c r="G391" i="3"/>
  <c r="G394" i="3"/>
  <c r="BA16" i="3"/>
  <c r="BL303" i="3"/>
  <c r="G304" i="3"/>
  <c r="BA306" i="3"/>
  <c r="BL307" i="3"/>
  <c r="G308" i="3"/>
  <c r="BA310" i="3"/>
  <c r="AZ310" i="3" s="1"/>
  <c r="BL311" i="3"/>
  <c r="G312" i="3"/>
  <c r="BA314" i="3"/>
  <c r="BL315" i="3"/>
  <c r="AZ315" i="3" s="1"/>
  <c r="G316" i="3"/>
  <c r="BA318" i="3"/>
  <c r="AZ318" i="3" s="1"/>
  <c r="BL319" i="3"/>
  <c r="G320" i="3"/>
  <c r="BA322" i="3"/>
  <c r="AZ322" i="3" s="1"/>
  <c r="BL323" i="3"/>
  <c r="G324" i="3"/>
  <c r="BA326" i="3"/>
  <c r="AZ326" i="3" s="1"/>
  <c r="BL327" i="3"/>
  <c r="G328" i="3"/>
  <c r="BA330" i="3"/>
  <c r="AZ330" i="3" s="1"/>
  <c r="BL331" i="3"/>
  <c r="G332" i="3"/>
  <c r="BA334" i="3"/>
  <c r="BL335" i="3"/>
  <c r="G336" i="3"/>
  <c r="BA338" i="3"/>
  <c r="AZ338" i="3" s="1"/>
  <c r="BL339" i="3"/>
  <c r="G340" i="3"/>
  <c r="BL343" i="3"/>
  <c r="G344" i="3"/>
  <c r="G348" i="3"/>
  <c r="G355" i="3"/>
  <c r="G342" i="3"/>
  <c r="BL345" i="3"/>
  <c r="AZ345" i="3" s="1"/>
  <c r="G346" i="3"/>
  <c r="BL349" i="3"/>
  <c r="AZ349" i="3" s="1"/>
  <c r="BL352" i="3"/>
  <c r="G353" i="3"/>
  <c r="BA357" i="3"/>
  <c r="BL358" i="3"/>
  <c r="AZ358" i="3" s="1"/>
  <c r="G359" i="3"/>
  <c r="BA361" i="3"/>
  <c r="BL362" i="3"/>
  <c r="G363" i="3"/>
  <c r="BA365" i="3"/>
  <c r="BL366" i="3"/>
  <c r="G367" i="3"/>
  <c r="BA369" i="3"/>
  <c r="BL370" i="3"/>
  <c r="G371" i="3"/>
  <c r="BA373" i="3"/>
  <c r="AZ373" i="3" s="1"/>
  <c r="BL374" i="3"/>
  <c r="G375" i="3"/>
  <c r="BA377" i="3"/>
  <c r="BA379" i="3"/>
  <c r="AZ379" i="3" s="1"/>
  <c r="BL380" i="3"/>
  <c r="G381" i="3"/>
  <c r="BA383" i="3"/>
  <c r="BL384" i="3"/>
  <c r="G385" i="3"/>
  <c r="BA387" i="3"/>
  <c r="AZ387" i="3" s="1"/>
  <c r="BL388" i="3"/>
  <c r="G389" i="3"/>
  <c r="BA391" i="3"/>
  <c r="AZ391" i="3" s="1"/>
  <c r="BL392" i="3"/>
  <c r="G393" i="3"/>
  <c r="BO5" i="3"/>
  <c r="BM5" i="3"/>
  <c r="BJ5" i="3"/>
  <c r="BH5" i="3"/>
  <c r="BF5" i="3"/>
  <c r="BD5" i="3"/>
  <c r="AZ506" i="3"/>
  <c r="G548" i="3"/>
  <c r="G538" i="3"/>
  <c r="G520" i="3"/>
  <c r="G502" i="3"/>
  <c r="BS5" i="3"/>
  <c r="BN5" i="3"/>
  <c r="G29" i="6" s="1"/>
  <c r="BI5" i="3"/>
  <c r="BE5" i="3"/>
  <c r="G17" i="3"/>
  <c r="BA17" i="3"/>
  <c r="BT5" i="3"/>
  <c r="BA15" i="3"/>
  <c r="BB5" i="3"/>
  <c r="BR5" i="3"/>
  <c r="G28" i="6" s="1"/>
  <c r="AZ380" i="3"/>
  <c r="AZ384" i="3"/>
  <c r="G509" i="3"/>
  <c r="BL493" i="3"/>
  <c r="AZ493" i="3" s="1"/>
  <c r="U36" i="40"/>
  <c r="F36" i="43"/>
  <c r="F81" i="43"/>
  <c r="H113" i="43"/>
  <c r="F48" i="43"/>
  <c r="F70" i="43"/>
  <c r="M11" i="43"/>
  <c r="D17" i="43"/>
  <c r="F39" i="43"/>
  <c r="I17" i="43"/>
  <c r="F35" i="43"/>
  <c r="J17" i="43"/>
  <c r="F6" i="1"/>
  <c r="U17" i="39"/>
  <c r="S14" i="35"/>
  <c r="U35" i="21"/>
  <c r="AC35" i="21"/>
  <c r="U10" i="21"/>
  <c r="G8" i="1"/>
  <c r="G9" i="1"/>
  <c r="G10" i="1"/>
  <c r="AC11" i="39"/>
  <c r="AZ501" i="3"/>
  <c r="W37" i="37"/>
  <c r="W44" i="34"/>
  <c r="AC44" i="34"/>
  <c r="U13" i="37"/>
  <c r="AA12" i="40"/>
  <c r="J37" i="33"/>
  <c r="W37" i="33"/>
  <c r="AC17" i="34"/>
  <c r="F106" i="33"/>
  <c r="G106" i="33" s="1"/>
  <c r="H106" i="33" s="1"/>
  <c r="I106" i="33" s="1"/>
  <c r="J106" i="33" s="1"/>
  <c r="K106" i="33" s="1"/>
  <c r="L106" i="33" s="1"/>
  <c r="M106" i="33" s="1"/>
  <c r="J34" i="33"/>
  <c r="W34" i="33" s="1"/>
  <c r="F33" i="34"/>
  <c r="S33" i="34" s="1"/>
  <c r="H20" i="36"/>
  <c r="U20" i="36" s="1"/>
  <c r="J20" i="36"/>
  <c r="J27" i="36"/>
  <c r="AC33" i="40"/>
  <c r="F111" i="40"/>
  <c r="G111" i="40" s="1"/>
  <c r="H111" i="40" s="1"/>
  <c r="I111" i="40" s="1"/>
  <c r="J111" i="40" s="1"/>
  <c r="K111" i="40" s="1"/>
  <c r="L111" i="40" s="1"/>
  <c r="M111" i="40" s="1"/>
  <c r="H35" i="40"/>
  <c r="AC29" i="35"/>
  <c r="H35" i="37"/>
  <c r="U35" i="37" s="1"/>
  <c r="AC14" i="35"/>
  <c r="H20" i="35"/>
  <c r="U20" i="35" s="1"/>
  <c r="F20" i="35"/>
  <c r="AA20" i="35" s="1"/>
  <c r="AB23" i="35"/>
  <c r="AB29" i="36"/>
  <c r="H32" i="37"/>
  <c r="U32" i="37" s="1"/>
  <c r="H27" i="40"/>
  <c r="F27" i="40"/>
  <c r="S27" i="40" s="1"/>
  <c r="J30" i="40"/>
  <c r="AC30" i="40" s="1"/>
  <c r="F30" i="40"/>
  <c r="AA30" i="40" s="1"/>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F97" i="39"/>
  <c r="G97" i="39" s="1"/>
  <c r="C40" i="11"/>
  <c r="H75" i="43"/>
  <c r="I20" i="43"/>
  <c r="F23" i="39"/>
  <c r="AA23" i="39" s="1"/>
  <c r="H27" i="36"/>
  <c r="U27" i="36" s="1"/>
  <c r="F27" i="36"/>
  <c r="AA27" i="36" s="1"/>
  <c r="H33" i="34"/>
  <c r="U33" i="34" s="1"/>
  <c r="F32" i="37"/>
  <c r="AA32" i="37" s="1"/>
  <c r="G96" i="37"/>
  <c r="H96" i="37" s="1"/>
  <c r="I96" i="37" s="1"/>
  <c r="J96" i="37" s="1"/>
  <c r="K96" i="37" s="1"/>
  <c r="L96" i="37" s="1"/>
  <c r="M96" i="37" s="1"/>
  <c r="F20" i="36"/>
  <c r="AA20" i="36"/>
  <c r="J33" i="34"/>
  <c r="W33" i="34" s="1"/>
  <c r="H23" i="39"/>
  <c r="D48" i="9"/>
  <c r="M52" i="9" s="1"/>
  <c r="H82" i="43"/>
  <c r="K9" i="1"/>
  <c r="M9" i="1" s="1"/>
  <c r="AE9" i="1"/>
  <c r="D93" i="9"/>
  <c r="K6" i="1"/>
  <c r="AC12" i="39"/>
  <c r="W12" i="39"/>
  <c r="AA32" i="36"/>
  <c r="S32" i="36"/>
  <c r="BL14" i="3"/>
  <c r="AC13" i="34"/>
  <c r="S19" i="39"/>
  <c r="F12" i="33"/>
  <c r="H12" i="39"/>
  <c r="U12" i="39" s="1"/>
  <c r="AB12" i="39"/>
  <c r="BA14" i="3"/>
  <c r="S12" i="1"/>
  <c r="AR12" i="1" s="1"/>
  <c r="R12" i="1"/>
  <c r="B12" i="1"/>
  <c r="E12" i="1"/>
  <c r="S10" i="1"/>
  <c r="AQ10" i="1" s="1"/>
  <c r="R10" i="1"/>
  <c r="B10" i="1"/>
  <c r="E10" i="1"/>
  <c r="K12" i="1"/>
  <c r="M12" i="1" s="1"/>
  <c r="S13" i="1"/>
  <c r="AR13" i="1" s="1"/>
  <c r="R13" i="1"/>
  <c r="S11" i="1"/>
  <c r="R11" i="1"/>
  <c r="S9" i="1"/>
  <c r="R9" i="1"/>
  <c r="J51" i="67"/>
  <c r="C42" i="1"/>
  <c r="H100" i="43"/>
  <c r="C30" i="66"/>
  <c r="B41" i="1"/>
  <c r="J100" i="43"/>
  <c r="AB37" i="40"/>
  <c r="S35" i="40"/>
  <c r="AC36" i="40"/>
  <c r="W38" i="40"/>
  <c r="AA32" i="40"/>
  <c r="S17" i="40"/>
  <c r="S23" i="40"/>
  <c r="AC15" i="40"/>
  <c r="AA19" i="40"/>
  <c r="U21" i="40"/>
  <c r="W42" i="39"/>
  <c r="S43" i="39"/>
  <c r="S37" i="39"/>
  <c r="U35" i="39"/>
  <c r="F32" i="39"/>
  <c r="F107" i="39"/>
  <c r="G107" i="39" s="1"/>
  <c r="H107" i="39" s="1"/>
  <c r="I107" i="39" s="1"/>
  <c r="J107" i="39" s="1"/>
  <c r="K107" i="39" s="1"/>
  <c r="L107" i="39" s="1"/>
  <c r="M107" i="39" s="1"/>
  <c r="U25" i="39"/>
  <c r="U31" i="39"/>
  <c r="J21" i="39"/>
  <c r="W21" i="39" s="1"/>
  <c r="F21" i="39"/>
  <c r="G95" i="39"/>
  <c r="H21" i="39"/>
  <c r="U21" i="39" s="1"/>
  <c r="W19" i="39"/>
  <c r="U19" i="39"/>
  <c r="S17" i="39"/>
  <c r="AC15" i="39"/>
  <c r="S15" i="39"/>
  <c r="AA12" i="39"/>
  <c r="S9" i="39"/>
  <c r="U14" i="39"/>
  <c r="AC13" i="39"/>
  <c r="U13" i="36"/>
  <c r="U26" i="36"/>
  <c r="S27" i="36"/>
  <c r="AA26" i="36"/>
  <c r="AA34" i="36"/>
  <c r="S29" i="36"/>
  <c r="AC26" i="36"/>
  <c r="W14" i="36"/>
  <c r="AB14" i="36"/>
  <c r="U22" i="36"/>
  <c r="S16" i="36"/>
  <c r="AA25" i="36"/>
  <c r="U23" i="36"/>
  <c r="AB20" i="36"/>
  <c r="U16" i="36"/>
  <c r="S14" i="36"/>
  <c r="U10" i="36"/>
  <c r="W10" i="36"/>
  <c r="AA25" i="35"/>
  <c r="S23" i="35"/>
  <c r="W24" i="35"/>
  <c r="AB13" i="35"/>
  <c r="U29" i="35"/>
  <c r="U28" i="35"/>
  <c r="AB27" i="35"/>
  <c r="U36" i="35"/>
  <c r="AA33" i="35"/>
  <c r="AC30" i="35"/>
  <c r="S32" i="35"/>
  <c r="AA36" i="35"/>
  <c r="W32" i="35"/>
  <c r="S28" i="35"/>
  <c r="AB16" i="35"/>
  <c r="S20" i="35"/>
  <c r="AC20" i="35"/>
  <c r="S22" i="35"/>
  <c r="AC10" i="35"/>
  <c r="AA10" i="35"/>
  <c r="AB10" i="35"/>
  <c r="AA11" i="35"/>
  <c r="S8" i="35"/>
  <c r="AC9" i="35"/>
  <c r="W9" i="35"/>
  <c r="F9" i="35"/>
  <c r="S9" i="35" s="1"/>
  <c r="H9" i="35"/>
  <c r="F26" i="35"/>
  <c r="J26" i="35"/>
  <c r="H26" i="35"/>
  <c r="U26" i="35" s="1"/>
  <c r="W27" i="37"/>
  <c r="AC29" i="37"/>
  <c r="AB31" i="37"/>
  <c r="S36" i="37"/>
  <c r="W38" i="37"/>
  <c r="AC35" i="37"/>
  <c r="S37" i="37"/>
  <c r="AC15" i="37"/>
  <c r="J17" i="37"/>
  <c r="W17" i="37" s="1"/>
  <c r="G73" i="37"/>
  <c r="F17" i="37"/>
  <c r="F75" i="37"/>
  <c r="G75" i="37" s="1"/>
  <c r="F19" i="37"/>
  <c r="S19" i="37" s="1"/>
  <c r="F79" i="37"/>
  <c r="F23" i="37"/>
  <c r="S23" i="37"/>
  <c r="U15" i="37"/>
  <c r="AC13" i="37"/>
  <c r="U9" i="37"/>
  <c r="AA13" i="37"/>
  <c r="AA9" i="37"/>
  <c r="H10" i="37"/>
  <c r="U10" i="37" s="1"/>
  <c r="F63" i="37"/>
  <c r="F11" i="37"/>
  <c r="S11" i="37"/>
  <c r="W25" i="34"/>
  <c r="AB8" i="34"/>
  <c r="AA33" i="34"/>
  <c r="AC39" i="34"/>
  <c r="AC42" i="34"/>
  <c r="AB35" i="34"/>
  <c r="U39" i="34"/>
  <c r="AB41" i="34"/>
  <c r="AA45" i="34"/>
  <c r="AA25" i="34"/>
  <c r="S17" i="34"/>
  <c r="S23" i="34"/>
  <c r="U15" i="34"/>
  <c r="S10" i="34"/>
  <c r="H67" i="34"/>
  <c r="I67" i="34" s="1"/>
  <c r="H10" i="34"/>
  <c r="U10" i="34" s="1"/>
  <c r="F11" i="34"/>
  <c r="W42" i="33"/>
  <c r="AA35" i="33"/>
  <c r="S27"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AC35" i="33" s="1"/>
  <c r="AA37" i="33"/>
  <c r="F101" i="33"/>
  <c r="G101" i="33" s="1"/>
  <c r="H101" i="33" s="1"/>
  <c r="I101" i="33" s="1"/>
  <c r="J101" i="33" s="1"/>
  <c r="K101" i="33" s="1"/>
  <c r="L101" i="33" s="1"/>
  <c r="M101" i="33" s="1"/>
  <c r="J32" i="33"/>
  <c r="S43" i="33"/>
  <c r="F91" i="33"/>
  <c r="H27" i="33"/>
  <c r="AB27" i="33" s="1"/>
  <c r="H25" i="33"/>
  <c r="U25" i="33" s="1"/>
  <c r="F25" i="33"/>
  <c r="S25" i="33" s="1"/>
  <c r="J23" i="33"/>
  <c r="W23" i="33" s="1"/>
  <c r="F85" i="33"/>
  <c r="H23" i="33"/>
  <c r="F19" i="33"/>
  <c r="W19" i="33"/>
  <c r="J17" i="33"/>
  <c r="AC17" i="33" s="1"/>
  <c r="F79" i="33"/>
  <c r="G79" i="33" s="1"/>
  <c r="S15" i="33"/>
  <c r="I66" i="33"/>
  <c r="J10" i="33"/>
  <c r="H10" i="33"/>
  <c r="AA10" i="33"/>
  <c r="AB14" i="33"/>
  <c r="W43" i="21"/>
  <c r="W36" i="21"/>
  <c r="W41" i="21"/>
  <c r="AB39" i="21"/>
  <c r="S39" i="21"/>
  <c r="AA38" i="21"/>
  <c r="AA36" i="21"/>
  <c r="J15" i="21"/>
  <c r="F77" i="21"/>
  <c r="G77" i="21" s="1"/>
  <c r="F23" i="21"/>
  <c r="S23" i="21" s="1"/>
  <c r="E85" i="21"/>
  <c r="F85" i="21" s="1"/>
  <c r="G85" i="21" s="1"/>
  <c r="AC11" i="21"/>
  <c r="AB8" i="21"/>
  <c r="S8" i="21"/>
  <c r="M3" i="43"/>
  <c r="M1" i="43"/>
  <c r="N8" i="43"/>
  <c r="D120" i="9"/>
  <c r="D121" i="9" s="1"/>
  <c r="D7" i="52" s="1"/>
  <c r="C18" i="9"/>
  <c r="D18" i="9" s="1"/>
  <c r="F34" i="67"/>
  <c r="F62" i="67" s="1"/>
  <c r="M20" i="67"/>
  <c r="F34" i="15"/>
  <c r="F62" i="15" s="1"/>
  <c r="G13" i="3"/>
  <c r="BA13" i="3"/>
  <c r="AZ13" i="3" s="1"/>
  <c r="BL17" i="3"/>
  <c r="AZ17" i="3" s="1"/>
  <c r="BL13" i="3"/>
  <c r="J56" i="9"/>
  <c r="J57" i="9" s="1"/>
  <c r="J59" i="9" s="1"/>
  <c r="J61" i="9" s="1"/>
  <c r="A24" i="51"/>
  <c r="B18" i="72" s="1"/>
  <c r="U29" i="34"/>
  <c r="E5" i="6"/>
  <c r="E32" i="6"/>
  <c r="L19" i="6"/>
  <c r="L27" i="6" s="1"/>
  <c r="G1" i="68"/>
  <c r="K1" i="12"/>
  <c r="AQ12" i="1"/>
  <c r="T12" i="1"/>
  <c r="T10" i="1"/>
  <c r="E19" i="69"/>
  <c r="E19" i="68"/>
  <c r="E19" i="11"/>
  <c r="E1" i="73"/>
  <c r="G22" i="69"/>
  <c r="G22" i="68"/>
  <c r="G26" i="12"/>
  <c r="G22" i="11"/>
  <c r="C100" i="43"/>
  <c r="E11" i="43"/>
  <c r="E10" i="43"/>
  <c r="E9" i="43"/>
  <c r="E8" i="43"/>
  <c r="E81" i="43"/>
  <c r="B79" i="43" s="1"/>
  <c r="E48" i="43"/>
  <c r="B46" i="43" s="1"/>
  <c r="E70" i="43"/>
  <c r="B68" i="43" s="1"/>
  <c r="F100" i="43"/>
  <c r="H17" i="43"/>
  <c r="G6" i="1"/>
  <c r="H81" i="43"/>
  <c r="H88" i="43"/>
  <c r="H78" i="43"/>
  <c r="C17" i="43"/>
  <c r="F33" i="43"/>
  <c r="K17" i="43"/>
  <c r="F34" i="43"/>
  <c r="N6" i="43"/>
  <c r="C6" i="43"/>
  <c r="N3" i="43"/>
  <c r="F38" i="43"/>
  <c r="F37" i="43"/>
  <c r="M9" i="43"/>
  <c r="N5" i="43"/>
  <c r="M12" i="43"/>
  <c r="B19" i="53"/>
  <c r="B37" i="72" s="1"/>
  <c r="C7" i="39"/>
  <c r="C68" i="39" s="1"/>
  <c r="C7" i="35"/>
  <c r="C7" i="33"/>
  <c r="C58" i="33" s="1"/>
  <c r="C7" i="21"/>
  <c r="C58" i="21" s="1"/>
  <c r="C7" i="40"/>
  <c r="C63" i="40" s="1"/>
  <c r="M47" i="9"/>
  <c r="G19" i="43"/>
  <c r="O19" i="43" s="1"/>
  <c r="C19" i="43" s="1"/>
  <c r="T35" i="4"/>
  <c r="A19" i="51"/>
  <c r="B14" i="72" s="1"/>
  <c r="C46" i="36"/>
  <c r="D46" i="36" s="1"/>
  <c r="C59" i="34"/>
  <c r="D59" i="34" s="1"/>
  <c r="E59" i="34" s="1"/>
  <c r="F59" i="34" s="1"/>
  <c r="G59" i="34" s="1"/>
  <c r="H59" i="34" s="1"/>
  <c r="C52" i="37"/>
  <c r="D52" i="37" s="1"/>
  <c r="A4" i="51"/>
  <c r="B6" i="72" s="1"/>
  <c r="C48" i="35"/>
  <c r="D48" i="35" s="1"/>
  <c r="C4" i="12"/>
  <c r="H66" i="43"/>
  <c r="H65" i="43"/>
  <c r="H63" i="43"/>
  <c r="H55" i="43"/>
  <c r="H72" i="43"/>
  <c r="L20" i="6"/>
  <c r="B6" i="1"/>
  <c r="E6" i="1" s="1"/>
  <c r="S8" i="1"/>
  <c r="K11" i="1"/>
  <c r="M11" i="1" s="1"/>
  <c r="AP6" i="1"/>
  <c r="B9" i="1"/>
  <c r="E9" i="1" s="1"/>
  <c r="K7" i="1"/>
  <c r="M7" i="1" s="1"/>
  <c r="G1" i="15"/>
  <c r="G1" i="69"/>
  <c r="G1" i="67"/>
  <c r="W23" i="40"/>
  <c r="AB31" i="40"/>
  <c r="S37" i="40"/>
  <c r="AB28" i="40"/>
  <c r="W34" i="40"/>
  <c r="W19" i="40"/>
  <c r="W27" i="40"/>
  <c r="S36" i="40"/>
  <c r="W37" i="40"/>
  <c r="S13" i="40"/>
  <c r="AA15" i="40"/>
  <c r="U11" i="40"/>
  <c r="S31" i="40"/>
  <c r="U15" i="40"/>
  <c r="AB17" i="40"/>
  <c r="U8" i="40"/>
  <c r="S8" i="40"/>
  <c r="AA39" i="39"/>
  <c r="U42" i="39"/>
  <c r="U41" i="39"/>
  <c r="AB41" i="39"/>
  <c r="W25" i="39"/>
  <c r="AC25" i="39"/>
  <c r="U13" i="39"/>
  <c r="AA13" i="39"/>
  <c r="S13" i="39"/>
  <c r="S14" i="39"/>
  <c r="U43" i="39"/>
  <c r="AB11" i="39"/>
  <c r="U11" i="39"/>
  <c r="AA27" i="39"/>
  <c r="S27" i="39"/>
  <c r="W17" i="39"/>
  <c r="AC17" i="39"/>
  <c r="W31" i="39"/>
  <c r="AC31" i="39"/>
  <c r="S23" i="39"/>
  <c r="AB39" i="39"/>
  <c r="U38" i="39"/>
  <c r="S8" i="39"/>
  <c r="S20" i="36"/>
  <c r="S28" i="36"/>
  <c r="W29" i="36"/>
  <c r="U25" i="36"/>
  <c r="AB28" i="36"/>
  <c r="AA13" i="36"/>
  <c r="W22" i="36"/>
  <c r="AB20" i="35"/>
  <c r="AC25" i="35"/>
  <c r="U25" i="35"/>
  <c r="W33" i="35"/>
  <c r="U24" i="35"/>
  <c r="S35" i="35"/>
  <c r="W35" i="35"/>
  <c r="AA16" i="35"/>
  <c r="AA35" i="37"/>
  <c r="S27" i="37"/>
  <c r="W32" i="37"/>
  <c r="U36" i="37"/>
  <c r="U38" i="37"/>
  <c r="S33" i="37"/>
  <c r="AC34" i="37"/>
  <c r="AB35" i="37"/>
  <c r="AA11" i="37"/>
  <c r="AA31" i="37"/>
  <c r="AA29" i="37"/>
  <c r="U8" i="37"/>
  <c r="AB40" i="34"/>
  <c r="U19" i="34"/>
  <c r="W19" i="34"/>
  <c r="AC45" i="34"/>
  <c r="AA31" i="34"/>
  <c r="AA30" i="34"/>
  <c r="AB47" i="34"/>
  <c r="U25" i="34"/>
  <c r="AB36" i="34"/>
  <c r="AC14" i="34"/>
  <c r="AC32" i="34"/>
  <c r="AC29" i="34"/>
  <c r="W29" i="34"/>
  <c r="AC46" i="34"/>
  <c r="S32" i="34"/>
  <c r="AA32" i="34"/>
  <c r="U30" i="34"/>
  <c r="AB30" i="34"/>
  <c r="S37" i="34"/>
  <c r="U38" i="34"/>
  <c r="AC40" i="34"/>
  <c r="W40" i="34"/>
  <c r="AA19" i="34"/>
  <c r="S19" i="34"/>
  <c r="AA36" i="34"/>
  <c r="S36" i="34"/>
  <c r="AA8" i="34"/>
  <c r="S8" i="34"/>
  <c r="S46" i="34"/>
  <c r="AA46" i="34"/>
  <c r="AB32" i="34"/>
  <c r="AB14" i="34"/>
  <c r="AC43" i="34"/>
  <c r="W43" i="34"/>
  <c r="W23" i="34"/>
  <c r="AC23" i="34"/>
  <c r="AC35" i="34"/>
  <c r="AC37" i="33"/>
  <c r="W46" i="33"/>
  <c r="U39" i="33"/>
  <c r="U38" i="33"/>
  <c r="S33" i="33"/>
  <c r="AB34" i="33"/>
  <c r="U44" i="33"/>
  <c r="AB44" i="33"/>
  <c r="AA30" i="33"/>
  <c r="AC14" i="33"/>
  <c r="W14" i="33"/>
  <c r="AC30" i="33"/>
  <c r="W30" i="33"/>
  <c r="S31" i="33"/>
  <c r="AA31" i="33"/>
  <c r="W13" i="33"/>
  <c r="AC13" i="33"/>
  <c r="S11" i="33"/>
  <c r="U37" i="33"/>
  <c r="AC28" i="33"/>
  <c r="W8" i="33"/>
  <c r="AB42" i="21"/>
  <c r="U28" i="21"/>
  <c r="AA11" i="21"/>
  <c r="S45" i="21"/>
  <c r="I101" i="21"/>
  <c r="J101" i="21" s="1"/>
  <c r="K101" i="21" s="1"/>
  <c r="L101" i="21" s="1"/>
  <c r="M101" i="21" s="1"/>
  <c r="F33" i="21"/>
  <c r="AA33" i="21" s="1"/>
  <c r="J33" i="21"/>
  <c r="H33" i="21"/>
  <c r="AB33" i="21" s="1"/>
  <c r="F37" i="21"/>
  <c r="AA37" i="21" s="1"/>
  <c r="AA26" i="21"/>
  <c r="AB14" i="21"/>
  <c r="U40" i="21"/>
  <c r="AB31" i="21"/>
  <c r="U31" i="21"/>
  <c r="U13" i="21"/>
  <c r="W8" i="21"/>
  <c r="AB37" i="21"/>
  <c r="J37" i="21"/>
  <c r="W37" i="21" s="1"/>
  <c r="H15" i="21"/>
  <c r="U15" i="21" s="1"/>
  <c r="J17" i="21"/>
  <c r="AC17" i="21" s="1"/>
  <c r="AC19" i="21"/>
  <c r="H45" i="21"/>
  <c r="U45" i="21" s="1"/>
  <c r="F29" i="21"/>
  <c r="S29" i="21" s="1"/>
  <c r="F13" i="21"/>
  <c r="AA13" i="21"/>
  <c r="H32" i="21"/>
  <c r="U32" i="21" s="1"/>
  <c r="H9" i="21"/>
  <c r="AB9" i="21" s="1"/>
  <c r="J9" i="21"/>
  <c r="J32" i="21"/>
  <c r="W32" i="21" s="1"/>
  <c r="F32" i="21"/>
  <c r="S32" i="21" s="1"/>
  <c r="U17" i="21"/>
  <c r="W29" i="21"/>
  <c r="S19" i="21"/>
  <c r="S9" i="21"/>
  <c r="AA9" i="21"/>
  <c r="K141" i="21"/>
  <c r="K144" i="21"/>
  <c r="K143" i="21"/>
  <c r="U27" i="21"/>
  <c r="AB25" i="21"/>
  <c r="AB44" i="21"/>
  <c r="AA30" i="21"/>
  <c r="W13" i="21"/>
  <c r="W42" i="21"/>
  <c r="AC45" i="21"/>
  <c r="F10" i="21"/>
  <c r="AA10" i="21" s="1"/>
  <c r="K145" i="21"/>
  <c r="W25" i="21"/>
  <c r="W31" i="21"/>
  <c r="S27" i="21"/>
  <c r="S17" i="21"/>
  <c r="AC27" i="21"/>
  <c r="AC26" i="21"/>
  <c r="AB29"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M6" i="1"/>
  <c r="O6" i="1" s="1"/>
  <c r="P6" i="1" s="1"/>
  <c r="T11" i="1"/>
  <c r="AQ9" i="1"/>
  <c r="T13" i="1"/>
  <c r="S7" i="1"/>
  <c r="E7" i="70"/>
  <c r="S39" i="40"/>
  <c r="J32" i="39"/>
  <c r="W32" i="39" s="1"/>
  <c r="H32" i="39"/>
  <c r="AA32" i="39"/>
  <c r="S32" i="39"/>
  <c r="AB21" i="39"/>
  <c r="AA21" i="39"/>
  <c r="S21" i="39"/>
  <c r="AC21" i="39"/>
  <c r="U9" i="35"/>
  <c r="AB9" i="35"/>
  <c r="AA9" i="35"/>
  <c r="AC26" i="35"/>
  <c r="W26" i="35"/>
  <c r="AB26" i="35"/>
  <c r="AC17" i="37"/>
  <c r="J19" i="37"/>
  <c r="W19" i="37" s="1"/>
  <c r="AA23" i="37"/>
  <c r="J23" i="37"/>
  <c r="G79" i="37"/>
  <c r="J10" i="37"/>
  <c r="W10" i="37" s="1"/>
  <c r="G63" i="37"/>
  <c r="H63" i="37" s="1"/>
  <c r="I63" i="37" s="1"/>
  <c r="J63" i="37" s="1"/>
  <c r="K63" i="37" s="1"/>
  <c r="L63" i="37" s="1"/>
  <c r="M63" i="37" s="1"/>
  <c r="H11" i="37"/>
  <c r="AB11" i="37" s="1"/>
  <c r="AB10" i="37"/>
  <c r="H11" i="34"/>
  <c r="AB11" i="34" s="1"/>
  <c r="AB10" i="34"/>
  <c r="J10" i="34"/>
  <c r="AC10" i="34" s="1"/>
  <c r="AB41" i="33"/>
  <c r="U41" i="33"/>
  <c r="W35" i="33"/>
  <c r="H111" i="33"/>
  <c r="I111" i="33" s="1"/>
  <c r="J111" i="33" s="1"/>
  <c r="K111" i="33" s="1"/>
  <c r="L111" i="33" s="1"/>
  <c r="M111" i="33" s="1"/>
  <c r="J36" i="33"/>
  <c r="H36" i="33"/>
  <c r="U36" i="33" s="1"/>
  <c r="S36" i="33"/>
  <c r="AA36" i="33"/>
  <c r="U27" i="33"/>
  <c r="G91" i="33"/>
  <c r="H91" i="33"/>
  <c r="I91" i="33" s="1"/>
  <c r="J91" i="33" s="1"/>
  <c r="K91" i="33" s="1"/>
  <c r="L91" i="33" s="1"/>
  <c r="M91" i="33" s="1"/>
  <c r="J27" i="33"/>
  <c r="W27" i="33" s="1"/>
  <c r="G87" i="33"/>
  <c r="H87" i="33" s="1"/>
  <c r="I87" i="33" s="1"/>
  <c r="J87" i="33" s="1"/>
  <c r="K87" i="33" s="1"/>
  <c r="L87" i="33" s="1"/>
  <c r="M87" i="33" s="1"/>
  <c r="J25" i="33"/>
  <c r="W25" i="33" s="1"/>
  <c r="F23" i="33"/>
  <c r="AA23" i="33" s="1"/>
  <c r="G85" i="33"/>
  <c r="AC23" i="33"/>
  <c r="H19" i="33"/>
  <c r="AB19" i="33" s="1"/>
  <c r="H17" i="33"/>
  <c r="AB17" i="33" s="1"/>
  <c r="F17" i="33"/>
  <c r="AA17" i="33" s="1"/>
  <c r="W17" i="33"/>
  <c r="U10" i="33"/>
  <c r="AB10" i="33"/>
  <c r="AA23" i="21"/>
  <c r="J23" i="21"/>
  <c r="AC23" i="21" s="1"/>
  <c r="H23" i="21"/>
  <c r="S13" i="21"/>
  <c r="AR8" i="1"/>
  <c r="AP7" i="1"/>
  <c r="AB45" i="21"/>
  <c r="S33" i="21"/>
  <c r="U9" i="21"/>
  <c r="AA32" i="21"/>
  <c r="AB32" i="21"/>
  <c r="AR7" i="1"/>
  <c r="A18" i="62"/>
  <c r="B64" i="72" s="1"/>
  <c r="AC32" i="39"/>
  <c r="W23" i="37"/>
  <c r="AC23" i="37"/>
  <c r="U11" i="37"/>
  <c r="J11" i="37"/>
  <c r="AC11" i="37" s="1"/>
  <c r="U11" i="34"/>
  <c r="J11" i="34"/>
  <c r="AC11" i="34" s="1"/>
  <c r="AC36" i="33"/>
  <c r="W36" i="33"/>
  <c r="AC25" i="33"/>
  <c r="S17" i="33"/>
  <c r="U17" i="33"/>
  <c r="M18" i="9"/>
  <c r="B118" i="9" s="1"/>
  <c r="B14" i="74" s="1"/>
  <c r="B1" i="74" s="1"/>
  <c r="W11" i="37"/>
  <c r="R7" i="1"/>
  <c r="F34" i="11"/>
  <c r="F11" i="12"/>
  <c r="C23" i="12" s="1"/>
  <c r="R8" i="1"/>
  <c r="AE7" i="1"/>
  <c r="AE8" i="1"/>
  <c r="H112" i="9"/>
  <c r="D21" i="53" s="1"/>
  <c r="B39" i="72" s="1"/>
  <c r="H111" i="9"/>
  <c r="D126" i="9" s="1"/>
  <c r="I14" i="74" s="1"/>
  <c r="B8" i="74" s="1"/>
  <c r="AD3" i="71"/>
  <c r="J1" i="73"/>
  <c r="H77" i="43"/>
  <c r="H51" i="43"/>
  <c r="H67" i="43"/>
  <c r="H59" i="43"/>
  <c r="H60" i="43"/>
  <c r="M4" i="43"/>
  <c r="M5" i="43"/>
  <c r="N12" i="43"/>
  <c r="N11" i="43"/>
  <c r="M10" i="43"/>
  <c r="M2" i="43"/>
  <c r="M7" i="43"/>
  <c r="H54" i="43"/>
  <c r="N9" i="43"/>
  <c r="M8" i="43"/>
  <c r="N10" i="43"/>
  <c r="H48" i="43"/>
  <c r="M6" i="43"/>
  <c r="N7" i="43"/>
  <c r="N4" i="43"/>
  <c r="N2" i="43"/>
  <c r="H49" i="43"/>
  <c r="N17" i="43"/>
  <c r="L17" i="43"/>
  <c r="O17" i="43"/>
  <c r="M17" i="43"/>
  <c r="E17" i="43"/>
  <c r="E46" i="36"/>
  <c r="F46" i="36" s="1"/>
  <c r="G46" i="36" s="1"/>
  <c r="H46" i="36" s="1"/>
  <c r="I46" i="36" s="1"/>
  <c r="C24" i="12"/>
  <c r="AB16" i="71"/>
  <c r="X14" i="71"/>
  <c r="X13" i="71"/>
  <c r="AA14" i="71"/>
  <c r="AA13" i="71"/>
  <c r="X17" i="71"/>
  <c r="Y13" i="71"/>
  <c r="Z13" i="71" s="1"/>
  <c r="AB14" i="71"/>
  <c r="AB13" i="71"/>
  <c r="Y14" i="71"/>
  <c r="Z14" i="71" s="1"/>
  <c r="X3" i="71"/>
  <c r="G20" i="43"/>
  <c r="I59" i="34"/>
  <c r="J59" i="34" s="1"/>
  <c r="F34" i="68"/>
  <c r="D2" i="37"/>
  <c r="F42" i="15"/>
  <c r="F6" i="15"/>
  <c r="E9" i="76"/>
  <c r="D7" i="73"/>
  <c r="F6" i="73"/>
  <c r="E13" i="76"/>
  <c r="M23" i="15"/>
  <c r="F3" i="73"/>
  <c r="F16" i="15"/>
  <c r="B8" i="76"/>
  <c r="M29" i="15"/>
  <c r="E10" i="76"/>
  <c r="F7" i="15"/>
  <c r="F20" i="31"/>
  <c r="D2" i="21"/>
  <c r="D9" i="69"/>
  <c r="B12" i="76"/>
  <c r="D2" i="34"/>
  <c r="D3" i="73"/>
  <c r="E11" i="76"/>
  <c r="D9" i="68"/>
  <c r="B9" i="76"/>
  <c r="E7" i="76"/>
  <c r="B7" i="76"/>
  <c r="E2" i="69"/>
  <c r="AO11" i="1"/>
  <c r="B11" i="76"/>
  <c r="F4" i="73"/>
  <c r="AO10" i="1"/>
  <c r="M8" i="15"/>
  <c r="D2" i="33"/>
  <c r="AO12" i="1"/>
  <c r="D2" i="35"/>
  <c r="AO8" i="1"/>
  <c r="C36" i="69"/>
  <c r="M26" i="15"/>
  <c r="F36" i="15"/>
  <c r="L48" i="15"/>
  <c r="E12" i="76"/>
  <c r="F13" i="15"/>
  <c r="AO9" i="1"/>
  <c r="AO7" i="1"/>
  <c r="F38" i="15"/>
  <c r="M6" i="67"/>
  <c r="D2" i="36"/>
  <c r="B10" i="76"/>
  <c r="F5" i="73"/>
  <c r="F7" i="73"/>
  <c r="M9" i="15"/>
  <c r="E8" i="76"/>
  <c r="AO13" i="1"/>
  <c r="M28" i="15"/>
  <c r="F13" i="67"/>
  <c r="B13" i="76"/>
  <c r="M24" i="15"/>
  <c r="E2" i="68"/>
  <c r="U23" i="21" l="1"/>
  <c r="AB23" i="21"/>
  <c r="U32" i="39"/>
  <c r="AB32" i="39"/>
  <c r="W33" i="21"/>
  <c r="AC33" i="21"/>
  <c r="D9" i="11"/>
  <c r="C9" i="11" s="1"/>
  <c r="D19" i="12"/>
  <c r="C19" i="12" s="1"/>
  <c r="W10" i="33"/>
  <c r="AC10" i="33"/>
  <c r="U23" i="33"/>
  <c r="AB23" i="33"/>
  <c r="W32" i="33"/>
  <c r="AC32" i="33"/>
  <c r="F48" i="9"/>
  <c r="O52" i="9" s="1"/>
  <c r="F30" i="11"/>
  <c r="C48" i="11" s="1"/>
  <c r="AR9" i="1"/>
  <c r="T9" i="1"/>
  <c r="AQ11" i="1"/>
  <c r="AR11" i="1"/>
  <c r="AC39" i="39"/>
  <c r="W39" i="39"/>
  <c r="AB35" i="40"/>
  <c r="U35" i="40"/>
  <c r="W20" i="36"/>
  <c r="AC20" i="36"/>
  <c r="H52" i="43"/>
  <c r="H50" i="43"/>
  <c r="H53" i="43"/>
  <c r="H56" i="43"/>
  <c r="H83" i="43"/>
  <c r="H86" i="43"/>
  <c r="H87" i="43"/>
  <c r="H85" i="43"/>
  <c r="H84" i="43"/>
  <c r="AZ336" i="3"/>
  <c r="AZ304" i="3"/>
  <c r="U15" i="39"/>
  <c r="AB15" i="39"/>
  <c r="AA25" i="39"/>
  <c r="S25" i="39"/>
  <c r="AA39" i="33"/>
  <c r="S39" i="33"/>
  <c r="AZ509" i="3"/>
  <c r="AZ549" i="3"/>
  <c r="S22" i="31"/>
  <c r="R22" i="31" s="1"/>
  <c r="AC9" i="21"/>
  <c r="W9" i="21"/>
  <c r="AQ8" i="1"/>
  <c r="T8" i="1"/>
  <c r="W15" i="21"/>
  <c r="AC15" i="21"/>
  <c r="S19" i="33"/>
  <c r="AA19" i="33"/>
  <c r="S11" i="34"/>
  <c r="AA11" i="34"/>
  <c r="AA17" i="37"/>
  <c r="S17" i="37"/>
  <c r="AA26" i="35"/>
  <c r="S26" i="35"/>
  <c r="S12" i="33"/>
  <c r="AA12" i="33"/>
  <c r="U23" i="39"/>
  <c r="AB23" i="39"/>
  <c r="U27" i="40"/>
  <c r="AB27" i="40"/>
  <c r="W27" i="36"/>
  <c r="AC27" i="36"/>
  <c r="H73" i="43"/>
  <c r="H71" i="43"/>
  <c r="H76" i="43"/>
  <c r="H70" i="43"/>
  <c r="H74" i="43"/>
  <c r="AZ357" i="3"/>
  <c r="U19" i="40"/>
  <c r="AB19" i="40"/>
  <c r="AB19" i="37"/>
  <c r="U19" i="37"/>
  <c r="AB23" i="37"/>
  <c r="U23" i="37"/>
  <c r="AA24" i="35"/>
  <c r="S24" i="35"/>
  <c r="AC41" i="34"/>
  <c r="W41" i="34"/>
  <c r="S41" i="34"/>
  <c r="AA41" i="34"/>
  <c r="S22" i="36"/>
  <c r="AA22" i="36"/>
  <c r="AB28" i="34"/>
  <c r="U28" i="34"/>
  <c r="AZ499" i="3"/>
  <c r="AZ529" i="3"/>
  <c r="AZ533" i="3"/>
  <c r="AZ561" i="3"/>
  <c r="J14" i="21"/>
  <c r="F14" i="21"/>
  <c r="AA38" i="33"/>
  <c r="S38" i="33"/>
  <c r="J26" i="33"/>
  <c r="F26" i="33"/>
  <c r="H26" i="33"/>
  <c r="H45" i="39"/>
  <c r="J45" i="39"/>
  <c r="AA38" i="39"/>
  <c r="S38" i="39"/>
  <c r="AA34" i="40"/>
  <c r="S34" i="40"/>
  <c r="U41" i="21"/>
  <c r="AB41" i="21"/>
  <c r="AB33" i="35"/>
  <c r="U33" i="35"/>
  <c r="U35" i="33"/>
  <c r="AB35" i="33"/>
  <c r="J9" i="33"/>
  <c r="H9" i="33"/>
  <c r="J27" i="34"/>
  <c r="F27" i="34"/>
  <c r="AC28" i="36"/>
  <c r="W28" i="36"/>
  <c r="H24" i="36"/>
  <c r="J24" i="36"/>
  <c r="H34" i="36"/>
  <c r="J34" i="36"/>
  <c r="H33" i="36"/>
  <c r="J33" i="36"/>
  <c r="F33" i="36"/>
  <c r="W9" i="40"/>
  <c r="AC9" i="40"/>
  <c r="W41" i="33"/>
  <c r="AC41" i="33"/>
  <c r="C20" i="43"/>
  <c r="S28" i="21"/>
  <c r="AA15" i="21"/>
  <c r="AA31" i="21"/>
  <c r="AC38" i="21"/>
  <c r="W39" i="21"/>
  <c r="S35" i="21"/>
  <c r="S28" i="33"/>
  <c r="U15" i="33"/>
  <c r="AB45" i="34"/>
  <c r="AA8" i="37"/>
  <c r="AB37" i="37"/>
  <c r="S28" i="37"/>
  <c r="W36" i="37"/>
  <c r="AA30" i="35"/>
  <c r="U32" i="36"/>
  <c r="AC25" i="36"/>
  <c r="W34" i="39"/>
  <c r="AC41" i="39"/>
  <c r="AB13" i="40"/>
  <c r="S33" i="40"/>
  <c r="AC14" i="40"/>
  <c r="W28" i="40"/>
  <c r="G17" i="43"/>
  <c r="C16" i="43" s="1"/>
  <c r="AC40" i="21"/>
  <c r="AA43" i="21"/>
  <c r="AC11" i="33"/>
  <c r="W15" i="33"/>
  <c r="S46" i="33"/>
  <c r="S32" i="33"/>
  <c r="S13" i="34"/>
  <c r="AA29" i="34"/>
  <c r="W34" i="34"/>
  <c r="U43" i="34"/>
  <c r="S30" i="37"/>
  <c r="AA38" i="37"/>
  <c r="W30" i="37"/>
  <c r="U29" i="37"/>
  <c r="S26" i="37"/>
  <c r="S25" i="37"/>
  <c r="W13" i="35"/>
  <c r="U14" i="35"/>
  <c r="U22" i="35"/>
  <c r="U32" i="35"/>
  <c r="AB27" i="39"/>
  <c r="S28" i="40"/>
  <c r="AC17" i="40"/>
  <c r="AA47" i="34"/>
  <c r="U30" i="33"/>
  <c r="AC38" i="39"/>
  <c r="AC21" i="40"/>
  <c r="U12" i="40"/>
  <c r="U43" i="21"/>
  <c r="E8" i="6"/>
  <c r="BC5" i="3"/>
  <c r="AZ377" i="3"/>
  <c r="AZ369" i="3"/>
  <c r="AZ361" i="3"/>
  <c r="AZ390" i="3"/>
  <c r="AZ372" i="3"/>
  <c r="AZ355" i="3"/>
  <c r="AZ305" i="3"/>
  <c r="AZ376" i="3"/>
  <c r="AZ341" i="3"/>
  <c r="AZ311" i="3"/>
  <c r="AB34" i="39"/>
  <c r="H5" i="3"/>
  <c r="F12" i="37"/>
  <c r="AC45" i="33"/>
  <c r="AA13" i="33"/>
  <c r="AB13" i="34"/>
  <c r="AC8" i="37"/>
  <c r="U35" i="35"/>
  <c r="AC32" i="36"/>
  <c r="H32" i="40"/>
  <c r="AA36" i="39"/>
  <c r="AZ507" i="3"/>
  <c r="AZ525" i="3"/>
  <c r="AZ497" i="3"/>
  <c r="AZ581" i="3"/>
  <c r="AZ542" i="3"/>
  <c r="S45" i="33"/>
  <c r="W11" i="36"/>
  <c r="AA14" i="33"/>
  <c r="F14" i="40"/>
  <c r="F14" i="37"/>
  <c r="H28" i="37"/>
  <c r="J28" i="37"/>
  <c r="W30" i="34"/>
  <c r="AB13" i="33"/>
  <c r="H28" i="33"/>
  <c r="S28" i="34"/>
  <c r="S29" i="35"/>
  <c r="AA29" i="35"/>
  <c r="U17" i="34"/>
  <c r="AB17" i="34"/>
  <c r="F24" i="36"/>
  <c r="U40" i="40"/>
  <c r="U31" i="36"/>
  <c r="U14" i="37"/>
  <c r="F45" i="39"/>
  <c r="H30" i="21"/>
  <c r="U30" i="21" s="1"/>
  <c r="J30" i="21"/>
  <c r="H46" i="21"/>
  <c r="F46" i="21"/>
  <c r="B70" i="43"/>
  <c r="C15" i="39"/>
  <c r="B77" i="43"/>
  <c r="C25" i="39"/>
  <c r="F9" i="33"/>
  <c r="S9" i="33" s="1"/>
  <c r="AB33" i="33"/>
  <c r="U33" i="33"/>
  <c r="AA35" i="34"/>
  <c r="S35" i="34"/>
  <c r="J12" i="33"/>
  <c r="H12" i="33"/>
  <c r="U8" i="36"/>
  <c r="AB8" i="36"/>
  <c r="H12" i="36"/>
  <c r="J12" i="36"/>
  <c r="F12" i="36"/>
  <c r="S31" i="36"/>
  <c r="AA31" i="36"/>
  <c r="J39" i="37"/>
  <c r="F39" i="37"/>
  <c r="H39" i="37"/>
  <c r="AB9" i="39"/>
  <c r="U9" i="39"/>
  <c r="BA575" i="3"/>
  <c r="BL574" i="3"/>
  <c r="AZ574" i="3" s="1"/>
  <c r="BL572" i="3"/>
  <c r="BA572" i="3"/>
  <c r="BA568" i="3"/>
  <c r="BA548" i="3"/>
  <c r="BL544" i="3"/>
  <c r="AZ544" i="3" s="1"/>
  <c r="BA543" i="3"/>
  <c r="AZ543" i="3" s="1"/>
  <c r="BA521" i="3"/>
  <c r="AZ521" i="3" s="1"/>
  <c r="BA517" i="3"/>
  <c r="BA516" i="3"/>
  <c r="AZ516" i="3" s="1"/>
  <c r="BA498" i="3"/>
  <c r="BL410" i="3"/>
  <c r="BL587" i="3"/>
  <c r="AZ587" i="3" s="1"/>
  <c r="BA583" i="3"/>
  <c r="AZ583" i="3" s="1"/>
  <c r="BA580" i="3"/>
  <c r="G578" i="3"/>
  <c r="BA571" i="3"/>
  <c r="G570" i="3"/>
  <c r="BA569" i="3"/>
  <c r="AZ569" i="3" s="1"/>
  <c r="BA566" i="3"/>
  <c r="BL564" i="3"/>
  <c r="AZ564" i="3" s="1"/>
  <c r="BL560" i="3"/>
  <c r="AZ560" i="3" s="1"/>
  <c r="BL558" i="3"/>
  <c r="AZ558" i="3" s="1"/>
  <c r="G551" i="3"/>
  <c r="G398" i="3"/>
  <c r="BL400" i="3"/>
  <c r="G403" i="3"/>
  <c r="BA403" i="3"/>
  <c r="AZ403" i="3" s="1"/>
  <c r="BA404" i="3"/>
  <c r="BL405" i="3"/>
  <c r="BL408" i="3"/>
  <c r="BA409" i="3"/>
  <c r="BA412" i="3"/>
  <c r="G413" i="3"/>
  <c r="BA415" i="3"/>
  <c r="BL415" i="3"/>
  <c r="G416" i="3"/>
  <c r="BL416" i="3"/>
  <c r="BA417" i="3"/>
  <c r="AZ417" i="3" s="1"/>
  <c r="BL417" i="3"/>
  <c r="G418" i="3"/>
  <c r="G420" i="3"/>
  <c r="BA421" i="3"/>
  <c r="BA422" i="3"/>
  <c r="BL422" i="3"/>
  <c r="BL424" i="3"/>
  <c r="G425" i="3"/>
  <c r="G426" i="3"/>
  <c r="BL426" i="3"/>
  <c r="BA429" i="3"/>
  <c r="BL429" i="3"/>
  <c r="G430" i="3"/>
  <c r="BL430" i="3"/>
  <c r="BA432" i="3"/>
  <c r="BL432" i="3"/>
  <c r="G433" i="3"/>
  <c r="BA434" i="3"/>
  <c r="AZ434" i="3" s="1"/>
  <c r="BL434" i="3"/>
  <c r="G435" i="3"/>
  <c r="BL436" i="3"/>
  <c r="G437" i="3"/>
  <c r="G439" i="3"/>
  <c r="BA440" i="3"/>
  <c r="BA441" i="3"/>
  <c r="BA442" i="3"/>
  <c r="AZ442" i="3" s="1"/>
  <c r="BL442" i="3"/>
  <c r="BL444" i="3"/>
  <c r="BA445" i="3"/>
  <c r="BA451" i="3"/>
  <c r="G452" i="3"/>
  <c r="BA454" i="3"/>
  <c r="AZ454" i="3" s="1"/>
  <c r="BL457" i="3"/>
  <c r="G459" i="3"/>
  <c r="BA460" i="3"/>
  <c r="BL461" i="3"/>
  <c r="G462" i="3"/>
  <c r="BA464" i="3"/>
  <c r="BA465" i="3"/>
  <c r="G466" i="3"/>
  <c r="G468" i="3"/>
  <c r="G470" i="3"/>
  <c r="BA471" i="3"/>
  <c r="G472" i="3"/>
  <c r="BL472" i="3"/>
  <c r="G474" i="3"/>
  <c r="G475" i="3"/>
  <c r="BL475" i="3"/>
  <c r="BL478" i="3"/>
  <c r="BA480" i="3"/>
  <c r="G481" i="3"/>
  <c r="BA481" i="3"/>
  <c r="BA482" i="3"/>
  <c r="G483" i="3"/>
  <c r="BL483" i="3"/>
  <c r="BL485" i="3"/>
  <c r="G486" i="3"/>
  <c r="G489" i="3"/>
  <c r="BL490" i="3"/>
  <c r="G491" i="3"/>
  <c r="BA492" i="3"/>
  <c r="G307" i="3"/>
  <c r="G315" i="3"/>
  <c r="BA319" i="3"/>
  <c r="AZ319" i="3" s="1"/>
  <c r="G329" i="3"/>
  <c r="BA331" i="3"/>
  <c r="AZ331" i="3" s="1"/>
  <c r="G334" i="3"/>
  <c r="G343" i="3"/>
  <c r="G345" i="3"/>
  <c r="BL346" i="3"/>
  <c r="AZ346" i="3" s="1"/>
  <c r="G347" i="3"/>
  <c r="G349" i="3"/>
  <c r="BA350" i="3"/>
  <c r="BL353" i="3"/>
  <c r="BA354" i="3"/>
  <c r="G358" i="3"/>
  <c r="BA367" i="3"/>
  <c r="BL368" i="3"/>
  <c r="G369" i="3"/>
  <c r="BA370" i="3"/>
  <c r="AZ370" i="3" s="1"/>
  <c r="BA374" i="3"/>
  <c r="AZ374" i="3" s="1"/>
  <c r="BA385" i="3"/>
  <c r="BL385" i="3"/>
  <c r="G387" i="3"/>
  <c r="BA388" i="3"/>
  <c r="AZ388" i="3" s="1"/>
  <c r="G395" i="3"/>
  <c r="BA396" i="3"/>
  <c r="BA208" i="3"/>
  <c r="G209" i="3"/>
  <c r="BA209" i="3"/>
  <c r="G212" i="3"/>
  <c r="BL212" i="3"/>
  <c r="BL214" i="3"/>
  <c r="BL218" i="3"/>
  <c r="BA219" i="3"/>
  <c r="G220" i="3"/>
  <c r="BA222" i="3"/>
  <c r="BL222" i="3"/>
  <c r="BA223" i="3"/>
  <c r="BA224" i="3"/>
  <c r="BL225" i="3"/>
  <c r="BA227" i="3"/>
  <c r="G228" i="3"/>
  <c r="BL228" i="3"/>
  <c r="G230" i="3"/>
  <c r="BL232" i="3"/>
  <c r="G233" i="3"/>
  <c r="BL234" i="3"/>
  <c r="G235" i="3"/>
  <c r="BA236" i="3"/>
  <c r="G239" i="3"/>
  <c r="BA239" i="3"/>
  <c r="BA240" i="3"/>
  <c r="G242" i="3"/>
  <c r="BL242" i="3"/>
  <c r="G244" i="3"/>
  <c r="G245" i="3"/>
  <c r="BA245" i="3"/>
  <c r="G246" i="3"/>
  <c r="BL248" i="3"/>
  <c r="AZ248" i="3" s="1"/>
  <c r="BA250" i="3"/>
  <c r="BA251" i="3"/>
  <c r="BL252" i="3"/>
  <c r="BL254" i="3"/>
  <c r="BA257" i="3"/>
  <c r="BL258" i="3"/>
  <c r="BA260" i="3"/>
  <c r="G262" i="3"/>
  <c r="BL262" i="3"/>
  <c r="G264" i="3"/>
  <c r="G265" i="3"/>
  <c r="BA265" i="3"/>
  <c r="BL267" i="3"/>
  <c r="G268" i="3"/>
  <c r="BL269" i="3"/>
  <c r="G270" i="3"/>
  <c r="G271" i="3"/>
  <c r="BA271" i="3"/>
  <c r="BL273" i="3"/>
  <c r="BA275" i="3"/>
  <c r="G276" i="3"/>
  <c r="BL278" i="3"/>
  <c r="BL280" i="3"/>
  <c r="BA128" i="3"/>
  <c r="AZ128" i="3" s="1"/>
  <c r="BA132" i="3"/>
  <c r="AZ132" i="3" s="1"/>
  <c r="BL146" i="3"/>
  <c r="BA182" i="3"/>
  <c r="BA185" i="3"/>
  <c r="BL187" i="3"/>
  <c r="AZ187" i="3" s="1"/>
  <c r="AZ446" i="3"/>
  <c r="BL446" i="3"/>
  <c r="BA467" i="3"/>
  <c r="BL468" i="3"/>
  <c r="BL470" i="3"/>
  <c r="BL473" i="3"/>
  <c r="BA478" i="3"/>
  <c r="AZ478" i="3" s="1"/>
  <c r="BL481" i="3"/>
  <c r="BA487" i="3"/>
  <c r="AZ487" i="3" s="1"/>
  <c r="BA488" i="3"/>
  <c r="BL489" i="3"/>
  <c r="BL491" i="3"/>
  <c r="BA333" i="3"/>
  <c r="BA366" i="3"/>
  <c r="AZ366" i="3" s="1"/>
  <c r="BL375" i="3"/>
  <c r="AZ375" i="3" s="1"/>
  <c r="BL213" i="3"/>
  <c r="BL215" i="3"/>
  <c r="BL229" i="3"/>
  <c r="BA238" i="3"/>
  <c r="BL243" i="3"/>
  <c r="BA266" i="3"/>
  <c r="BL272" i="3"/>
  <c r="BA285" i="3"/>
  <c r="AZ285" i="3" s="1"/>
  <c r="BL292" i="3"/>
  <c r="BL294" i="3"/>
  <c r="BL296" i="3"/>
  <c r="BL134" i="3"/>
  <c r="BL163" i="3"/>
  <c r="AZ163" i="3" s="1"/>
  <c r="BA173" i="3"/>
  <c r="BL178" i="3"/>
  <c r="BL24" i="3"/>
  <c r="BA30" i="3"/>
  <c r="BA43" i="3"/>
  <c r="BA97" i="3"/>
  <c r="BL282" i="3"/>
  <c r="G283" i="3"/>
  <c r="BA283" i="3"/>
  <c r="BL284" i="3"/>
  <c r="BL286" i="3"/>
  <c r="G287" i="3"/>
  <c r="G288" i="3"/>
  <c r="BA288" i="3"/>
  <c r="G289" i="3"/>
  <c r="BA290" i="3"/>
  <c r="BL290" i="3"/>
  <c r="G291" i="3"/>
  <c r="BA293" i="3"/>
  <c r="BL295" i="3"/>
  <c r="BL297" i="3"/>
  <c r="BA299" i="3"/>
  <c r="G300" i="3"/>
  <c r="BA301" i="3"/>
  <c r="G302" i="3"/>
  <c r="BL113" i="3"/>
  <c r="G114" i="3"/>
  <c r="G116" i="3"/>
  <c r="G118" i="3"/>
  <c r="BL118" i="3"/>
  <c r="BA120" i="3"/>
  <c r="AZ120" i="3" s="1"/>
  <c r="BA122" i="3"/>
  <c r="BA125" i="3"/>
  <c r="BA133" i="3"/>
  <c r="G135" i="3"/>
  <c r="BL137" i="3"/>
  <c r="BL142" i="3"/>
  <c r="G143" i="3"/>
  <c r="BL145" i="3"/>
  <c r="G154" i="3"/>
  <c r="BA154" i="3"/>
  <c r="G155" i="3"/>
  <c r="G160" i="3"/>
  <c r="BA161" i="3"/>
  <c r="G163" i="3"/>
  <c r="G167" i="3"/>
  <c r="BA168" i="3"/>
  <c r="AZ168" i="3" s="1"/>
  <c r="G171" i="3"/>
  <c r="BA172" i="3"/>
  <c r="AZ172" i="3" s="1"/>
  <c r="BA174" i="3"/>
  <c r="BL177" i="3"/>
  <c r="BA180" i="3"/>
  <c r="AZ180" i="3" s="1"/>
  <c r="BL182" i="3"/>
  <c r="G183" i="3"/>
  <c r="G184" i="3"/>
  <c r="BL185" i="3"/>
  <c r="G186" i="3"/>
  <c r="G188" i="3"/>
  <c r="BL191" i="3"/>
  <c r="AZ191" i="3" s="1"/>
  <c r="G192" i="3"/>
  <c r="BL193" i="3"/>
  <c r="G194" i="3"/>
  <c r="G196" i="3"/>
  <c r="BL197" i="3"/>
  <c r="G198" i="3"/>
  <c r="G199" i="3"/>
  <c r="G203" i="3"/>
  <c r="G205" i="3"/>
  <c r="G19" i="3"/>
  <c r="G21" i="3"/>
  <c r="G23" i="3"/>
  <c r="BL23" i="3"/>
  <c r="G25" i="3"/>
  <c r="G27" i="3"/>
  <c r="BA27" i="3"/>
  <c r="G34" i="3"/>
  <c r="BL35" i="3"/>
  <c r="BA37" i="3"/>
  <c r="G38" i="3"/>
  <c r="BA62" i="3"/>
  <c r="BA67" i="3"/>
  <c r="BA84" i="3"/>
  <c r="T58" i="71"/>
  <c r="D58" i="71"/>
  <c r="BL39" i="3"/>
  <c r="G40" i="3"/>
  <c r="G41" i="3"/>
  <c r="BA41" i="3"/>
  <c r="G42" i="3"/>
  <c r="BA42" i="3"/>
  <c r="G45" i="3"/>
  <c r="BL45" i="3"/>
  <c r="BA47" i="3"/>
  <c r="BA49" i="3"/>
  <c r="G50" i="3"/>
  <c r="BA50" i="3"/>
  <c r="BL52" i="3"/>
  <c r="BA53" i="3"/>
  <c r="AZ53" i="3" s="1"/>
  <c r="G55" i="3"/>
  <c r="BA57" i="3"/>
  <c r="G61" i="3"/>
  <c r="BL61" i="3"/>
  <c r="BA63" i="3"/>
  <c r="G64" i="3"/>
  <c r="BL64" i="3"/>
  <c r="BA65" i="3"/>
  <c r="BA66" i="3"/>
  <c r="G67" i="3"/>
  <c r="BL68" i="3"/>
  <c r="G69" i="3"/>
  <c r="BA71" i="3"/>
  <c r="BL73" i="3"/>
  <c r="BL75" i="3"/>
  <c r="BA77" i="3"/>
  <c r="BL78" i="3"/>
  <c r="G79" i="3"/>
  <c r="BL80" i="3"/>
  <c r="G81" i="3"/>
  <c r="G82" i="3"/>
  <c r="BA82" i="3"/>
  <c r="G83" i="3"/>
  <c r="BA83" i="3"/>
  <c r="BA85" i="3"/>
  <c r="BA86" i="3"/>
  <c r="G87" i="3"/>
  <c r="BL88" i="3"/>
  <c r="BA90" i="3"/>
  <c r="G91" i="3"/>
  <c r="G93" i="3"/>
  <c r="G95" i="3"/>
  <c r="BA96" i="3"/>
  <c r="AZ96" i="3" s="1"/>
  <c r="BL96" i="3"/>
  <c r="G97" i="3"/>
  <c r="BL101" i="3"/>
  <c r="BA103" i="3"/>
  <c r="G104" i="3"/>
  <c r="BL104" i="3"/>
  <c r="G106" i="3"/>
  <c r="BA106" i="3"/>
  <c r="G107" i="3"/>
  <c r="BA107" i="3"/>
  <c r="G108" i="3"/>
  <c r="BL108" i="3"/>
  <c r="G110" i="3"/>
  <c r="BL110" i="3"/>
  <c r="G112" i="3"/>
  <c r="AA19" i="71"/>
  <c r="E53" i="71"/>
  <c r="E54" i="71" s="1"/>
  <c r="U54" i="71" s="1"/>
  <c r="BL100" i="3"/>
  <c r="BL102" i="3"/>
  <c r="BL109" i="3"/>
  <c r="BL111" i="3"/>
  <c r="M100" i="43"/>
  <c r="G100" i="43"/>
  <c r="D108" i="43"/>
  <c r="W21" i="33"/>
  <c r="AA21" i="33"/>
  <c r="AB21" i="37"/>
  <c r="C50" i="71"/>
  <c r="T50" i="71" s="1"/>
  <c r="D66" i="71"/>
  <c r="C65" i="71"/>
  <c r="D65" i="71" s="1"/>
  <c r="C61" i="71"/>
  <c r="Q61" i="71"/>
  <c r="AB19" i="71"/>
  <c r="AA30" i="71"/>
  <c r="Y25" i="71"/>
  <c r="Z25" i="71" s="1"/>
  <c r="Y26" i="71"/>
  <c r="Z26" i="71" s="1"/>
  <c r="AB26" i="71"/>
  <c r="E29" i="71"/>
  <c r="E30" i="71" s="1"/>
  <c r="U30" i="71" s="1"/>
  <c r="F69" i="71"/>
  <c r="F68" i="71" s="1"/>
  <c r="AH10" i="43"/>
  <c r="AI10" i="43"/>
  <c r="C70" i="39"/>
  <c r="D68" i="39"/>
  <c r="W10" i="34"/>
  <c r="AC32" i="21"/>
  <c r="AC5" i="3"/>
  <c r="AC12" i="37"/>
  <c r="AZ584" i="3"/>
  <c r="W34" i="36"/>
  <c r="AC34" i="36"/>
  <c r="W45" i="39"/>
  <c r="AC45" i="39"/>
  <c r="B71" i="43"/>
  <c r="C21" i="39"/>
  <c r="AZ571" i="3"/>
  <c r="C7" i="43"/>
  <c r="U37" i="39"/>
  <c r="AZ325" i="3"/>
  <c r="AB12" i="37"/>
  <c r="AZ505" i="3"/>
  <c r="AZ536" i="3"/>
  <c r="AB30" i="21"/>
  <c r="U46" i="34"/>
  <c r="S14" i="34"/>
  <c r="W33" i="37"/>
  <c r="AA41" i="33"/>
  <c r="S41" i="33"/>
  <c r="AA40" i="21"/>
  <c r="S40" i="21"/>
  <c r="J9" i="36"/>
  <c r="H9" i="36"/>
  <c r="F9" i="36"/>
  <c r="J23" i="36"/>
  <c r="F23" i="36"/>
  <c r="W23" i="21"/>
  <c r="W28" i="34"/>
  <c r="AC28" i="34"/>
  <c r="U19" i="33"/>
  <c r="S23" i="33"/>
  <c r="AC10" i="37"/>
  <c r="H64" i="43"/>
  <c r="AR10" i="1"/>
  <c r="W43" i="33"/>
  <c r="S32" i="37"/>
  <c r="AZ334" i="3"/>
  <c r="BQ5" i="3"/>
  <c r="F28" i="6" s="1"/>
  <c r="E28" i="6" s="1"/>
  <c r="AB46" i="33"/>
  <c r="U46" i="33"/>
  <c r="F12" i="35"/>
  <c r="AC32" i="40"/>
  <c r="W32" i="40"/>
  <c r="BL555" i="3"/>
  <c r="AZ555" i="3" s="1"/>
  <c r="AZ498" i="3"/>
  <c r="AA25" i="33"/>
  <c r="AA19" i="37"/>
  <c r="AZ195" i="3"/>
  <c r="J12" i="35"/>
  <c r="AZ566" i="3"/>
  <c r="W14" i="39"/>
  <c r="AC29" i="33"/>
  <c r="H40" i="37"/>
  <c r="F40" i="37"/>
  <c r="AZ575" i="3"/>
  <c r="AZ572" i="3"/>
  <c r="AZ517" i="3"/>
  <c r="W11" i="34"/>
  <c r="AC9" i="37"/>
  <c r="AZ307" i="3"/>
  <c r="AZ364" i="3"/>
  <c r="AZ351" i="3"/>
  <c r="AZ567" i="3"/>
  <c r="AZ526" i="3"/>
  <c r="S14" i="37"/>
  <c r="AA14" i="37"/>
  <c r="U12" i="35"/>
  <c r="AB12" i="35"/>
  <c r="AA38" i="40"/>
  <c r="S38" i="40"/>
  <c r="S31" i="35"/>
  <c r="AA31" i="35"/>
  <c r="AZ580" i="3"/>
  <c r="E41" i="43"/>
  <c r="C41" i="43" s="1"/>
  <c r="S10" i="21"/>
  <c r="AC27" i="33"/>
  <c r="U33" i="21"/>
  <c r="AB25" i="33"/>
  <c r="AB36" i="33"/>
  <c r="AA29" i="21"/>
  <c r="AB33" i="34"/>
  <c r="S43" i="34"/>
  <c r="S30" i="40"/>
  <c r="E13" i="6"/>
  <c r="AC33" i="34"/>
  <c r="F29" i="6"/>
  <c r="AZ306" i="3"/>
  <c r="AZ576" i="3"/>
  <c r="J39" i="40"/>
  <c r="H39" i="40"/>
  <c r="AB32" i="37"/>
  <c r="AZ394" i="3"/>
  <c r="H62" i="43"/>
  <c r="AZ565" i="3"/>
  <c r="AZ508" i="3"/>
  <c r="AZ578" i="3"/>
  <c r="U23" i="40"/>
  <c r="BL586" i="3"/>
  <c r="AZ586" i="3" s="1"/>
  <c r="F12" i="34"/>
  <c r="H12" i="34"/>
  <c r="U11" i="35"/>
  <c r="AB11" i="35"/>
  <c r="AA15" i="37"/>
  <c r="S15" i="37"/>
  <c r="AZ513" i="3"/>
  <c r="AA34" i="21"/>
  <c r="S34" i="21"/>
  <c r="AC34" i="33"/>
  <c r="AZ14" i="3"/>
  <c r="AC19" i="37"/>
  <c r="D6" i="52"/>
  <c r="AQ13" i="1"/>
  <c r="AA40" i="34"/>
  <c r="U27" i="34"/>
  <c r="AB17" i="37"/>
  <c r="AZ356" i="3"/>
  <c r="AZ344" i="3"/>
  <c r="AZ327" i="3"/>
  <c r="AZ309" i="3"/>
  <c r="W14" i="37"/>
  <c r="AZ568" i="3"/>
  <c r="AZ511" i="3"/>
  <c r="AC8" i="35"/>
  <c r="S27" i="35"/>
  <c r="H38" i="40"/>
  <c r="J44" i="39"/>
  <c r="BA551" i="3"/>
  <c r="AZ551" i="3" s="1"/>
  <c r="BA550" i="3"/>
  <c r="AZ537" i="3"/>
  <c r="BL553" i="3"/>
  <c r="AZ553" i="3" s="1"/>
  <c r="AZ573" i="3"/>
  <c r="W13" i="36"/>
  <c r="W31" i="37"/>
  <c r="G587" i="3"/>
  <c r="H26" i="37"/>
  <c r="F44" i="39"/>
  <c r="G526" i="3"/>
  <c r="AZ362" i="3"/>
  <c r="BL519" i="3"/>
  <c r="AZ519" i="3" s="1"/>
  <c r="BL559" i="3"/>
  <c r="AZ559" i="3" s="1"/>
  <c r="F44" i="33"/>
  <c r="F44" i="21"/>
  <c r="AA9" i="40"/>
  <c r="U30" i="37"/>
  <c r="AA9" i="33"/>
  <c r="F9" i="34"/>
  <c r="G585" i="3"/>
  <c r="BL548" i="3"/>
  <c r="AZ548" i="3" s="1"/>
  <c r="BL577" i="3"/>
  <c r="AZ577" i="3" s="1"/>
  <c r="AZ495" i="3"/>
  <c r="W28" i="35"/>
  <c r="W40" i="39"/>
  <c r="H25" i="37"/>
  <c r="J25" i="37"/>
  <c r="G408" i="3"/>
  <c r="G409" i="3"/>
  <c r="BL435" i="3"/>
  <c r="BL438" i="3"/>
  <c r="G443" i="3"/>
  <c r="G445" i="3"/>
  <c r="G467" i="3"/>
  <c r="BL482" i="3"/>
  <c r="G488" i="3"/>
  <c r="BA332" i="3"/>
  <c r="AZ332" i="3" s="1"/>
  <c r="BA335" i="3"/>
  <c r="AZ335" i="3" s="1"/>
  <c r="BL348" i="3"/>
  <c r="AZ348" i="3" s="1"/>
  <c r="BL354" i="3"/>
  <c r="AZ354" i="3" s="1"/>
  <c r="BL226" i="3"/>
  <c r="AZ226" i="3" s="1"/>
  <c r="BL227" i="3"/>
  <c r="AZ227" i="3" s="1"/>
  <c r="BL255" i="3"/>
  <c r="BA292" i="3"/>
  <c r="AZ292" i="3" s="1"/>
  <c r="BA294" i="3"/>
  <c r="AZ294" i="3" s="1"/>
  <c r="BA295" i="3"/>
  <c r="AZ295" i="3" s="1"/>
  <c r="BA296" i="3"/>
  <c r="AZ296" i="3" s="1"/>
  <c r="BA297" i="3"/>
  <c r="AZ297" i="3" s="1"/>
  <c r="BL301" i="3"/>
  <c r="AZ301" i="3" s="1"/>
  <c r="BL115" i="3"/>
  <c r="AZ115" i="3" s="1"/>
  <c r="BL123" i="3"/>
  <c r="AZ123" i="3" s="1"/>
  <c r="BA129" i="3"/>
  <c r="BA158" i="3"/>
  <c r="BL195" i="3"/>
  <c r="BL199" i="3"/>
  <c r="AZ199" i="3" s="1"/>
  <c r="G207" i="3"/>
  <c r="BA400" i="3"/>
  <c r="AZ400" i="3" s="1"/>
  <c r="BA401" i="3"/>
  <c r="AZ401" i="3" s="1"/>
  <c r="BA402" i="3"/>
  <c r="BL404" i="3"/>
  <c r="BA419" i="3"/>
  <c r="BL421" i="3"/>
  <c r="BL440" i="3"/>
  <c r="BA456" i="3"/>
  <c r="AZ456" i="3" s="1"/>
  <c r="BA457" i="3"/>
  <c r="AZ457" i="3" s="1"/>
  <c r="BA458" i="3"/>
  <c r="BL460" i="3"/>
  <c r="BL462" i="3"/>
  <c r="G469" i="3"/>
  <c r="G471" i="3"/>
  <c r="BL484" i="3"/>
  <c r="AZ484" i="3" s="1"/>
  <c r="G490" i="3"/>
  <c r="BL350" i="3"/>
  <c r="AZ350" i="3" s="1"/>
  <c r="BA353" i="3"/>
  <c r="AZ353" i="3" s="1"/>
  <c r="BL395" i="3"/>
  <c r="AZ395" i="3" s="1"/>
  <c r="G211" i="3"/>
  <c r="BA225" i="3"/>
  <c r="AZ225" i="3" s="1"/>
  <c r="BL230" i="3"/>
  <c r="BA252" i="3"/>
  <c r="AZ252" i="3" s="1"/>
  <c r="BA253" i="3"/>
  <c r="AZ253" i="3" s="1"/>
  <c r="BA254" i="3"/>
  <c r="AZ254" i="3" s="1"/>
  <c r="BL256" i="3"/>
  <c r="AZ256" i="3" s="1"/>
  <c r="G266" i="3"/>
  <c r="BA300" i="3"/>
  <c r="AZ300" i="3" s="1"/>
  <c r="BA117" i="3"/>
  <c r="BA118" i="3"/>
  <c r="AZ118" i="3" s="1"/>
  <c r="BA121" i="3"/>
  <c r="AZ121" i="3" s="1"/>
  <c r="BA124" i="3"/>
  <c r="AZ124" i="3" s="1"/>
  <c r="BA126" i="3"/>
  <c r="BA198" i="3"/>
  <c r="BL20" i="3"/>
  <c r="C53" i="71"/>
  <c r="D52" i="71"/>
  <c r="G558" i="3"/>
  <c r="G542" i="3"/>
  <c r="BL406" i="3"/>
  <c r="G411" i="3"/>
  <c r="BA420" i="3"/>
  <c r="AZ420" i="3" s="1"/>
  <c r="BA435" i="3"/>
  <c r="AZ435" i="3" s="1"/>
  <c r="BA436" i="3"/>
  <c r="AZ436" i="3" s="1"/>
  <c r="BA437" i="3"/>
  <c r="AZ437" i="3" s="1"/>
  <c r="BA438" i="3"/>
  <c r="BA439" i="3"/>
  <c r="AZ439" i="3" s="1"/>
  <c r="BL441" i="3"/>
  <c r="AZ441" i="3" s="1"/>
  <c r="G447" i="3"/>
  <c r="BL464" i="3"/>
  <c r="G473" i="3"/>
  <c r="BA483" i="3"/>
  <c r="AZ483" i="3" s="1"/>
  <c r="BL486" i="3"/>
  <c r="BA307" i="3"/>
  <c r="BL324" i="3"/>
  <c r="AZ324" i="3" s="1"/>
  <c r="BA352" i="3"/>
  <c r="AZ352" i="3" s="1"/>
  <c r="BL393" i="3"/>
  <c r="AZ393" i="3" s="1"/>
  <c r="BL396" i="3"/>
  <c r="AZ396" i="3" s="1"/>
  <c r="G213" i="3"/>
  <c r="G214" i="3"/>
  <c r="G215" i="3"/>
  <c r="G216" i="3"/>
  <c r="BA228" i="3"/>
  <c r="AZ228" i="3" s="1"/>
  <c r="BA229" i="3"/>
  <c r="AZ229" i="3" s="1"/>
  <c r="BL236" i="3"/>
  <c r="AZ236" i="3" s="1"/>
  <c r="BL257" i="3"/>
  <c r="AZ257" i="3" s="1"/>
  <c r="BA116" i="3"/>
  <c r="AZ116" i="3" s="1"/>
  <c r="BA156" i="3"/>
  <c r="AZ156" i="3" s="1"/>
  <c r="BA197" i="3"/>
  <c r="AZ197" i="3" s="1"/>
  <c r="BL19" i="3"/>
  <c r="BA40" i="3"/>
  <c r="BL423" i="3"/>
  <c r="G427" i="3"/>
  <c r="BL443" i="3"/>
  <c r="G449" i="3"/>
  <c r="BA461" i="3"/>
  <c r="AZ461" i="3" s="1"/>
  <c r="BA462" i="3"/>
  <c r="AZ462" i="3" s="1"/>
  <c r="BA463" i="3"/>
  <c r="AZ463" i="3" s="1"/>
  <c r="BL465" i="3"/>
  <c r="AZ465" i="3" s="1"/>
  <c r="G476" i="3"/>
  <c r="BA485" i="3"/>
  <c r="AZ485" i="3" s="1"/>
  <c r="G339" i="3"/>
  <c r="BL365" i="3"/>
  <c r="AZ365" i="3" s="1"/>
  <c r="BL208" i="3"/>
  <c r="AZ208" i="3" s="1"/>
  <c r="G218" i="3"/>
  <c r="G219" i="3"/>
  <c r="BA231" i="3"/>
  <c r="AZ231" i="3" s="1"/>
  <c r="BA232" i="3"/>
  <c r="AZ232" i="3" s="1"/>
  <c r="BA233" i="3"/>
  <c r="AZ233" i="3" s="1"/>
  <c r="BA234" i="3"/>
  <c r="AZ234" i="3" s="1"/>
  <c r="BA235" i="3"/>
  <c r="AZ235" i="3" s="1"/>
  <c r="BL237" i="3"/>
  <c r="AZ237" i="3" s="1"/>
  <c r="BL260" i="3"/>
  <c r="AZ260" i="3" s="1"/>
  <c r="BL261" i="3"/>
  <c r="G272" i="3"/>
  <c r="G273" i="3"/>
  <c r="G274" i="3"/>
  <c r="G275" i="3"/>
  <c r="G146" i="3"/>
  <c r="BL173" i="3"/>
  <c r="AZ173" i="3" s="1"/>
  <c r="BA196" i="3"/>
  <c r="AZ196" i="3" s="1"/>
  <c r="BL18" i="3"/>
  <c r="BA22" i="3"/>
  <c r="BA58" i="3"/>
  <c r="BA405" i="3"/>
  <c r="AZ405" i="3" s="1"/>
  <c r="BA406" i="3"/>
  <c r="BL409" i="3"/>
  <c r="G414" i="3"/>
  <c r="BL445" i="3"/>
  <c r="AZ445" i="3" s="1"/>
  <c r="BL467" i="3"/>
  <c r="BL469" i="3"/>
  <c r="BL488" i="3"/>
  <c r="BL363" i="3"/>
  <c r="AZ363" i="3" s="1"/>
  <c r="BL367" i="3"/>
  <c r="AZ367" i="3" s="1"/>
  <c r="BA397" i="3"/>
  <c r="AZ397" i="3" s="1"/>
  <c r="BL209" i="3"/>
  <c r="AZ209" i="3" s="1"/>
  <c r="G221" i="3"/>
  <c r="BL238" i="3"/>
  <c r="AZ238" i="3" s="1"/>
  <c r="BL239" i="3"/>
  <c r="G247" i="3"/>
  <c r="BA258" i="3"/>
  <c r="AZ258" i="3" s="1"/>
  <c r="BA259" i="3"/>
  <c r="AZ259" i="3" s="1"/>
  <c r="G277" i="3"/>
  <c r="BA153" i="3"/>
  <c r="BL170" i="3"/>
  <c r="BL174" i="3"/>
  <c r="AZ174" i="3" s="1"/>
  <c r="BL175" i="3"/>
  <c r="AZ175" i="3" s="1"/>
  <c r="BL179" i="3"/>
  <c r="AZ179" i="3" s="1"/>
  <c r="C21" i="71"/>
  <c r="T22" i="71"/>
  <c r="D22" i="71"/>
  <c r="U22" i="71" s="1"/>
  <c r="BL16" i="3"/>
  <c r="AZ16" i="3" s="1"/>
  <c r="BA407" i="3"/>
  <c r="AZ407" i="3" s="1"/>
  <c r="BA408" i="3"/>
  <c r="AZ408" i="3" s="1"/>
  <c r="BL425" i="3"/>
  <c r="BA443" i="3"/>
  <c r="BA444" i="3"/>
  <c r="AZ444" i="3" s="1"/>
  <c r="BA466" i="3"/>
  <c r="AZ466" i="3" s="1"/>
  <c r="BL471" i="3"/>
  <c r="AZ471" i="3" s="1"/>
  <c r="BL492" i="3"/>
  <c r="BA323" i="3"/>
  <c r="AZ323" i="3" s="1"/>
  <c r="BL340" i="3"/>
  <c r="AZ340" i="3" s="1"/>
  <c r="BA368" i="3"/>
  <c r="AZ368" i="3" s="1"/>
  <c r="BA392" i="3"/>
  <c r="AZ392" i="3" s="1"/>
  <c r="BL211" i="3"/>
  <c r="AZ211" i="3" s="1"/>
  <c r="BL240" i="3"/>
  <c r="AZ240" i="3" s="1"/>
  <c r="BL241" i="3"/>
  <c r="BA261" i="3"/>
  <c r="BA262" i="3"/>
  <c r="AZ262" i="3" s="1"/>
  <c r="BA263" i="3"/>
  <c r="AZ263" i="3" s="1"/>
  <c r="BL265" i="3"/>
  <c r="AZ265" i="3" s="1"/>
  <c r="BL266" i="3"/>
  <c r="AZ266" i="3" s="1"/>
  <c r="G279" i="3"/>
  <c r="G280" i="3"/>
  <c r="G281" i="3"/>
  <c r="G282" i="3"/>
  <c r="G285" i="3"/>
  <c r="G290" i="3"/>
  <c r="G131" i="3"/>
  <c r="G138" i="3"/>
  <c r="G139" i="3"/>
  <c r="BL149" i="3"/>
  <c r="BA152" i="3"/>
  <c r="AZ152" i="3" s="1"/>
  <c r="G162" i="3"/>
  <c r="BL169" i="3"/>
  <c r="BL181" i="3"/>
  <c r="AZ181" i="3" s="1"/>
  <c r="BA192" i="3"/>
  <c r="AZ192" i="3" s="1"/>
  <c r="BL206" i="3"/>
  <c r="BL29" i="3"/>
  <c r="BL31" i="3"/>
  <c r="AZ31" i="3" s="1"/>
  <c r="BL32" i="3"/>
  <c r="AZ32" i="3" s="1"/>
  <c r="BA36" i="3"/>
  <c r="AZ36" i="3" s="1"/>
  <c r="BL48" i="3"/>
  <c r="AZ52" i="3"/>
  <c r="BL15" i="3"/>
  <c r="AZ15" i="3" s="1"/>
  <c r="G399" i="3"/>
  <c r="BL411" i="3"/>
  <c r="BA424" i="3"/>
  <c r="AZ424" i="3" s="1"/>
  <c r="G432" i="3"/>
  <c r="BL447" i="3"/>
  <c r="AZ447" i="3" s="1"/>
  <c r="BA468" i="3"/>
  <c r="AZ468" i="3" s="1"/>
  <c r="BA469" i="3"/>
  <c r="BA470" i="3"/>
  <c r="AZ470" i="3" s="1"/>
  <c r="BL474" i="3"/>
  <c r="G480" i="3"/>
  <c r="BA489" i="3"/>
  <c r="AZ489" i="3" s="1"/>
  <c r="BA490" i="3"/>
  <c r="AZ490" i="3" s="1"/>
  <c r="BA491" i="3"/>
  <c r="AZ491" i="3" s="1"/>
  <c r="BA303" i="3"/>
  <c r="AZ303" i="3" s="1"/>
  <c r="BA210" i="3"/>
  <c r="AZ210" i="3" s="1"/>
  <c r="BL216" i="3"/>
  <c r="AZ216" i="3" s="1"/>
  <c r="BL270" i="3"/>
  <c r="AZ270" i="3" s="1"/>
  <c r="BL147" i="3"/>
  <c r="AZ147" i="3" s="1"/>
  <c r="BA170" i="3"/>
  <c r="BA177" i="3"/>
  <c r="AZ177" i="3" s="1"/>
  <c r="BA178" i="3"/>
  <c r="AZ178" i="3" s="1"/>
  <c r="BL205" i="3"/>
  <c r="BL28" i="3"/>
  <c r="BA410" i="3"/>
  <c r="AZ410" i="3" s="1"/>
  <c r="BL412" i="3"/>
  <c r="AZ412" i="3" s="1"/>
  <c r="BL427" i="3"/>
  <c r="AZ427" i="3" s="1"/>
  <c r="BL449" i="3"/>
  <c r="G455" i="3"/>
  <c r="BA472" i="3"/>
  <c r="AZ472" i="3" s="1"/>
  <c r="BA473" i="3"/>
  <c r="AZ473" i="3" s="1"/>
  <c r="BL476" i="3"/>
  <c r="AZ476" i="3" s="1"/>
  <c r="BL314" i="3"/>
  <c r="AZ314" i="3" s="1"/>
  <c r="BL359" i="3"/>
  <c r="AZ359" i="3" s="1"/>
  <c r="BL383" i="3"/>
  <c r="AZ383" i="3" s="1"/>
  <c r="BA212" i="3"/>
  <c r="AZ212" i="3" s="1"/>
  <c r="BA213" i="3"/>
  <c r="AZ213" i="3" s="1"/>
  <c r="BA214" i="3"/>
  <c r="AZ214" i="3" s="1"/>
  <c r="BA215" i="3"/>
  <c r="AZ215" i="3" s="1"/>
  <c r="BL219" i="3"/>
  <c r="AZ219" i="3" s="1"/>
  <c r="BA241" i="3"/>
  <c r="AZ241" i="3" s="1"/>
  <c r="BA242" i="3"/>
  <c r="AZ242" i="3" s="1"/>
  <c r="BA243" i="3"/>
  <c r="AZ243" i="3" s="1"/>
  <c r="BL245" i="3"/>
  <c r="AZ245" i="3" s="1"/>
  <c r="BA267" i="3"/>
  <c r="AZ267" i="3" s="1"/>
  <c r="BA268" i="3"/>
  <c r="AZ268" i="3" s="1"/>
  <c r="BA269" i="3"/>
  <c r="AZ269" i="3" s="1"/>
  <c r="BL271" i="3"/>
  <c r="AZ271" i="3" s="1"/>
  <c r="BL274" i="3"/>
  <c r="BL275" i="3"/>
  <c r="AZ275" i="3" s="1"/>
  <c r="G294" i="3"/>
  <c r="G299" i="3"/>
  <c r="BL143" i="3"/>
  <c r="AZ143" i="3" s="1"/>
  <c r="BA149" i="3"/>
  <c r="AZ149" i="3" s="1"/>
  <c r="BA150" i="3"/>
  <c r="BL166" i="3"/>
  <c r="BA169" i="3"/>
  <c r="AZ169" i="3" s="1"/>
  <c r="BA186" i="3"/>
  <c r="AZ186" i="3" s="1"/>
  <c r="BL27" i="3"/>
  <c r="AZ27" i="3" s="1"/>
  <c r="BA29" i="3"/>
  <c r="D24" i="71"/>
  <c r="C25" i="71"/>
  <c r="G401" i="3"/>
  <c r="G402" i="3"/>
  <c r="BL414" i="3"/>
  <c r="AZ414" i="3" s="1"/>
  <c r="G419" i="3"/>
  <c r="BA426" i="3"/>
  <c r="AZ426" i="3" s="1"/>
  <c r="BL428" i="3"/>
  <c r="AZ428" i="3" s="1"/>
  <c r="BA448" i="3"/>
  <c r="AZ448" i="3" s="1"/>
  <c r="BL451" i="3"/>
  <c r="G457" i="3"/>
  <c r="G458" i="3"/>
  <c r="BA475" i="3"/>
  <c r="AZ475" i="3" s="1"/>
  <c r="G482" i="3"/>
  <c r="BL312" i="3"/>
  <c r="AZ312" i="3" s="1"/>
  <c r="BL317" i="3"/>
  <c r="AZ317" i="3" s="1"/>
  <c r="BA339" i="3"/>
  <c r="AZ339" i="3" s="1"/>
  <c r="BL381" i="3"/>
  <c r="AZ381" i="3" s="1"/>
  <c r="BL386" i="3"/>
  <c r="AZ386" i="3" s="1"/>
  <c r="BA217" i="3"/>
  <c r="AZ217" i="3" s="1"/>
  <c r="BA218" i="3"/>
  <c r="AZ218" i="3" s="1"/>
  <c r="BL221" i="3"/>
  <c r="G227" i="3"/>
  <c r="BL247" i="3"/>
  <c r="G253" i="3"/>
  <c r="G254" i="3"/>
  <c r="G255" i="3"/>
  <c r="BA272" i="3"/>
  <c r="AZ272" i="3" s="1"/>
  <c r="BA273" i="3"/>
  <c r="AZ273" i="3" s="1"/>
  <c r="BL277" i="3"/>
  <c r="G301" i="3"/>
  <c r="G119" i="3"/>
  <c r="G122" i="3"/>
  <c r="G124" i="3"/>
  <c r="BL139" i="3"/>
  <c r="AZ139" i="3" s="1"/>
  <c r="BA148" i="3"/>
  <c r="AZ148" i="3" s="1"/>
  <c r="BL165" i="3"/>
  <c r="BL203" i="3"/>
  <c r="AZ203" i="3" s="1"/>
  <c r="BA207" i="3"/>
  <c r="BA28" i="3"/>
  <c r="AZ28" i="3" s="1"/>
  <c r="BA46" i="3"/>
  <c r="AZ413" i="3"/>
  <c r="AZ450" i="3"/>
  <c r="AZ477" i="3"/>
  <c r="AZ316" i="3"/>
  <c r="AZ385" i="3"/>
  <c r="AZ220" i="3"/>
  <c r="AZ221" i="3"/>
  <c r="AZ246" i="3"/>
  <c r="AZ247" i="3"/>
  <c r="AZ276" i="3"/>
  <c r="BL130" i="3"/>
  <c r="BL133" i="3"/>
  <c r="AZ133" i="3" s="1"/>
  <c r="BL135" i="3"/>
  <c r="AZ135" i="3" s="1"/>
  <c r="BA144" i="3"/>
  <c r="AZ144" i="3" s="1"/>
  <c r="BL162" i="3"/>
  <c r="AZ162" i="3" s="1"/>
  <c r="BA166" i="3"/>
  <c r="AZ415" i="3"/>
  <c r="AZ416" i="3"/>
  <c r="AZ429" i="3"/>
  <c r="AZ451" i="3"/>
  <c r="AZ452" i="3"/>
  <c r="BL480" i="3"/>
  <c r="BL223" i="3"/>
  <c r="AZ223" i="3" s="1"/>
  <c r="BL249" i="3"/>
  <c r="AZ249" i="3" s="1"/>
  <c r="BL250" i="3"/>
  <c r="AZ250" i="3" s="1"/>
  <c r="BA282" i="3"/>
  <c r="AZ282" i="3" s="1"/>
  <c r="BL291" i="3"/>
  <c r="AZ291" i="3" s="1"/>
  <c r="BL129" i="3"/>
  <c r="BA140" i="3"/>
  <c r="AZ140" i="3" s="1"/>
  <c r="BL158" i="3"/>
  <c r="BA165" i="3"/>
  <c r="AZ165" i="3" s="1"/>
  <c r="BA202" i="3"/>
  <c r="E17" i="71"/>
  <c r="E16" i="71" s="1"/>
  <c r="E15" i="71" s="1"/>
  <c r="E14" i="71" s="1"/>
  <c r="V18" i="71"/>
  <c r="G582" i="3"/>
  <c r="G552" i="3"/>
  <c r="BL550" i="3"/>
  <c r="BA398" i="3"/>
  <c r="AZ398" i="3" s="1"/>
  <c r="BL402" i="3"/>
  <c r="G406" i="3"/>
  <c r="BL419" i="3"/>
  <c r="G423" i="3"/>
  <c r="BA431" i="3"/>
  <c r="AZ431" i="3" s="1"/>
  <c r="BL433" i="3"/>
  <c r="AZ433" i="3" s="1"/>
  <c r="BL455" i="3"/>
  <c r="AZ455" i="3" s="1"/>
  <c r="BL458" i="3"/>
  <c r="BA479" i="3"/>
  <c r="AZ479" i="3" s="1"/>
  <c r="BL308" i="3"/>
  <c r="AZ308" i="3" s="1"/>
  <c r="BL328" i="3"/>
  <c r="AZ328" i="3" s="1"/>
  <c r="BL333" i="3"/>
  <c r="AZ333" i="3" s="1"/>
  <c r="G208" i="3"/>
  <c r="BL224" i="3"/>
  <c r="AZ224" i="3" s="1"/>
  <c r="BL251" i="3"/>
  <c r="AZ251" i="3" s="1"/>
  <c r="G259" i="3"/>
  <c r="G260" i="3"/>
  <c r="BA284" i="3"/>
  <c r="AZ284" i="3" s="1"/>
  <c r="BA286" i="3"/>
  <c r="AZ286" i="3" s="1"/>
  <c r="BA287" i="3"/>
  <c r="BA289" i="3"/>
  <c r="AZ289" i="3" s="1"/>
  <c r="BL293" i="3"/>
  <c r="BL298" i="3"/>
  <c r="AZ298" i="3" s="1"/>
  <c r="BL299" i="3"/>
  <c r="AZ299" i="3" s="1"/>
  <c r="BL117" i="3"/>
  <c r="BL119" i="3"/>
  <c r="AZ119" i="3" s="1"/>
  <c r="BL126" i="3"/>
  <c r="BA130" i="3"/>
  <c r="BA136" i="3"/>
  <c r="AZ136" i="3" s="1"/>
  <c r="BL157" i="3"/>
  <c r="AZ157" i="3" s="1"/>
  <c r="BA164" i="3"/>
  <c r="AZ164" i="3" s="1"/>
  <c r="BA201" i="3"/>
  <c r="G37" i="3"/>
  <c r="BL44" i="3"/>
  <c r="BA48" i="3"/>
  <c r="BL50" i="3"/>
  <c r="AZ50" i="3" s="1"/>
  <c r="BL70" i="3"/>
  <c r="BA87" i="3"/>
  <c r="AZ87" i="3" s="1"/>
  <c r="BA88" i="3"/>
  <c r="AZ88" i="3" s="1"/>
  <c r="BA89" i="3"/>
  <c r="AZ89" i="3" s="1"/>
  <c r="BL92" i="3"/>
  <c r="AZ92" i="3" s="1"/>
  <c r="X19" i="71"/>
  <c r="X25" i="71"/>
  <c r="AA23" i="71"/>
  <c r="AB28" i="71"/>
  <c r="B42" i="71"/>
  <c r="S42" i="71" s="1"/>
  <c r="BL51" i="3"/>
  <c r="AZ51" i="3" s="1"/>
  <c r="BA68" i="3"/>
  <c r="AZ68" i="3" s="1"/>
  <c r="BA69" i="3"/>
  <c r="AZ69" i="3" s="1"/>
  <c r="BL71" i="3"/>
  <c r="AZ71" i="3" s="1"/>
  <c r="BA91" i="3"/>
  <c r="AZ91" i="3" s="1"/>
  <c r="BL93" i="3"/>
  <c r="AZ93" i="3" s="1"/>
  <c r="C76" i="71"/>
  <c r="D76" i="71" s="1"/>
  <c r="E61" i="71"/>
  <c r="E60" i="71" s="1"/>
  <c r="P60" i="71" s="1"/>
  <c r="X24" i="71"/>
  <c r="E24" i="71"/>
  <c r="E25" i="71" s="1"/>
  <c r="E26" i="71" s="1"/>
  <c r="U26" i="71" s="1"/>
  <c r="B73" i="71"/>
  <c r="B72" i="71" s="1"/>
  <c r="G200" i="3"/>
  <c r="BL33" i="3"/>
  <c r="AZ33" i="3" s="1"/>
  <c r="BL54" i="3"/>
  <c r="BL72" i="3"/>
  <c r="AZ72" i="3" s="1"/>
  <c r="BL94" i="3"/>
  <c r="AZ94" i="3" s="1"/>
  <c r="G101" i="3"/>
  <c r="G102" i="3"/>
  <c r="G103" i="3"/>
  <c r="I10" i="66"/>
  <c r="U29" i="39"/>
  <c r="D57" i="71"/>
  <c r="U62" i="71"/>
  <c r="E41" i="71"/>
  <c r="E42" i="71" s="1"/>
  <c r="U42" i="71" s="1"/>
  <c r="AG10" i="43"/>
  <c r="U21" i="21"/>
  <c r="W18" i="35"/>
  <c r="U25" i="40"/>
  <c r="E73" i="71"/>
  <c r="E72" i="71" s="1"/>
  <c r="X23" i="71"/>
  <c r="Y32" i="71"/>
  <c r="Z32" i="71" s="1"/>
  <c r="B49" i="71"/>
  <c r="B50" i="71" s="1"/>
  <c r="S50" i="71" s="1"/>
  <c r="AE10" i="43"/>
  <c r="BA34" i="3"/>
  <c r="AZ34" i="3" s="1"/>
  <c r="BA35" i="3"/>
  <c r="AZ35" i="3" s="1"/>
  <c r="BL37" i="3"/>
  <c r="AZ37" i="3" s="1"/>
  <c r="BL57" i="3"/>
  <c r="AZ57" i="3" s="1"/>
  <c r="BA73" i="3"/>
  <c r="AZ73" i="3" s="1"/>
  <c r="BA74" i="3"/>
  <c r="AZ74" i="3" s="1"/>
  <c r="BA75" i="3"/>
  <c r="AZ75" i="3" s="1"/>
  <c r="BL77" i="3"/>
  <c r="AZ77" i="3" s="1"/>
  <c r="BA95" i="3"/>
  <c r="AZ95" i="3" s="1"/>
  <c r="BL97" i="3"/>
  <c r="AZ97" i="3" s="1"/>
  <c r="C40" i="68"/>
  <c r="W25" i="40"/>
  <c r="Y30" i="71"/>
  <c r="Z30" i="71" s="1"/>
  <c r="F41" i="71"/>
  <c r="F42" i="71" s="1"/>
  <c r="V42" i="71" s="1"/>
  <c r="G147" i="3"/>
  <c r="BA184" i="3"/>
  <c r="AZ184" i="3" s="1"/>
  <c r="BA189" i="3"/>
  <c r="AZ189" i="3" s="1"/>
  <c r="BA190" i="3"/>
  <c r="AZ190" i="3" s="1"/>
  <c r="BA193" i="3"/>
  <c r="AZ193" i="3" s="1"/>
  <c r="BA194" i="3"/>
  <c r="AZ194" i="3" s="1"/>
  <c r="BL198" i="3"/>
  <c r="BL201" i="3"/>
  <c r="BL40" i="3"/>
  <c r="BA56" i="3"/>
  <c r="AZ56" i="3" s="1"/>
  <c r="BL58" i="3"/>
  <c r="BL81" i="3"/>
  <c r="AZ81" i="3" s="1"/>
  <c r="BL99" i="3"/>
  <c r="AZ99" i="3" s="1"/>
  <c r="K100" i="43"/>
  <c r="W21" i="21"/>
  <c r="AB24" i="71"/>
  <c r="AA10" i="43"/>
  <c r="K56" i="9"/>
  <c r="BA188" i="3"/>
  <c r="AZ188" i="3" s="1"/>
  <c r="BL202" i="3"/>
  <c r="BA38" i="3"/>
  <c r="AZ38" i="3" s="1"/>
  <c r="BA39" i="3"/>
  <c r="AZ39" i="3" s="1"/>
  <c r="BL41" i="3"/>
  <c r="AZ41" i="3" s="1"/>
  <c r="BL59" i="3"/>
  <c r="AZ59" i="3" s="1"/>
  <c r="BA78" i="3"/>
  <c r="AZ78" i="3" s="1"/>
  <c r="BA79" i="3"/>
  <c r="AZ79" i="3" s="1"/>
  <c r="BA80" i="3"/>
  <c r="AZ80" i="3" s="1"/>
  <c r="BL82" i="3"/>
  <c r="AZ82" i="3" s="1"/>
  <c r="BA98" i="3"/>
  <c r="AZ98" i="3" s="1"/>
  <c r="BL103" i="3"/>
  <c r="AZ103" i="3" s="1"/>
  <c r="AA18" i="36"/>
  <c r="Y31" i="71"/>
  <c r="Z31" i="71" s="1"/>
  <c r="M56" i="9"/>
  <c r="F17" i="71"/>
  <c r="F16" i="71" s="1"/>
  <c r="F15" i="71" s="1"/>
  <c r="F14" i="71" s="1"/>
  <c r="F13" i="71" s="1"/>
  <c r="F12" i="71" s="1"/>
  <c r="F11" i="71" s="1"/>
  <c r="BA278" i="3"/>
  <c r="AZ278" i="3" s="1"/>
  <c r="BA279" i="3"/>
  <c r="AZ279" i="3" s="1"/>
  <c r="BA280" i="3"/>
  <c r="AZ280" i="3" s="1"/>
  <c r="BA281" i="3"/>
  <c r="AZ281" i="3" s="1"/>
  <c r="BL283" i="3"/>
  <c r="AZ283" i="3" s="1"/>
  <c r="BA302" i="3"/>
  <c r="AZ302" i="3" s="1"/>
  <c r="BA113" i="3"/>
  <c r="AZ113" i="3" s="1"/>
  <c r="BA114" i="3"/>
  <c r="AZ114" i="3" s="1"/>
  <c r="BL122" i="3"/>
  <c r="AZ122" i="3" s="1"/>
  <c r="BL125" i="3"/>
  <c r="AZ125" i="3" s="1"/>
  <c r="BL127" i="3"/>
  <c r="AZ127" i="3" s="1"/>
  <c r="BL131" i="3"/>
  <c r="AZ131" i="3" s="1"/>
  <c r="G152" i="3"/>
  <c r="G158" i="3"/>
  <c r="G159" i="3"/>
  <c r="BA200" i="3"/>
  <c r="AZ200" i="3" s="1"/>
  <c r="BL207" i="3"/>
  <c r="G28" i="3"/>
  <c r="G29" i="3"/>
  <c r="G30" i="3"/>
  <c r="BL42" i="3"/>
  <c r="AZ42" i="3" s="1"/>
  <c r="G49" i="3"/>
  <c r="BL62" i="3"/>
  <c r="AZ62" i="3" s="1"/>
  <c r="BL83" i="3"/>
  <c r="AZ83" i="3" s="1"/>
  <c r="G88" i="3"/>
  <c r="G89" i="3"/>
  <c r="G90" i="3"/>
  <c r="BA100" i="3"/>
  <c r="AZ100" i="3" s="1"/>
  <c r="BA101" i="3"/>
  <c r="AZ101" i="3" s="1"/>
  <c r="BA102" i="3"/>
  <c r="AZ102" i="3" s="1"/>
  <c r="BL106" i="3"/>
  <c r="AZ106" i="3" s="1"/>
  <c r="C32" i="66"/>
  <c r="E26" i="66" s="1"/>
  <c r="E69" i="71"/>
  <c r="E68" i="71" s="1"/>
  <c r="C37" i="71"/>
  <c r="P61" i="15"/>
  <c r="BA204" i="3"/>
  <c r="AZ204" i="3" s="1"/>
  <c r="BA205" i="3"/>
  <c r="BA206" i="3"/>
  <c r="BL22" i="3"/>
  <c r="BL43" i="3"/>
  <c r="AZ43" i="3" s="1"/>
  <c r="BA60" i="3"/>
  <c r="AZ60" i="3" s="1"/>
  <c r="BA61" i="3"/>
  <c r="AZ61" i="3" s="1"/>
  <c r="BL63" i="3"/>
  <c r="AZ63" i="3" s="1"/>
  <c r="BL84" i="3"/>
  <c r="AZ84" i="3" s="1"/>
  <c r="G92" i="3"/>
  <c r="BA104" i="3"/>
  <c r="AZ104" i="3" s="1"/>
  <c r="BA105" i="3"/>
  <c r="AZ105" i="3" s="1"/>
  <c r="BL107" i="3"/>
  <c r="AZ107" i="3" s="1"/>
  <c r="AB21" i="33"/>
  <c r="AB18" i="36"/>
  <c r="C64" i="71"/>
  <c r="D64" i="71" s="1"/>
  <c r="C45" i="71"/>
  <c r="X30" i="71"/>
  <c r="BA18" i="3"/>
  <c r="BA19" i="3"/>
  <c r="AZ19" i="3" s="1"/>
  <c r="BA20" i="3"/>
  <c r="AZ20" i="3" s="1"/>
  <c r="BA21" i="3"/>
  <c r="AZ21" i="3" s="1"/>
  <c r="BL25" i="3"/>
  <c r="AZ25" i="3" s="1"/>
  <c r="BL46" i="3"/>
  <c r="BL65" i="3"/>
  <c r="AZ65" i="3" s="1"/>
  <c r="BL85" i="3"/>
  <c r="AZ85" i="3" s="1"/>
  <c r="BL112" i="3"/>
  <c r="S21" i="34"/>
  <c r="G226" i="3"/>
  <c r="BL244" i="3"/>
  <c r="AZ244" i="3" s="1"/>
  <c r="BL264" i="3"/>
  <c r="AZ264" i="3" s="1"/>
  <c r="BL287" i="3"/>
  <c r="G293" i="3"/>
  <c r="BA134" i="3"/>
  <c r="AZ134" i="3" s="1"/>
  <c r="BA137" i="3"/>
  <c r="AZ137" i="3" s="1"/>
  <c r="BA138" i="3"/>
  <c r="AZ138" i="3" s="1"/>
  <c r="BA141" i="3"/>
  <c r="AZ141" i="3" s="1"/>
  <c r="BA142" i="3"/>
  <c r="AZ142" i="3" s="1"/>
  <c r="BA145" i="3"/>
  <c r="AZ145" i="3" s="1"/>
  <c r="BA146" i="3"/>
  <c r="AZ146" i="3" s="1"/>
  <c r="BL150" i="3"/>
  <c r="BL153" i="3"/>
  <c r="BL159" i="3"/>
  <c r="AZ159" i="3" s="1"/>
  <c r="G178" i="3"/>
  <c r="G179" i="3"/>
  <c r="BA23" i="3"/>
  <c r="AZ23" i="3" s="1"/>
  <c r="BA24" i="3"/>
  <c r="AZ24" i="3" s="1"/>
  <c r="BL26" i="3"/>
  <c r="AZ26" i="3" s="1"/>
  <c r="BA44" i="3"/>
  <c r="AZ44" i="3" s="1"/>
  <c r="BA45" i="3"/>
  <c r="AZ45" i="3" s="1"/>
  <c r="BL47" i="3"/>
  <c r="AZ47" i="3" s="1"/>
  <c r="G53" i="3"/>
  <c r="G54" i="3"/>
  <c r="BA64" i="3"/>
  <c r="AZ64" i="3" s="1"/>
  <c r="BL66" i="3"/>
  <c r="AZ66" i="3" s="1"/>
  <c r="BL86" i="3"/>
  <c r="AZ86" i="3" s="1"/>
  <c r="BA108" i="3"/>
  <c r="AZ108" i="3" s="1"/>
  <c r="BA109" i="3"/>
  <c r="AZ109" i="3" s="1"/>
  <c r="BA110" i="3"/>
  <c r="AZ110" i="3" s="1"/>
  <c r="BA111" i="3"/>
  <c r="AZ111" i="3" s="1"/>
  <c r="S21" i="37"/>
  <c r="Y27" i="71"/>
  <c r="Z27" i="71" s="1"/>
  <c r="C33" i="71"/>
  <c r="F37" i="71"/>
  <c r="F38" i="71" s="1"/>
  <c r="V38" i="71" s="1"/>
  <c r="F65" i="71"/>
  <c r="F64" i="71" s="1"/>
  <c r="BL288" i="3"/>
  <c r="AZ288" i="3" s="1"/>
  <c r="G295" i="3"/>
  <c r="G296" i="3"/>
  <c r="G297" i="3"/>
  <c r="G298" i="3"/>
  <c r="BL154" i="3"/>
  <c r="AZ154" i="3" s="1"/>
  <c r="BL161" i="3"/>
  <c r="AZ161" i="3" s="1"/>
  <c r="BL167" i="3"/>
  <c r="AZ167" i="3" s="1"/>
  <c r="BL171" i="3"/>
  <c r="AZ171" i="3" s="1"/>
  <c r="BL30" i="3"/>
  <c r="AZ30" i="3" s="1"/>
  <c r="G35" i="3"/>
  <c r="G36" i="3"/>
  <c r="BL49" i="3"/>
  <c r="BL67" i="3"/>
  <c r="AZ67" i="3" s="1"/>
  <c r="G74" i="3"/>
  <c r="G75" i="3"/>
  <c r="G76" i="3"/>
  <c r="BL90" i="3"/>
  <c r="AZ90" i="3" s="1"/>
  <c r="G96" i="3"/>
  <c r="AZ503" i="3"/>
  <c r="G30" i="6"/>
  <c r="G31" i="6" s="1"/>
  <c r="AZ557" i="3"/>
  <c r="D19" i="53"/>
  <c r="AB15" i="21"/>
  <c r="S37" i="21"/>
  <c r="AC37" i="21"/>
  <c r="W17" i="21"/>
  <c r="U44" i="34"/>
  <c r="AB27" i="36"/>
  <c r="AA27" i="40"/>
  <c r="AA34" i="33"/>
  <c r="AA39" i="34"/>
  <c r="E15" i="6"/>
  <c r="E60" i="40" s="1"/>
  <c r="K5" i="4"/>
  <c r="B47" i="48" s="1"/>
  <c r="S11" i="39"/>
  <c r="AC9" i="34"/>
  <c r="W9" i="34"/>
  <c r="S12" i="34"/>
  <c r="AA12" i="34"/>
  <c r="AC31" i="40"/>
  <c r="W31" i="40"/>
  <c r="AC34" i="35"/>
  <c r="W34" i="35"/>
  <c r="H9" i="34"/>
  <c r="AC31" i="35"/>
  <c r="F34" i="35"/>
  <c r="H34" i="35"/>
  <c r="J36" i="35"/>
  <c r="AZ399" i="3"/>
  <c r="AZ404" i="3"/>
  <c r="AZ409" i="3"/>
  <c r="AZ411" i="3"/>
  <c r="AZ421" i="3"/>
  <c r="AZ423" i="3"/>
  <c r="AZ425" i="3"/>
  <c r="AZ430" i="3"/>
  <c r="AZ440" i="3"/>
  <c r="AZ449" i="3"/>
  <c r="AZ453" i="3"/>
  <c r="AZ460" i="3"/>
  <c r="AZ492" i="3"/>
  <c r="AZ432" i="3"/>
  <c r="AZ464" i="3"/>
  <c r="AZ467" i="3"/>
  <c r="AZ474" i="3"/>
  <c r="AZ480" i="3"/>
  <c r="AZ482" i="3"/>
  <c r="AZ486" i="3"/>
  <c r="AZ488" i="3"/>
  <c r="AZ230" i="3"/>
  <c r="AZ239" i="3"/>
  <c r="AZ255" i="3"/>
  <c r="AZ274" i="3"/>
  <c r="AZ277" i="3"/>
  <c r="AZ290" i="3"/>
  <c r="AZ293" i="3"/>
  <c r="AZ185" i="3"/>
  <c r="AZ49" i="3"/>
  <c r="AZ112" i="3"/>
  <c r="AZ22" i="3"/>
  <c r="AZ54" i="3"/>
  <c r="AZ70" i="3"/>
  <c r="C29" i="71"/>
  <c r="D28" i="71"/>
  <c r="B75" i="43"/>
  <c r="B66" i="43"/>
  <c r="C29" i="39"/>
  <c r="AA18" i="35"/>
  <c r="S18" i="35"/>
  <c r="AA29" i="39"/>
  <c r="S29" i="39"/>
  <c r="E21" i="71"/>
  <c r="E20" i="71" s="1"/>
  <c r="V22" i="71"/>
  <c r="AA3" i="71"/>
  <c r="AA20" i="71"/>
  <c r="AA22" i="71"/>
  <c r="B22" i="71"/>
  <c r="X20" i="71"/>
  <c r="X22" i="71"/>
  <c r="Y23" i="71"/>
  <c r="Z23" i="71" s="1"/>
  <c r="Y19" i="71"/>
  <c r="Z19" i="71" s="1"/>
  <c r="Y20" i="71"/>
  <c r="Z20" i="71" s="1"/>
  <c r="Y21" i="71"/>
  <c r="Z21" i="71" s="1"/>
  <c r="Y22" i="71"/>
  <c r="Z22" i="71" s="1"/>
  <c r="AB23" i="71"/>
  <c r="AB20" i="71"/>
  <c r="AB22" i="71"/>
  <c r="F24" i="71"/>
  <c r="F25" i="71" s="1"/>
  <c r="F26" i="71" s="1"/>
  <c r="V26" i="71" s="1"/>
  <c r="AA24" i="71"/>
  <c r="AA25" i="71"/>
  <c r="F28" i="71"/>
  <c r="F29" i="71" s="1"/>
  <c r="F30" i="71" s="1"/>
  <c r="V30" i="71" s="1"/>
  <c r="AA27" i="71"/>
  <c r="AA26" i="71"/>
  <c r="F32" i="71"/>
  <c r="F33" i="71" s="1"/>
  <c r="F34" i="71" s="1"/>
  <c r="V34" i="71" s="1"/>
  <c r="W29" i="39"/>
  <c r="S25" i="40"/>
  <c r="B55" i="43"/>
  <c r="D50" i="71"/>
  <c r="P59" i="71"/>
  <c r="P61" i="71"/>
  <c r="D69" i="71"/>
  <c r="C60" i="71"/>
  <c r="AA21" i="71"/>
  <c r="AB21" i="71"/>
  <c r="X21" i="71"/>
  <c r="AB31" i="71"/>
  <c r="AA29" i="71"/>
  <c r="AB27" i="71"/>
  <c r="Y24" i="71"/>
  <c r="Z24" i="71" s="1"/>
  <c r="AB25" i="71"/>
  <c r="Y28" i="71"/>
  <c r="Z28" i="71" s="1"/>
  <c r="X27" i="71"/>
  <c r="X28" i="71"/>
  <c r="X29" i="71"/>
  <c r="AB29" i="71"/>
  <c r="C41" i="71"/>
  <c r="D41" i="71" s="1"/>
  <c r="D40" i="71"/>
  <c r="S62" i="71"/>
  <c r="B61" i="71"/>
  <c r="X18" i="71"/>
  <c r="Y18" i="71"/>
  <c r="Z18" i="71" s="1"/>
  <c r="Y16" i="71"/>
  <c r="Z16" i="71" s="1"/>
  <c r="AB17" i="71"/>
  <c r="AA15" i="71"/>
  <c r="Y12" i="71"/>
  <c r="Z12" i="71" s="1"/>
  <c r="AB12" i="71"/>
  <c r="X11" i="71"/>
  <c r="AA11" i="71"/>
  <c r="AA31" i="71"/>
  <c r="AA17" i="71"/>
  <c r="X16" i="71"/>
  <c r="X12" i="71"/>
  <c r="Y8" i="71"/>
  <c r="Z8" i="71" s="1"/>
  <c r="Y11" i="71"/>
  <c r="Z11" i="71" s="1"/>
  <c r="AB11" i="71"/>
  <c r="Y15" i="71"/>
  <c r="Z15" i="71" s="1"/>
  <c r="AA16" i="71"/>
  <c r="AB15" i="71"/>
  <c r="X15" i="71"/>
  <c r="AA12" i="71"/>
  <c r="X9" i="71"/>
  <c r="AA9" i="71"/>
  <c r="AB6" i="71"/>
  <c r="AB5" i="71"/>
  <c r="Y6" i="71"/>
  <c r="Z6" i="71" s="1"/>
  <c r="Y7" i="71"/>
  <c r="Z7" i="71" s="1"/>
  <c r="AA5" i="71"/>
  <c r="AA6" i="71"/>
  <c r="X6" i="71"/>
  <c r="X7" i="71"/>
  <c r="AA18" i="71"/>
  <c r="AB18" i="71"/>
  <c r="B18" i="71"/>
  <c r="C18" i="71"/>
  <c r="Y17" i="71"/>
  <c r="Z17" i="71" s="1"/>
  <c r="AB9" i="71"/>
  <c r="AB7" i="71"/>
  <c r="AB8" i="71"/>
  <c r="Y5" i="71"/>
  <c r="Z5" i="71" s="1"/>
  <c r="AA7" i="71"/>
  <c r="AA8" i="71"/>
  <c r="X5" i="71"/>
  <c r="X8" i="71"/>
  <c r="D5" i="43"/>
  <c r="C5" i="43"/>
  <c r="B67" i="78"/>
  <c r="F67" i="78" s="1"/>
  <c r="B66" i="78"/>
  <c r="F66" i="78" s="1"/>
  <c r="B65" i="78"/>
  <c r="F65" i="78" s="1"/>
  <c r="B64" i="78"/>
  <c r="F64" i="78" s="1"/>
  <c r="B63" i="78"/>
  <c r="F63" i="78" s="1"/>
  <c r="B61" i="78"/>
  <c r="F61" i="78" s="1"/>
  <c r="B59" i="78"/>
  <c r="F59" i="78" s="1"/>
  <c r="F68" i="78"/>
  <c r="B2" i="78" s="1"/>
  <c r="C6" i="68" s="1"/>
  <c r="B62" i="78"/>
  <c r="F62" i="78" s="1"/>
  <c r="B60" i="78"/>
  <c r="F60" i="78" s="1"/>
  <c r="B58" i="78"/>
  <c r="F58" i="78" s="1"/>
  <c r="B4" i="78"/>
  <c r="C9" i="69"/>
  <c r="C92" i="9"/>
  <c r="C94" i="9"/>
  <c r="F30" i="69"/>
  <c r="F52" i="9"/>
  <c r="D68" i="9"/>
  <c r="F28" i="15"/>
  <c r="C28" i="15" s="1"/>
  <c r="F32" i="67"/>
  <c r="F60" i="67" s="1"/>
  <c r="F28" i="67"/>
  <c r="C28" i="67" s="1"/>
  <c r="C77" i="9"/>
  <c r="C74" i="9" s="1"/>
  <c r="C13" i="12"/>
  <c r="C30" i="11"/>
  <c r="F54" i="9"/>
  <c r="M18" i="15"/>
  <c r="F32" i="15"/>
  <c r="F60" i="15" s="1"/>
  <c r="M18" i="67"/>
  <c r="F31" i="12"/>
  <c r="C31" i="12" s="1"/>
  <c r="F30" i="68"/>
  <c r="F53" i="9"/>
  <c r="C21" i="68"/>
  <c r="C40" i="69"/>
  <c r="C21" i="69"/>
  <c r="C36" i="11"/>
  <c r="D22" i="67"/>
  <c r="C9" i="68"/>
  <c r="O7" i="1"/>
  <c r="P7" i="1" s="1"/>
  <c r="AQ7" i="1"/>
  <c r="T7" i="1"/>
  <c r="O11" i="1"/>
  <c r="P11" i="1" s="1"/>
  <c r="O9" i="1"/>
  <c r="P9" i="1" s="1"/>
  <c r="E65" i="39"/>
  <c r="O8" i="1"/>
  <c r="P8" i="1" s="1"/>
  <c r="O14" i="1"/>
  <c r="P14" i="1" s="1"/>
  <c r="O12" i="1"/>
  <c r="P12" i="1" s="1"/>
  <c r="F30" i="6"/>
  <c r="E29" i="6"/>
  <c r="H16" i="1"/>
  <c r="Q16" i="1"/>
  <c r="F22" i="43"/>
  <c r="K101" i="43"/>
  <c r="F101" i="43"/>
  <c r="N101" i="43"/>
  <c r="E22" i="43"/>
  <c r="H22" i="43"/>
  <c r="D101" i="43"/>
  <c r="M101" i="43"/>
  <c r="I101" i="43"/>
  <c r="E101" i="43"/>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T14" i="43"/>
  <c r="V14" i="43" s="1"/>
  <c r="C8" i="74"/>
  <c r="D12" i="52"/>
  <c r="D127" i="9"/>
  <c r="D13" i="52" s="1"/>
  <c r="C48" i="69"/>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T11" i="43"/>
  <c r="V11" i="43" s="1"/>
  <c r="T12" i="43"/>
  <c r="V12" i="43" s="1"/>
  <c r="Y10" i="71"/>
  <c r="Z10" i="71" s="1"/>
  <c r="Y9" i="71"/>
  <c r="Z9" i="71" s="1"/>
  <c r="AA10" i="71"/>
  <c r="AB3" i="71"/>
  <c r="C35" i="43"/>
  <c r="E35" i="43" s="1"/>
  <c r="C36" i="43"/>
  <c r="E36" i="43" s="1"/>
  <c r="T9" i="43"/>
  <c r="V9" i="43" s="1"/>
  <c r="C39" i="43"/>
  <c r="C37" i="43"/>
  <c r="E37" i="43" s="1"/>
  <c r="X10" i="71"/>
  <c r="AB10" i="71"/>
  <c r="T15" i="43"/>
  <c r="V15" i="43" s="1"/>
  <c r="Y3" i="71"/>
  <c r="Z3" i="71" s="1"/>
  <c r="F10" i="71"/>
  <c r="F9" i="71" s="1"/>
  <c r="F8" i="71" s="1"/>
  <c r="F7" i="71" s="1"/>
  <c r="F6" i="71" s="1"/>
  <c r="F5" i="71" s="1"/>
  <c r="AF3" i="71"/>
  <c r="P22" i="43" s="1"/>
  <c r="C34" i="43"/>
  <c r="T10" i="43"/>
  <c r="V10" i="43" s="1"/>
  <c r="C33" i="43"/>
  <c r="T16" i="43"/>
  <c r="V16" i="43" s="1"/>
  <c r="T13" i="43"/>
  <c r="V13" i="43" s="1"/>
  <c r="T8" i="43"/>
  <c r="V8" i="43" s="1"/>
  <c r="C38" i="43"/>
  <c r="C8" i="69"/>
  <c r="C5" i="69" s="1"/>
  <c r="B10" i="70"/>
  <c r="J53" i="15"/>
  <c r="L56" i="15" s="1"/>
  <c r="J57" i="15"/>
  <c r="J55" i="15" s="1"/>
  <c r="J58" i="15" s="1"/>
  <c r="Q50" i="15" s="1"/>
  <c r="I54" i="15"/>
  <c r="B20" i="31"/>
  <c r="B21" i="31" s="1"/>
  <c r="I1" i="73"/>
  <c r="B39" i="1" s="1"/>
  <c r="B12" i="70"/>
  <c r="M7" i="15"/>
  <c r="F50" i="15"/>
  <c r="B7" i="70"/>
  <c r="B11" i="70"/>
  <c r="B8" i="70"/>
  <c r="F66" i="15"/>
  <c r="F64" i="15"/>
  <c r="B9" i="70"/>
  <c r="B13" i="70"/>
  <c r="M8" i="67"/>
  <c r="F26" i="67"/>
  <c r="M29" i="67"/>
  <c r="F43" i="67"/>
  <c r="F7" i="67"/>
  <c r="F38" i="67"/>
  <c r="F16" i="67"/>
  <c r="D6" i="73"/>
  <c r="J15" i="15"/>
  <c r="C76" i="15"/>
  <c r="F43" i="15"/>
  <c r="L48" i="67"/>
  <c r="F9" i="15"/>
  <c r="C36" i="68"/>
  <c r="M24" i="67"/>
  <c r="M22" i="15"/>
  <c r="D5" i="73"/>
  <c r="M9" i="67"/>
  <c r="F36" i="67"/>
  <c r="D4" i="73"/>
  <c r="L47" i="15"/>
  <c r="F37" i="15"/>
  <c r="M26" i="67"/>
  <c r="F8" i="15"/>
  <c r="F37" i="67"/>
  <c r="F8" i="67"/>
  <c r="F42" i="67"/>
  <c r="F9" i="67"/>
  <c r="L47" i="67"/>
  <c r="F26" i="15"/>
  <c r="C16" i="15"/>
  <c r="M6" i="15"/>
  <c r="F6" i="67"/>
  <c r="M23" i="67"/>
  <c r="M22" i="67"/>
  <c r="F40" i="15"/>
  <c r="M28" i="67"/>
  <c r="F40" i="67"/>
  <c r="J15" i="67"/>
  <c r="C76" i="67"/>
  <c r="AZ287" i="3" l="1"/>
  <c r="AZ170" i="3"/>
  <c r="AZ153" i="3"/>
  <c r="AZ438" i="3"/>
  <c r="AZ129" i="3"/>
  <c r="AZ550" i="3"/>
  <c r="O61" i="71"/>
  <c r="D61" i="71"/>
  <c r="AZ182" i="3"/>
  <c r="AZ222" i="3"/>
  <c r="AZ422" i="3"/>
  <c r="S39" i="37"/>
  <c r="AA39" i="37"/>
  <c r="AA12" i="36"/>
  <c r="S12" i="36"/>
  <c r="U12" i="36"/>
  <c r="AB12" i="36"/>
  <c r="AC12" i="33"/>
  <c r="W12" i="33"/>
  <c r="AA46" i="21"/>
  <c r="S46" i="21"/>
  <c r="AC30" i="21"/>
  <c r="W30" i="21"/>
  <c r="S45" i="39"/>
  <c r="AA45" i="39"/>
  <c r="AA24" i="36"/>
  <c r="S24" i="36"/>
  <c r="U28" i="33"/>
  <c r="AB28" i="33"/>
  <c r="U28" i="37"/>
  <c r="AB28" i="37"/>
  <c r="AA14" i="40"/>
  <c r="S14" i="40"/>
  <c r="AB32" i="40"/>
  <c r="U32" i="40"/>
  <c r="F27" i="6"/>
  <c r="F31" i="6" s="1"/>
  <c r="E56" i="39"/>
  <c r="E51" i="40"/>
  <c r="AA33" i="36"/>
  <c r="S33" i="36"/>
  <c r="AB33" i="36"/>
  <c r="U33" i="36"/>
  <c r="AB34" i="36"/>
  <c r="U34" i="36"/>
  <c r="AB24" i="36"/>
  <c r="U24" i="36"/>
  <c r="W27" i="34"/>
  <c r="AC27" i="34"/>
  <c r="AC9" i="33"/>
  <c r="W9" i="33"/>
  <c r="AB45" i="39"/>
  <c r="U45" i="39"/>
  <c r="AA26" i="33"/>
  <c r="S26" i="33"/>
  <c r="S14" i="21"/>
  <c r="AA14" i="21"/>
  <c r="G5" i="3"/>
  <c r="B3" i="3" s="1"/>
  <c r="E297" i="3" s="1"/>
  <c r="AZ150" i="3"/>
  <c r="E285" i="3"/>
  <c r="E447" i="3"/>
  <c r="AZ117" i="3"/>
  <c r="E469" i="3"/>
  <c r="AZ402" i="3"/>
  <c r="E585" i="3"/>
  <c r="AZ481" i="3"/>
  <c r="AB39" i="37"/>
  <c r="U39" i="37"/>
  <c r="AC39" i="37"/>
  <c r="W39" i="37"/>
  <c r="W12" i="36"/>
  <c r="AC12" i="36"/>
  <c r="U12" i="33"/>
  <c r="AB12" i="33"/>
  <c r="U46" i="21"/>
  <c r="AB46" i="21"/>
  <c r="AC28" i="37"/>
  <c r="W28" i="37"/>
  <c r="S12" i="37"/>
  <c r="AA12" i="37"/>
  <c r="E11" i="6"/>
  <c r="E12" i="6"/>
  <c r="E10" i="6"/>
  <c r="E16" i="6" s="1"/>
  <c r="E14" i="6"/>
  <c r="W33" i="36"/>
  <c r="AC33" i="36"/>
  <c r="AC24" i="36"/>
  <c r="W24" i="36"/>
  <c r="AA27" i="34"/>
  <c r="S27" i="34"/>
  <c r="AB9" i="33"/>
  <c r="U9" i="33"/>
  <c r="U26" i="33"/>
  <c r="AB26" i="33"/>
  <c r="AC26" i="33"/>
  <c r="W26" i="33"/>
  <c r="W14" i="21"/>
  <c r="AC14" i="21"/>
  <c r="M7" i="67"/>
  <c r="J6" i="67" s="1"/>
  <c r="J18" i="67" s="1"/>
  <c r="F50" i="67"/>
  <c r="F70" i="67"/>
  <c r="F51" i="67"/>
  <c r="Q71" i="67"/>
  <c r="F64" i="67"/>
  <c r="E490" i="3"/>
  <c r="E146" i="3"/>
  <c r="E473" i="3"/>
  <c r="E275" i="3"/>
  <c r="E558" i="3"/>
  <c r="E35" i="3"/>
  <c r="E247" i="3"/>
  <c r="E273" i="3"/>
  <c r="E159" i="3"/>
  <c r="E432" i="3"/>
  <c r="E402" i="3"/>
  <c r="E299" i="3"/>
  <c r="E280" i="3"/>
  <c r="E96" i="3"/>
  <c r="E260" i="3"/>
  <c r="E76" i="3"/>
  <c r="E92" i="3"/>
  <c r="E259" i="3"/>
  <c r="E423" i="3"/>
  <c r="E143" i="3"/>
  <c r="E350" i="3"/>
  <c r="E91" i="3"/>
  <c r="E253" i="3"/>
  <c r="E519" i="3"/>
  <c r="E529" i="3"/>
  <c r="E527" i="3"/>
  <c r="E288" i="3"/>
  <c r="E571" i="3"/>
  <c r="E72" i="3"/>
  <c r="E168" i="3"/>
  <c r="E279" i="3"/>
  <c r="E357" i="3"/>
  <c r="E31" i="3"/>
  <c r="E170" i="3"/>
  <c r="E339" i="3"/>
  <c r="E112" i="3"/>
  <c r="E50" i="3"/>
  <c r="E365" i="3"/>
  <c r="E213" i="3"/>
  <c r="E549" i="3"/>
  <c r="E236" i="3"/>
  <c r="E45" i="3"/>
  <c r="E286" i="3"/>
  <c r="R6" i="3"/>
  <c r="E466" i="3"/>
  <c r="AP6" i="3"/>
  <c r="E444" i="3"/>
  <c r="E28" i="3"/>
  <c r="E121" i="3"/>
  <c r="E211" i="3"/>
  <c r="E316" i="3"/>
  <c r="E572" i="3"/>
  <c r="E480" i="3"/>
  <c r="E46" i="3"/>
  <c r="E249" i="3"/>
  <c r="E84" i="3"/>
  <c r="E355" i="3"/>
  <c r="E264" i="3"/>
  <c r="E175" i="3"/>
  <c r="E305" i="3"/>
  <c r="AA6" i="3"/>
  <c r="E124" i="3"/>
  <c r="AR6" i="3"/>
  <c r="E439" i="3"/>
  <c r="E216" i="3"/>
  <c r="E217" i="3"/>
  <c r="E387" i="3"/>
  <c r="E551" i="3"/>
  <c r="E445" i="3"/>
  <c r="E97" i="3"/>
  <c r="E382" i="3"/>
  <c r="E290" i="3"/>
  <c r="E204" i="3"/>
  <c r="E525" i="3"/>
  <c r="E405" i="3"/>
  <c r="E512" i="3"/>
  <c r="E360" i="3"/>
  <c r="E13" i="3"/>
  <c r="E470" i="3"/>
  <c r="E104" i="3"/>
  <c r="E198" i="3"/>
  <c r="E281" i="3"/>
  <c r="E391" i="3"/>
  <c r="E42" i="3"/>
  <c r="E482" i="3"/>
  <c r="E190" i="3"/>
  <c r="E383" i="3"/>
  <c r="E49" i="3"/>
  <c r="E102" i="3"/>
  <c r="E326" i="3"/>
  <c r="E361" i="3"/>
  <c r="E229" i="3"/>
  <c r="E434" i="3"/>
  <c r="E223" i="3"/>
  <c r="E327" i="3"/>
  <c r="AG6" i="3"/>
  <c r="E485" i="3"/>
  <c r="E443" i="3"/>
  <c r="E460" i="3"/>
  <c r="E131" i="3"/>
  <c r="E348" i="3"/>
  <c r="E540" i="3"/>
  <c r="E266" i="3"/>
  <c r="E341" i="3"/>
  <c r="E570" i="3"/>
  <c r="N6" i="3"/>
  <c r="E128" i="3"/>
  <c r="E550" i="3"/>
  <c r="E353" i="3"/>
  <c r="E303" i="3"/>
  <c r="E221" i="3"/>
  <c r="E167" i="3"/>
  <c r="K6" i="3"/>
  <c r="E437" i="3"/>
  <c r="E406" i="3"/>
  <c r="E344" i="3"/>
  <c r="E577" i="3"/>
  <c r="E496" i="3"/>
  <c r="E106" i="3"/>
  <c r="E203" i="3"/>
  <c r="E394" i="3"/>
  <c r="E74" i="3"/>
  <c r="E15" i="3"/>
  <c r="E137" i="3"/>
  <c r="E325" i="3"/>
  <c r="E123" i="3"/>
  <c r="E20" i="3"/>
  <c r="E524" i="3"/>
  <c r="E17" i="3"/>
  <c r="E201" i="3"/>
  <c r="E453" i="3"/>
  <c r="E148" i="3"/>
  <c r="E277" i="3"/>
  <c r="E312" i="3"/>
  <c r="E552" i="3"/>
  <c r="E487" i="3"/>
  <c r="E459" i="3"/>
  <c r="E547" i="3"/>
  <c r="E476" i="3"/>
  <c r="E71" i="3"/>
  <c r="E162" i="3"/>
  <c r="E272" i="3"/>
  <c r="E331" i="3"/>
  <c r="AM6" i="3"/>
  <c r="E441" i="3"/>
  <c r="E103" i="3"/>
  <c r="E300" i="3"/>
  <c r="E67" i="3"/>
  <c r="E381" i="3"/>
  <c r="E283" i="3"/>
  <c r="E319" i="3"/>
  <c r="E426" i="3"/>
  <c r="X6" i="3"/>
  <c r="E293" i="3"/>
  <c r="E523" i="3"/>
  <c r="E338" i="3"/>
  <c r="E169" i="3"/>
  <c r="E510" i="3"/>
  <c r="E130" i="3"/>
  <c r="E535" i="3"/>
  <c r="E385" i="3"/>
  <c r="E263" i="3"/>
  <c r="E161" i="3"/>
  <c r="E145" i="3"/>
  <c r="E493" i="3"/>
  <c r="E427" i="3"/>
  <c r="E422" i="3"/>
  <c r="E376" i="3"/>
  <c r="E498" i="3"/>
  <c r="E401" i="3"/>
  <c r="E25" i="3"/>
  <c r="E119" i="3"/>
  <c r="E226" i="3"/>
  <c r="E333" i="3"/>
  <c r="E60" i="3"/>
  <c r="E412" i="3"/>
  <c r="E174" i="3"/>
  <c r="E342" i="3"/>
  <c r="E206" i="3"/>
  <c r="E80" i="3"/>
  <c r="E22" i="3"/>
  <c r="E503" i="3"/>
  <c r="E151" i="3"/>
  <c r="E306" i="3"/>
  <c r="E228" i="3"/>
  <c r="E238" i="3"/>
  <c r="E379" i="3"/>
  <c r="E515" i="3"/>
  <c r="E548" i="3"/>
  <c r="E477" i="3"/>
  <c r="E554" i="3"/>
  <c r="E491" i="3"/>
  <c r="E56" i="3"/>
  <c r="E152" i="3"/>
  <c r="E258" i="3"/>
  <c r="E363" i="3"/>
  <c r="E544" i="3"/>
  <c r="E462" i="3"/>
  <c r="E138" i="3"/>
  <c r="E307" i="3"/>
  <c r="E48" i="3"/>
  <c r="Y6" i="3"/>
  <c r="E323" i="3"/>
  <c r="E388" i="3"/>
  <c r="E495" i="3"/>
  <c r="E301" i="3"/>
  <c r="E180" i="3"/>
  <c r="E199" i="3"/>
  <c r="E532" i="3"/>
  <c r="E458" i="3"/>
  <c r="E438" i="3"/>
  <c r="E562" i="3"/>
  <c r="E537" i="3"/>
  <c r="E433" i="3"/>
  <c r="E54" i="3"/>
  <c r="E150" i="3"/>
  <c r="E257" i="3"/>
  <c r="E318" i="3"/>
  <c r="E93" i="3"/>
  <c r="E455" i="3"/>
  <c r="E194" i="3"/>
  <c r="E392" i="3"/>
  <c r="E147" i="3"/>
  <c r="E62" i="3"/>
  <c r="E302" i="3"/>
  <c r="E397" i="3"/>
  <c r="E368" i="3"/>
  <c r="E269" i="3"/>
  <c r="E224" i="3"/>
  <c r="E575" i="3"/>
  <c r="E502" i="3"/>
  <c r="E541" i="3"/>
  <c r="E255" i="3"/>
  <c r="E581" i="3"/>
  <c r="E489" i="3"/>
  <c r="E88" i="3"/>
  <c r="E182" i="3"/>
  <c r="E295" i="3"/>
  <c r="E377" i="3"/>
  <c r="E30" i="3"/>
  <c r="E484" i="3"/>
  <c r="E160" i="3"/>
  <c r="E371" i="3"/>
  <c r="E33" i="3"/>
  <c r="E68" i="3"/>
  <c r="E309" i="3"/>
  <c r="E530" i="3"/>
  <c r="E508" i="3"/>
  <c r="E399" i="3"/>
  <c r="E270" i="3"/>
  <c r="E561" i="3"/>
  <c r="E380" i="3"/>
  <c r="E185" i="3"/>
  <c r="E69" i="3"/>
  <c r="O6" i="3"/>
  <c r="E518" i="3"/>
  <c r="E245" i="3"/>
  <c r="E117" i="3"/>
  <c r="E164" i="3"/>
  <c r="E534" i="3"/>
  <c r="E456" i="3"/>
  <c r="E408" i="3"/>
  <c r="E556" i="3"/>
  <c r="E494" i="3"/>
  <c r="E420" i="3"/>
  <c r="E41" i="3"/>
  <c r="E139" i="3"/>
  <c r="E243" i="3"/>
  <c r="E356" i="3"/>
  <c r="E94" i="3"/>
  <c r="E18" i="3"/>
  <c r="E220" i="3"/>
  <c r="E522" i="3"/>
  <c r="E232" i="3"/>
  <c r="E113" i="3"/>
  <c r="E83" i="3"/>
  <c r="E239" i="3"/>
  <c r="E314" i="3"/>
  <c r="E296" i="3"/>
  <c r="E181" i="3"/>
  <c r="E197" i="3"/>
  <c r="E576" i="3"/>
  <c r="AO6" i="3"/>
  <c r="P6" i="3"/>
  <c r="E345" i="3"/>
  <c r="E582" i="3"/>
  <c r="E520" i="3"/>
  <c r="E90" i="3"/>
  <c r="E187" i="3"/>
  <c r="E378" i="3"/>
  <c r="E58" i="3"/>
  <c r="E521" i="3"/>
  <c r="E195" i="3"/>
  <c r="E386" i="3"/>
  <c r="E87" i="3"/>
  <c r="E51" i="3"/>
  <c r="E373" i="3"/>
  <c r="E526" i="3"/>
  <c r="AJ6" i="3"/>
  <c r="E461" i="3"/>
  <c r="E311" i="3"/>
  <c r="M6" i="3"/>
  <c r="E335" i="3"/>
  <c r="E114" i="3"/>
  <c r="E555" i="3"/>
  <c r="AN6" i="3"/>
  <c r="E149" i="3"/>
  <c r="E141" i="3"/>
  <c r="Q6" i="3"/>
  <c r="E472" i="3"/>
  <c r="E424" i="3"/>
  <c r="E587" i="3"/>
  <c r="E429" i="3"/>
  <c r="E454" i="3"/>
  <c r="E73" i="3"/>
  <c r="E171" i="3"/>
  <c r="E362" i="3"/>
  <c r="E32" i="3"/>
  <c r="E79" i="3"/>
  <c r="E234" i="3"/>
  <c r="AQ6" i="3"/>
  <c r="E289" i="3"/>
  <c r="E176" i="3"/>
  <c r="E237" i="3"/>
  <c r="E509" i="3"/>
  <c r="E568" i="3"/>
  <c r="E244" i="3"/>
  <c r="E122" i="3"/>
  <c r="E177" i="3"/>
  <c r="AD6" i="3"/>
  <c r="E421" i="3"/>
  <c r="E398" i="3"/>
  <c r="E374" i="3"/>
  <c r="AS6" i="3"/>
  <c r="E546" i="3"/>
  <c r="E27" i="3"/>
  <c r="E126" i="3"/>
  <c r="E210" i="3"/>
  <c r="E317" i="3"/>
  <c r="E44" i="3"/>
  <c r="E425" i="3"/>
  <c r="E142" i="3"/>
  <c r="E310" i="3"/>
  <c r="E144" i="3"/>
  <c r="E63" i="3"/>
  <c r="E513" i="3"/>
  <c r="E501" i="3"/>
  <c r="E328" i="3"/>
  <c r="E336" i="3"/>
  <c r="E390" i="3"/>
  <c r="E506" i="3"/>
  <c r="E321" i="3"/>
  <c r="E278" i="3"/>
  <c r="E574" i="3"/>
  <c r="AI6" i="3"/>
  <c r="E191" i="3"/>
  <c r="E207" i="3"/>
  <c r="E107" i="3"/>
  <c r="E564" i="3"/>
  <c r="E486" i="3"/>
  <c r="E440" i="3"/>
  <c r="AH6" i="3"/>
  <c r="E463" i="3"/>
  <c r="E108" i="3"/>
  <c r="E202" i="3"/>
  <c r="E276" i="3"/>
  <c r="E372" i="3"/>
  <c r="E43" i="3"/>
  <c r="E251" i="3"/>
  <c r="E158" i="3"/>
  <c r="E261" i="3"/>
  <c r="E516" i="3"/>
  <c r="E511" i="3"/>
  <c r="E262" i="3"/>
  <c r="E157" i="3"/>
  <c r="E116" i="3"/>
  <c r="E411" i="3"/>
  <c r="E367" i="3"/>
  <c r="E517" i="3"/>
  <c r="E417" i="3"/>
  <c r="E37" i="3"/>
  <c r="E132" i="3"/>
  <c r="E241" i="3"/>
  <c r="E349" i="3"/>
  <c r="E446" i="3"/>
  <c r="E163" i="3"/>
  <c r="E354" i="3"/>
  <c r="E127" i="3"/>
  <c r="E19" i="3"/>
  <c r="E82" i="3"/>
  <c r="E553" i="3"/>
  <c r="E329" i="3"/>
  <c r="E352" i="3"/>
  <c r="E358" i="3"/>
  <c r="V6" i="3"/>
  <c r="E294" i="3"/>
  <c r="E415" i="3"/>
  <c r="E410" i="3"/>
  <c r="E586" i="3"/>
  <c r="E134" i="3"/>
  <c r="E77" i="3"/>
  <c r="E313" i="3"/>
  <c r="E573" i="3"/>
  <c r="E474" i="3"/>
  <c r="E457" i="3"/>
  <c r="W6" i="3"/>
  <c r="E450" i="3"/>
  <c r="E475" i="3"/>
  <c r="E111" i="3"/>
  <c r="E208" i="3"/>
  <c r="E351" i="3"/>
  <c r="E14" i="3"/>
  <c r="E38" i="3"/>
  <c r="E52" i="3"/>
  <c r="E340" i="3"/>
  <c r="E218" i="3"/>
  <c r="E304" i="3"/>
  <c r="E579" i="3"/>
  <c r="I6" i="3"/>
  <c r="E196" i="3"/>
  <c r="E89" i="3"/>
  <c r="E193" i="3"/>
  <c r="E499" i="3"/>
  <c r="E442" i="3"/>
  <c r="E430" i="3"/>
  <c r="I3" i="6"/>
  <c r="E531" i="3"/>
  <c r="E404" i="3"/>
  <c r="E70" i="3"/>
  <c r="E166" i="3"/>
  <c r="E334" i="3"/>
  <c r="E109" i="3"/>
  <c r="E467" i="3"/>
  <c r="E200" i="3"/>
  <c r="E492" i="3"/>
  <c r="E184" i="3"/>
  <c r="E81" i="3"/>
  <c r="E21" i="3"/>
  <c r="E343" i="3"/>
  <c r="E347" i="3"/>
  <c r="E533" i="3"/>
  <c r="E538" i="3"/>
  <c r="E231" i="3"/>
  <c r="E188" i="3"/>
  <c r="E39" i="3"/>
  <c r="E240" i="3"/>
  <c r="E504" i="3"/>
  <c r="E65" i="3"/>
  <c r="E24" i="3"/>
  <c r="E222" i="3"/>
  <c r="E322" i="3"/>
  <c r="E189" i="3"/>
  <c r="E563" i="3"/>
  <c r="E359" i="3"/>
  <c r="E578" i="3"/>
  <c r="E61" i="3"/>
  <c r="E252" i="3"/>
  <c r="E369" i="3"/>
  <c r="T6" i="3"/>
  <c r="E451" i="3"/>
  <c r="E497" i="3"/>
  <c r="E452" i="3"/>
  <c r="E26" i="3"/>
  <c r="E115" i="3"/>
  <c r="E225" i="3"/>
  <c r="E332" i="3"/>
  <c r="AL6" i="3"/>
  <c r="E78" i="3"/>
  <c r="E235" i="3"/>
  <c r="E86" i="3"/>
  <c r="E370" i="3"/>
  <c r="E287" i="3"/>
  <c r="E528" i="3"/>
  <c r="E569" i="3"/>
  <c r="E16" i="3"/>
  <c r="E136" i="3"/>
  <c r="E140" i="3"/>
  <c r="E173" i="3"/>
  <c r="Z6" i="3"/>
  <c r="E448" i="3"/>
  <c r="E400" i="3"/>
  <c r="E413" i="3"/>
  <c r="E436" i="3"/>
  <c r="E57" i="3"/>
  <c r="E155" i="3"/>
  <c r="E375" i="3"/>
  <c r="E110" i="3"/>
  <c r="E47" i="3"/>
  <c r="E248" i="3"/>
  <c r="E584" i="3"/>
  <c r="E250" i="3"/>
  <c r="E154" i="3"/>
  <c r="E268" i="3"/>
  <c r="E539" i="3"/>
  <c r="E227" i="3"/>
  <c r="E514" i="3"/>
  <c r="AB6" i="3"/>
  <c r="E215" i="3"/>
  <c r="E500" i="3"/>
  <c r="E567" i="3"/>
  <c r="E366" i="3"/>
  <c r="E320" i="3"/>
  <c r="E395" i="3"/>
  <c r="E337" i="3"/>
  <c r="E254" i="3"/>
  <c r="E212" i="3"/>
  <c r="E330" i="3"/>
  <c r="E560" i="3"/>
  <c r="E481" i="3"/>
  <c r="E465" i="3"/>
  <c r="AE6" i="3"/>
  <c r="E468" i="3"/>
  <c r="E55" i="3"/>
  <c r="E256" i="3"/>
  <c r="E315" i="3"/>
  <c r="E580" i="3"/>
  <c r="E409" i="3"/>
  <c r="E100" i="3"/>
  <c r="E36" i="3"/>
  <c r="E364" i="3"/>
  <c r="E265" i="3"/>
  <c r="E565" i="3"/>
  <c r="E431" i="3"/>
  <c r="E536" i="3"/>
  <c r="E156" i="3"/>
  <c r="E120" i="3"/>
  <c r="E133" i="3"/>
  <c r="E464" i="3"/>
  <c r="E416" i="3"/>
  <c r="E566" i="3"/>
  <c r="E403" i="3"/>
  <c r="E186" i="3"/>
  <c r="E291" i="3"/>
  <c r="E384" i="3"/>
  <c r="E29" i="3"/>
  <c r="E64" i="3"/>
  <c r="E267" i="3"/>
  <c r="E23" i="3"/>
  <c r="E233" i="3"/>
  <c r="E118" i="3"/>
  <c r="E53" i="3"/>
  <c r="E153" i="3"/>
  <c r="E583" i="3"/>
  <c r="E246" i="3"/>
  <c r="S6" i="3"/>
  <c r="E418" i="3"/>
  <c r="E298" i="3"/>
  <c r="E172" i="3"/>
  <c r="E135" i="3"/>
  <c r="E271" i="3"/>
  <c r="E393" i="3"/>
  <c r="E543" i="3"/>
  <c r="E507" i="3"/>
  <c r="J6" i="3"/>
  <c r="E483" i="3"/>
  <c r="E40" i="3"/>
  <c r="E178" i="3"/>
  <c r="E242" i="3"/>
  <c r="E346" i="3"/>
  <c r="L6" i="3"/>
  <c r="E428" i="3"/>
  <c r="E129" i="3"/>
  <c r="E324" i="3"/>
  <c r="E34" i="3"/>
  <c r="AF6" i="3"/>
  <c r="E308" i="3"/>
  <c r="E183" i="3"/>
  <c r="E396" i="3"/>
  <c r="AK6" i="3"/>
  <c r="E99" i="3"/>
  <c r="E85" i="3"/>
  <c r="E105" i="3"/>
  <c r="U6" i="3"/>
  <c r="E478" i="3"/>
  <c r="E505" i="3"/>
  <c r="E435" i="3"/>
  <c r="E479" i="3"/>
  <c r="E95" i="3"/>
  <c r="E192" i="3"/>
  <c r="E292" i="3"/>
  <c r="E389" i="3"/>
  <c r="E59" i="3"/>
  <c r="E98" i="3"/>
  <c r="E209" i="3"/>
  <c r="E66" i="3"/>
  <c r="E284" i="3"/>
  <c r="E557" i="3"/>
  <c r="E125" i="3"/>
  <c r="E282" i="3"/>
  <c r="E545" i="3"/>
  <c r="E205" i="3"/>
  <c r="E559" i="3"/>
  <c r="E407" i="3"/>
  <c r="E230" i="3"/>
  <c r="E165" i="3"/>
  <c r="E101" i="3"/>
  <c r="AZ18" i="3"/>
  <c r="BA5" i="3"/>
  <c r="E27" i="6" s="1"/>
  <c r="K20" i="6" s="1"/>
  <c r="M20" i="6" s="1"/>
  <c r="I20" i="6" s="1"/>
  <c r="S20" i="6" s="1"/>
  <c r="D25" i="71"/>
  <c r="C26" i="71"/>
  <c r="AZ406" i="3"/>
  <c r="AB26" i="37"/>
  <c r="U26" i="37"/>
  <c r="AC44" i="39"/>
  <c r="W44" i="39"/>
  <c r="AA40" i="37"/>
  <c r="S40" i="37"/>
  <c r="BL5" i="3"/>
  <c r="AZ198" i="3"/>
  <c r="AZ458" i="3"/>
  <c r="U39" i="40"/>
  <c r="AB39" i="40"/>
  <c r="U40" i="37"/>
  <c r="AB40" i="37"/>
  <c r="G36" i="43"/>
  <c r="I36" i="43" s="1"/>
  <c r="D45" i="71"/>
  <c r="C46" i="71"/>
  <c r="AZ48" i="3"/>
  <c r="AZ29" i="3"/>
  <c r="AZ58" i="3"/>
  <c r="AZ126" i="3"/>
  <c r="AZ158" i="3"/>
  <c r="AA44" i="21"/>
  <c r="S44" i="21"/>
  <c r="AC39" i="40"/>
  <c r="W39" i="40"/>
  <c r="AZ166" i="3"/>
  <c r="S44" i="33"/>
  <c r="AA44" i="33"/>
  <c r="U12" i="34"/>
  <c r="AB12" i="34"/>
  <c r="D33" i="71"/>
  <c r="C34" i="71"/>
  <c r="AZ206" i="3"/>
  <c r="AZ261" i="3"/>
  <c r="AZ443" i="3"/>
  <c r="S12" i="35"/>
  <c r="AA12" i="35"/>
  <c r="AZ205" i="3"/>
  <c r="AZ201" i="3"/>
  <c r="AB38" i="40"/>
  <c r="U38" i="40"/>
  <c r="AA23" i="36"/>
  <c r="S23" i="36"/>
  <c r="D70" i="39"/>
  <c r="E68" i="39"/>
  <c r="J7" i="37"/>
  <c r="AC7" i="37" s="1"/>
  <c r="V42" i="37" s="1"/>
  <c r="I42" i="37" s="1"/>
  <c r="E13" i="71"/>
  <c r="E12" i="71" s="1"/>
  <c r="E11" i="71" s="1"/>
  <c r="E10" i="71" s="1"/>
  <c r="V14" i="71"/>
  <c r="AZ469" i="3"/>
  <c r="AZ419" i="3"/>
  <c r="AC25" i="37"/>
  <c r="W25" i="37"/>
  <c r="W12" i="35"/>
  <c r="AC12" i="35"/>
  <c r="AC23" i="36"/>
  <c r="W23" i="36"/>
  <c r="C7" i="68"/>
  <c r="C5" i="68" s="1"/>
  <c r="C31" i="68"/>
  <c r="I21" i="66"/>
  <c r="D1" i="66" s="1"/>
  <c r="E10" i="66" s="1"/>
  <c r="U25" i="37"/>
  <c r="AB25" i="37"/>
  <c r="AA9" i="36"/>
  <c r="S9" i="36"/>
  <c r="D37" i="71"/>
  <c r="C38" i="71"/>
  <c r="AZ202" i="3"/>
  <c r="AB9" i="36"/>
  <c r="U9" i="36"/>
  <c r="AZ130" i="3"/>
  <c r="AZ46" i="3"/>
  <c r="AC9" i="36"/>
  <c r="W9" i="36"/>
  <c r="D53" i="71"/>
  <c r="C54" i="71"/>
  <c r="AA9" i="34"/>
  <c r="S9" i="34"/>
  <c r="E58" i="40"/>
  <c r="E63" i="39"/>
  <c r="AZ207" i="3"/>
  <c r="C20" i="71"/>
  <c r="D20" i="71" s="1"/>
  <c r="D21" i="71"/>
  <c r="AZ40" i="3"/>
  <c r="AA44" i="39"/>
  <c r="S44" i="39"/>
  <c r="F65" i="15"/>
  <c r="C6" i="67"/>
  <c r="C32" i="67" s="1"/>
  <c r="F68" i="15"/>
  <c r="J57" i="67"/>
  <c r="J55" i="67" s="1"/>
  <c r="J58" i="67" s="1"/>
  <c r="Q50" i="67" s="1"/>
  <c r="I54" i="67"/>
  <c r="J53" i="67"/>
  <c r="Q52" i="67" s="1"/>
  <c r="L56" i="67"/>
  <c r="C27" i="67"/>
  <c r="Q71" i="15"/>
  <c r="F65" i="67"/>
  <c r="C27" i="15"/>
  <c r="F71" i="15"/>
  <c r="F68" i="67"/>
  <c r="F66" i="67"/>
  <c r="C6" i="15"/>
  <c r="C32" i="15" s="1"/>
  <c r="F51" i="15"/>
  <c r="C49" i="15" s="1"/>
  <c r="L58" i="67"/>
  <c r="Q73" i="67" s="1"/>
  <c r="L59" i="67"/>
  <c r="Q74" i="67" s="1"/>
  <c r="M59" i="67"/>
  <c r="N59" i="67"/>
  <c r="K1" i="73"/>
  <c r="F71" i="67"/>
  <c r="L59" i="15"/>
  <c r="Q61" i="15" s="1"/>
  <c r="L58" i="15"/>
  <c r="Q73" i="15" s="1"/>
  <c r="N59" i="15"/>
  <c r="M59" i="15"/>
  <c r="J6" i="15"/>
  <c r="J18" i="15" s="1"/>
  <c r="B17" i="71"/>
  <c r="B16" i="71" s="1"/>
  <c r="B15" i="71" s="1"/>
  <c r="B14" i="71" s="1"/>
  <c r="S18" i="71"/>
  <c r="B60" i="71"/>
  <c r="N61" i="71"/>
  <c r="B21" i="71"/>
  <c r="B20" i="71" s="1"/>
  <c r="S22" i="71"/>
  <c r="D29" i="71"/>
  <c r="C30" i="71"/>
  <c r="AB34" i="35"/>
  <c r="U34" i="35"/>
  <c r="B38" i="72"/>
  <c r="D20" i="53"/>
  <c r="B40" i="72" s="1"/>
  <c r="K24" i="6"/>
  <c r="M24" i="6" s="1"/>
  <c r="I24" i="6" s="1"/>
  <c r="S24" i="6" s="1"/>
  <c r="K26" i="6"/>
  <c r="M26" i="6" s="1"/>
  <c r="I26" i="6" s="1"/>
  <c r="S26" i="6" s="1"/>
  <c r="K23" i="6"/>
  <c r="M23" i="6" s="1"/>
  <c r="I23" i="6" s="1"/>
  <c r="S23" i="6" s="1"/>
  <c r="K14" i="1"/>
  <c r="M14" i="1" s="1"/>
  <c r="M16" i="1" s="1"/>
  <c r="N16" i="1" s="1"/>
  <c r="F50" i="11" s="1"/>
  <c r="K19" i="6"/>
  <c r="K25" i="6"/>
  <c r="M25" i="6" s="1"/>
  <c r="I25" i="6" s="1"/>
  <c r="S25" i="6" s="1"/>
  <c r="C17" i="71"/>
  <c r="D18" i="71"/>
  <c r="U18" i="71" s="1"/>
  <c r="T18" i="71"/>
  <c r="D60" i="71"/>
  <c r="O59" i="71"/>
  <c r="O60" i="71"/>
  <c r="AC36" i="35"/>
  <c r="W36" i="35"/>
  <c r="AA34" i="35"/>
  <c r="S34" i="35"/>
  <c r="AB9" i="34"/>
  <c r="U9" i="34"/>
  <c r="B5" i="78"/>
  <c r="B3" i="78"/>
  <c r="F48" i="69"/>
  <c r="C30" i="69"/>
  <c r="F48" i="68"/>
  <c r="C30" i="68"/>
  <c r="C48" i="68"/>
  <c r="AC6" i="3"/>
  <c r="H6" i="3"/>
  <c r="P16" i="1"/>
  <c r="C11" i="12" s="1"/>
  <c r="F28" i="12"/>
  <c r="C29" i="12" s="1"/>
  <c r="D28" i="12" s="1"/>
  <c r="F27" i="11"/>
  <c r="E30" i="6"/>
  <c r="E31" i="6" s="1"/>
  <c r="K15" i="1"/>
  <c r="K16" i="1" s="1"/>
  <c r="O16" i="1"/>
  <c r="L109" i="43"/>
  <c r="L106" i="43"/>
  <c r="L107" i="43"/>
  <c r="L103" i="43"/>
  <c r="L102" i="43"/>
  <c r="L105" i="43"/>
  <c r="L104" i="43"/>
  <c r="J104" i="43"/>
  <c r="J105" i="43"/>
  <c r="J103" i="43"/>
  <c r="J106" i="43"/>
  <c r="J109" i="43"/>
  <c r="J107" i="43"/>
  <c r="J102" i="43"/>
  <c r="G105" i="43"/>
  <c r="G102" i="43"/>
  <c r="G103" i="43"/>
  <c r="G107" i="43"/>
  <c r="G104" i="43"/>
  <c r="G106" i="43"/>
  <c r="G109" i="43"/>
  <c r="E102" i="43"/>
  <c r="E106" i="43"/>
  <c r="E103" i="43"/>
  <c r="E107" i="43"/>
  <c r="E104" i="43"/>
  <c r="E105" i="43"/>
  <c r="E109" i="43"/>
  <c r="M109" i="43"/>
  <c r="M102" i="43"/>
  <c r="M106" i="43"/>
  <c r="M103" i="43"/>
  <c r="M104" i="43"/>
  <c r="M105" i="43"/>
  <c r="M107" i="43"/>
  <c r="N103" i="43"/>
  <c r="N106" i="43"/>
  <c r="N107" i="43"/>
  <c r="N109" i="43"/>
  <c r="N102" i="43"/>
  <c r="N105" i="43"/>
  <c r="N104" i="43"/>
  <c r="K107" i="43"/>
  <c r="K104" i="43"/>
  <c r="K106" i="43"/>
  <c r="K109" i="43"/>
  <c r="K103" i="43"/>
  <c r="K102" i="43"/>
  <c r="K105" i="43"/>
  <c r="H102" i="43"/>
  <c r="H103" i="43"/>
  <c r="H104" i="43"/>
  <c r="H109" i="43"/>
  <c r="H106" i="43"/>
  <c r="H107" i="43"/>
  <c r="H105" i="43"/>
  <c r="C104" i="43"/>
  <c r="C106" i="43"/>
  <c r="C105" i="43"/>
  <c r="C102" i="43"/>
  <c r="C107" i="43"/>
  <c r="C103" i="43"/>
  <c r="C109"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4" i="43"/>
  <c r="I107" i="43"/>
  <c r="I105" i="43"/>
  <c r="I102" i="43"/>
  <c r="I103" i="43"/>
  <c r="I106" i="43"/>
  <c r="D109" i="43"/>
  <c r="D105" i="43"/>
  <c r="D106" i="43"/>
  <c r="D102" i="43"/>
  <c r="D103" i="43"/>
  <c r="D104" i="43"/>
  <c r="D107" i="43"/>
  <c r="D22" i="43"/>
  <c r="F107" i="43"/>
  <c r="F106" i="43"/>
  <c r="F103" i="43"/>
  <c r="F109" i="43"/>
  <c r="F104" i="43"/>
  <c r="F102" i="43"/>
  <c r="F105" i="43"/>
  <c r="J10" i="40"/>
  <c r="AC10" i="40" s="1"/>
  <c r="H10" i="39"/>
  <c r="AB10" i="39" s="1"/>
  <c r="F10" i="40"/>
  <c r="S10" i="40" s="1"/>
  <c r="J10" i="39"/>
  <c r="W10" i="39" s="1"/>
  <c r="H10" i="40"/>
  <c r="AB10" i="40" s="1"/>
  <c r="F59" i="67"/>
  <c r="G35" i="43"/>
  <c r="I35" i="43" s="1"/>
  <c r="H7" i="37"/>
  <c r="AB7" i="37" s="1"/>
  <c r="T42" i="37" s="1"/>
  <c r="G42" i="37" s="1"/>
  <c r="AC10" i="39"/>
  <c r="S10" i="39"/>
  <c r="AA10" i="39"/>
  <c r="H7" i="33"/>
  <c r="J7" i="33"/>
  <c r="D65" i="40"/>
  <c r="E63" i="40"/>
  <c r="F48" i="35"/>
  <c r="S7" i="36"/>
  <c r="AA7" i="36"/>
  <c r="R36" i="36" s="1"/>
  <c r="U7" i="37"/>
  <c r="AB7" i="36"/>
  <c r="T36" i="36" s="1"/>
  <c r="G36" i="36" s="1"/>
  <c r="U7" i="36"/>
  <c r="AB7" i="34"/>
  <c r="T49" i="34" s="1"/>
  <c r="G49" i="34" s="1"/>
  <c r="U7" i="34"/>
  <c r="AA7" i="34"/>
  <c r="R49" i="34" s="1"/>
  <c r="S7" i="34"/>
  <c r="F7" i="33"/>
  <c r="E58" i="21"/>
  <c r="AC7" i="36"/>
  <c r="V36" i="36" s="1"/>
  <c r="I36" i="36" s="1"/>
  <c r="W7" i="36"/>
  <c r="F7" i="37"/>
  <c r="W7" i="34"/>
  <c r="AC7" i="34"/>
  <c r="V49" i="34" s="1"/>
  <c r="I49" i="34" s="1"/>
  <c r="G37" i="43"/>
  <c r="I37" i="43" s="1"/>
  <c r="M17" i="67"/>
  <c r="M17" i="15"/>
  <c r="F59" i="15"/>
  <c r="P24" i="43"/>
  <c r="B66" i="40" s="1"/>
  <c r="P21" i="43"/>
  <c r="E39" i="43"/>
  <c r="G39" i="43"/>
  <c r="I39" i="43" s="1"/>
  <c r="P25" i="43"/>
  <c r="P23" i="43"/>
  <c r="B71" i="39" s="1"/>
  <c r="E38" i="43"/>
  <c r="G38" i="43"/>
  <c r="I38" i="43" s="1"/>
  <c r="G34" i="43"/>
  <c r="I34" i="43" s="1"/>
  <c r="E34" i="43"/>
  <c r="G33" i="43"/>
  <c r="I33" i="43" s="1"/>
  <c r="E33" i="43"/>
  <c r="M28" i="43"/>
  <c r="N28" i="43"/>
  <c r="O28" i="43"/>
  <c r="P28" i="43"/>
  <c r="M11" i="67"/>
  <c r="J10" i="67" s="1"/>
  <c r="F11" i="15"/>
  <c r="M11" i="15"/>
  <c r="F11" i="67"/>
  <c r="F1" i="15"/>
  <c r="Q52" i="15"/>
  <c r="C16" i="67"/>
  <c r="F27" i="68"/>
  <c r="F27" i="69"/>
  <c r="G1" i="73"/>
  <c r="AZ5" i="3" l="1"/>
  <c r="AY6" i="3" s="1"/>
  <c r="E214" i="3"/>
  <c r="E414" i="3"/>
  <c r="E419" i="3"/>
  <c r="E471" i="3"/>
  <c r="E219" i="3"/>
  <c r="E542" i="3"/>
  <c r="E449" i="3"/>
  <c r="E488" i="3"/>
  <c r="E64" i="39"/>
  <c r="E59" i="40"/>
  <c r="E57" i="40"/>
  <c r="E62" i="39"/>
  <c r="E274" i="3"/>
  <c r="E179" i="3"/>
  <c r="E75" i="3"/>
  <c r="E6" i="3"/>
  <c r="E61" i="39"/>
  <c r="E66" i="39" s="1"/>
  <c r="E56" i="40"/>
  <c r="C49" i="67"/>
  <c r="E3" i="6"/>
  <c r="F50" i="69"/>
  <c r="F50" i="68"/>
  <c r="T54" i="71"/>
  <c r="D54" i="71"/>
  <c r="T46" i="71"/>
  <c r="D46" i="71"/>
  <c r="W7" i="37"/>
  <c r="E9" i="71"/>
  <c r="E8" i="71" s="1"/>
  <c r="E7" i="71" s="1"/>
  <c r="E6" i="71" s="1"/>
  <c r="V10" i="71"/>
  <c r="K21" i="6"/>
  <c r="M21" i="6" s="1"/>
  <c r="I21" i="6" s="1"/>
  <c r="S21" i="6" s="1"/>
  <c r="K22" i="6"/>
  <c r="M22" i="6" s="1"/>
  <c r="I22" i="6" s="1"/>
  <c r="S22" i="6" s="1"/>
  <c r="F68" i="39"/>
  <c r="E70" i="39"/>
  <c r="T26" i="71"/>
  <c r="D26" i="71"/>
  <c r="U10" i="39"/>
  <c r="T34" i="71"/>
  <c r="D34" i="71"/>
  <c r="T38" i="71"/>
  <c r="D38" i="71"/>
  <c r="Q61" i="67"/>
  <c r="Q60" i="15"/>
  <c r="J10" i="15"/>
  <c r="J5" i="15" s="1"/>
  <c r="J24" i="15" s="1"/>
  <c r="Q74" i="15"/>
  <c r="J5" i="67"/>
  <c r="J24" i="67" s="1"/>
  <c r="F1" i="67"/>
  <c r="Q60" i="67"/>
  <c r="B40" i="1"/>
  <c r="F22" i="69" s="1"/>
  <c r="F41" i="69" s="1"/>
  <c r="L16" i="1"/>
  <c r="C34" i="11"/>
  <c r="T30" i="71"/>
  <c r="D30" i="71"/>
  <c r="K27" i="6"/>
  <c r="C16" i="71"/>
  <c r="D17" i="71"/>
  <c r="S6" i="1"/>
  <c r="M19" i="6"/>
  <c r="N59" i="71"/>
  <c r="N60" i="71"/>
  <c r="B13" i="71"/>
  <c r="B12" i="71" s="1"/>
  <c r="B11" i="71" s="1"/>
  <c r="B10" i="71" s="1"/>
  <c r="S14" i="71"/>
  <c r="D3" i="34"/>
  <c r="E6" i="6"/>
  <c r="D14" i="12"/>
  <c r="D3" i="33"/>
  <c r="D37" i="11"/>
  <c r="C37" i="11" s="1"/>
  <c r="D19" i="11"/>
  <c r="C19" i="11" s="1"/>
  <c r="C20" i="11" s="1"/>
  <c r="D3" i="21"/>
  <c r="C17" i="4"/>
  <c r="B4" i="52" s="1"/>
  <c r="B43" i="72" s="1"/>
  <c r="D3" i="37"/>
  <c r="AA10" i="40"/>
  <c r="U10" i="40"/>
  <c r="W10" i="40"/>
  <c r="C28" i="11"/>
  <c r="C27" i="11" s="1"/>
  <c r="F45" i="69"/>
  <c r="C29" i="69"/>
  <c r="D27" i="69" s="1"/>
  <c r="C47" i="69"/>
  <c r="D45" i="69" s="1"/>
  <c r="F45" i="68"/>
  <c r="C47" i="68"/>
  <c r="D45" i="68" s="1"/>
  <c r="C29" i="68"/>
  <c r="D27" i="68" s="1"/>
  <c r="C47" i="11"/>
  <c r="D45" i="11" s="1"/>
  <c r="C29" i="11"/>
  <c r="D27" i="11" s="1"/>
  <c r="C15" i="12"/>
  <c r="C12" i="12"/>
  <c r="C115" i="43"/>
  <c r="D113" i="43" s="1"/>
  <c r="S5" i="43"/>
  <c r="T5" i="43" s="1"/>
  <c r="V5" i="43" s="1"/>
  <c r="S4" i="43"/>
  <c r="T4" i="43" s="1"/>
  <c r="V4" i="43" s="1"/>
  <c r="S2" i="43"/>
  <c r="T2" i="43" s="1"/>
  <c r="V2" i="43" s="1"/>
  <c r="C26" i="43" s="1"/>
  <c r="S6" i="43"/>
  <c r="T6" i="43" s="1"/>
  <c r="V6" i="43" s="1"/>
  <c r="C23" i="43"/>
  <c r="C21" i="43" s="1"/>
  <c r="C29" i="43" s="1"/>
  <c r="S7" i="43"/>
  <c r="T7" i="43" s="1"/>
  <c r="V7" i="43" s="1"/>
  <c r="S3" i="43"/>
  <c r="T3" i="43" s="1"/>
  <c r="V3" i="43" s="1"/>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53" i="67"/>
  <c r="C10" i="67"/>
  <c r="C5" i="67" s="1"/>
  <c r="C53" i="15"/>
  <c r="C48" i="15" s="1"/>
  <c r="C10" i="15"/>
  <c r="C5" i="15" s="1"/>
  <c r="D10" i="68"/>
  <c r="C17" i="67"/>
  <c r="C14" i="67"/>
  <c r="D10" i="69"/>
  <c r="C34" i="69"/>
  <c r="C17" i="15"/>
  <c r="AE6" i="1"/>
  <c r="F41" i="67" s="1"/>
  <c r="F41" i="15"/>
  <c r="AY51" i="3" l="1"/>
  <c r="AY207" i="3"/>
  <c r="AY124" i="3"/>
  <c r="AY42" i="3"/>
  <c r="AY281" i="3"/>
  <c r="AY168" i="3"/>
  <c r="AY236" i="3"/>
  <c r="AY366" i="3"/>
  <c r="AY473" i="3"/>
  <c r="AY83" i="3"/>
  <c r="AY23" i="3"/>
  <c r="AY155" i="3"/>
  <c r="AY59" i="3"/>
  <c r="AY131" i="3"/>
  <c r="AY58" i="3"/>
  <c r="AY268" i="3"/>
  <c r="AY371" i="3"/>
  <c r="AY318" i="3"/>
  <c r="AY87" i="3"/>
  <c r="AY34" i="3"/>
  <c r="AY144" i="3"/>
  <c r="AY95" i="3"/>
  <c r="AY152" i="3"/>
  <c r="AY111" i="3"/>
  <c r="AY253" i="3"/>
  <c r="AY382" i="3"/>
  <c r="AY303" i="3"/>
  <c r="AY460" i="3"/>
  <c r="AY66" i="3"/>
  <c r="AY176" i="3"/>
  <c r="AY115" i="3"/>
  <c r="AY188" i="3"/>
  <c r="AY276" i="3"/>
  <c r="AY297" i="3"/>
  <c r="AY225" i="3"/>
  <c r="AY335" i="3"/>
  <c r="AY470" i="3"/>
  <c r="C48" i="67"/>
  <c r="C66" i="67" s="1"/>
  <c r="F69" i="15"/>
  <c r="F69" i="67"/>
  <c r="V6" i="71"/>
  <c r="E5" i="71"/>
  <c r="G68" i="39"/>
  <c r="F70" i="39"/>
  <c r="AY196" i="3"/>
  <c r="AY363" i="3"/>
  <c r="AY245" i="3"/>
  <c r="AY452" i="3"/>
  <c r="AY553" i="3"/>
  <c r="AY206" i="3"/>
  <c r="AY299" i="3"/>
  <c r="AY392" i="3"/>
  <c r="AY41" i="3"/>
  <c r="AY274" i="3"/>
  <c r="AY491" i="3"/>
  <c r="AY581" i="3"/>
  <c r="AY16" i="3"/>
  <c r="AY37" i="3"/>
  <c r="AY31" i="3"/>
  <c r="AY379" i="3"/>
  <c r="AY69" i="3"/>
  <c r="AY255" i="3"/>
  <c r="AY181" i="3"/>
  <c r="AY449" i="3"/>
  <c r="AY496" i="3"/>
  <c r="AY90" i="3"/>
  <c r="AY390" i="3"/>
  <c r="AY85" i="3"/>
  <c r="AY271" i="3"/>
  <c r="AY186" i="3"/>
  <c r="AY464" i="3"/>
  <c r="AY556" i="3"/>
  <c r="AY218" i="3"/>
  <c r="AY492" i="3"/>
  <c r="AY17" i="3"/>
  <c r="AY563" i="3"/>
  <c r="AY120" i="3"/>
  <c r="AY330" i="3"/>
  <c r="AY576" i="3"/>
  <c r="AY136" i="3"/>
  <c r="AY322" i="3"/>
  <c r="AY567" i="3"/>
  <c r="AY312" i="3"/>
  <c r="AY407" i="3"/>
  <c r="AY570" i="3"/>
  <c r="AY156" i="3"/>
  <c r="AY362" i="3"/>
  <c r="AY560" i="3"/>
  <c r="AY148" i="3"/>
  <c r="AY354" i="3"/>
  <c r="AY511" i="3"/>
  <c r="AY160" i="3"/>
  <c r="AY319" i="3"/>
  <c r="AY260" i="3"/>
  <c r="AY420" i="3"/>
  <c r="AY97" i="3"/>
  <c r="AY190" i="3"/>
  <c r="AY283" i="3"/>
  <c r="AY397" i="3"/>
  <c r="AY56" i="3"/>
  <c r="AY242" i="3"/>
  <c r="AY475" i="3"/>
  <c r="BQ6" i="3"/>
  <c r="AY501" i="3"/>
  <c r="AY194" i="3"/>
  <c r="AY292" i="3"/>
  <c r="AY343" i="3"/>
  <c r="AY84" i="3"/>
  <c r="AY270" i="3"/>
  <c r="AY161" i="3"/>
  <c r="AY438" i="3"/>
  <c r="AY523" i="3"/>
  <c r="AY163" i="3"/>
  <c r="AY355" i="3"/>
  <c r="AY53" i="3"/>
  <c r="AY239" i="3"/>
  <c r="AY150" i="3"/>
  <c r="AY454" i="3"/>
  <c r="AY577" i="3"/>
  <c r="AY396" i="3"/>
  <c r="AY476" i="3"/>
  <c r="AY538" i="3"/>
  <c r="AY493" i="3"/>
  <c r="AY301" i="3"/>
  <c r="AY485" i="3"/>
  <c r="AY107" i="3"/>
  <c r="AY293" i="3"/>
  <c r="AY477" i="3"/>
  <c r="AY266" i="3"/>
  <c r="AY487" i="3"/>
  <c r="AY579" i="3"/>
  <c r="AY531" i="3"/>
  <c r="AY167" i="3"/>
  <c r="AY331" i="3"/>
  <c r="AY512" i="3"/>
  <c r="AY159" i="3"/>
  <c r="AY323" i="3"/>
  <c r="AY504" i="3"/>
  <c r="AY352" i="3"/>
  <c r="AY139" i="3"/>
  <c r="AY489" i="3"/>
  <c r="AY228" i="3"/>
  <c r="AY433" i="3"/>
  <c r="AY108" i="3"/>
  <c r="AY201" i="3"/>
  <c r="AY294" i="3"/>
  <c r="AY381" i="3"/>
  <c r="AY24" i="3"/>
  <c r="AY210" i="3"/>
  <c r="AY488" i="3"/>
  <c r="BM6" i="3"/>
  <c r="AY584" i="3"/>
  <c r="AY189" i="3"/>
  <c r="AY147" i="3"/>
  <c r="AY326" i="3"/>
  <c r="AY52" i="3"/>
  <c r="AY238" i="3"/>
  <c r="AY121" i="3"/>
  <c r="AY406" i="3"/>
  <c r="AY81" i="3"/>
  <c r="AY75" i="3"/>
  <c r="AY311" i="3"/>
  <c r="AY68" i="3"/>
  <c r="AY254" i="3"/>
  <c r="AY130" i="3"/>
  <c r="AY422" i="3"/>
  <c r="AY112" i="3"/>
  <c r="AY385" i="3"/>
  <c r="AY461" i="3"/>
  <c r="AY564" i="3"/>
  <c r="AY110" i="3"/>
  <c r="AY296" i="3"/>
  <c r="AY482" i="3"/>
  <c r="AY102" i="3"/>
  <c r="AY288" i="3"/>
  <c r="AY474" i="3"/>
  <c r="AY234" i="3"/>
  <c r="AY471" i="3"/>
  <c r="AY506" i="3"/>
  <c r="AY578" i="3"/>
  <c r="AY135" i="3"/>
  <c r="AY346" i="3"/>
  <c r="BL6" i="3"/>
  <c r="AY128" i="3"/>
  <c r="AY338" i="3"/>
  <c r="AY586" i="3"/>
  <c r="AY21" i="3"/>
  <c r="AY403" i="3"/>
  <c r="AY450" i="3"/>
  <c r="AY47" i="3"/>
  <c r="AY233" i="3"/>
  <c r="AY39" i="3"/>
  <c r="AY272" i="3"/>
  <c r="AY380" i="3"/>
  <c r="AY468" i="3"/>
  <c r="AY99" i="3"/>
  <c r="AY285" i="3"/>
  <c r="AY289" i="3"/>
  <c r="AY455" i="3"/>
  <c r="AY217" i="3"/>
  <c r="AY401" i="3"/>
  <c r="AY92" i="3"/>
  <c r="AY185" i="3"/>
  <c r="AY278" i="3"/>
  <c r="AY374" i="3"/>
  <c r="AY202" i="3"/>
  <c r="AY388" i="3"/>
  <c r="AY472" i="3"/>
  <c r="AY585" i="3"/>
  <c r="AY494" i="3"/>
  <c r="AY158" i="3"/>
  <c r="AY220" i="3"/>
  <c r="AY478" i="3"/>
  <c r="AY20" i="3"/>
  <c r="AY227" i="3"/>
  <c r="AY275" i="3"/>
  <c r="AY419" i="3"/>
  <c r="AY64" i="3"/>
  <c r="AY237" i="3"/>
  <c r="AY481" i="3"/>
  <c r="AY36" i="3"/>
  <c r="AY222" i="3"/>
  <c r="AY279" i="3"/>
  <c r="AY435" i="3"/>
  <c r="AY49" i="3"/>
  <c r="AY361" i="3"/>
  <c r="AY445" i="3"/>
  <c r="AY522" i="3"/>
  <c r="AY79" i="3"/>
  <c r="AY265" i="3"/>
  <c r="AY451" i="3"/>
  <c r="AY71" i="3"/>
  <c r="AY257" i="3"/>
  <c r="AY443" i="3"/>
  <c r="AY223" i="3"/>
  <c r="AY484" i="3"/>
  <c r="AY499" i="3"/>
  <c r="BA6" i="3"/>
  <c r="AY127" i="3"/>
  <c r="AY314" i="3"/>
  <c r="AY587" i="3"/>
  <c r="AY119" i="3"/>
  <c r="AY306" i="3"/>
  <c r="AY498" i="3"/>
  <c r="AY74" i="3"/>
  <c r="AY428" i="3"/>
  <c r="AY395" i="3"/>
  <c r="AY513" i="3"/>
  <c r="AY77" i="3"/>
  <c r="AY170" i="3"/>
  <c r="AY263" i="3"/>
  <c r="AY357" i="3"/>
  <c r="AY197" i="3"/>
  <c r="AY377" i="3"/>
  <c r="AY457" i="3"/>
  <c r="AY561" i="3"/>
  <c r="AY514" i="3"/>
  <c r="AY169" i="3"/>
  <c r="AY350" i="3"/>
  <c r="AY436" i="3"/>
  <c r="AY198" i="3"/>
  <c r="AY384" i="3"/>
  <c r="AY258" i="3"/>
  <c r="AY503" i="3"/>
  <c r="AY387" i="3"/>
  <c r="AY447" i="3"/>
  <c r="AY25" i="3"/>
  <c r="AY211" i="3"/>
  <c r="AY32" i="3"/>
  <c r="AY575" i="3"/>
  <c r="AY440" i="3"/>
  <c r="AY432" i="3"/>
  <c r="AY14" i="3"/>
  <c r="AY123" i="3"/>
  <c r="AY409" i="3"/>
  <c r="AY358" i="3"/>
  <c r="BK6" i="3"/>
  <c r="AY45" i="3"/>
  <c r="AY138" i="3"/>
  <c r="AY231" i="3"/>
  <c r="AY554" i="3"/>
  <c r="AY177" i="3"/>
  <c r="AY349" i="3"/>
  <c r="AY446" i="3"/>
  <c r="BF6" i="3"/>
  <c r="AY519" i="3"/>
  <c r="AY129" i="3"/>
  <c r="AY412" i="3"/>
  <c r="AY557" i="3"/>
  <c r="AY162" i="3"/>
  <c r="AY368" i="3"/>
  <c r="AY370" i="3"/>
  <c r="AY572" i="3"/>
  <c r="AY153" i="3"/>
  <c r="AY444" i="3"/>
  <c r="AY535" i="3"/>
  <c r="AY178" i="3"/>
  <c r="AY365" i="3"/>
  <c r="AY393" i="3"/>
  <c r="AY516" i="3"/>
  <c r="AY142" i="3"/>
  <c r="AY321" i="3"/>
  <c r="AY418" i="3"/>
  <c r="AY537" i="3"/>
  <c r="AY30" i="3"/>
  <c r="AY216" i="3"/>
  <c r="AY421" i="3"/>
  <c r="AY22" i="3"/>
  <c r="AY208" i="3"/>
  <c r="AY413" i="3"/>
  <c r="AY364" i="3"/>
  <c r="AY458" i="3"/>
  <c r="AY524" i="3"/>
  <c r="AY63" i="3"/>
  <c r="AY249" i="3"/>
  <c r="AY456" i="3"/>
  <c r="AY55" i="3"/>
  <c r="AY241" i="3"/>
  <c r="AY448" i="3"/>
  <c r="AY106" i="3"/>
  <c r="AY569" i="3"/>
  <c r="AY149" i="3"/>
  <c r="AY246" i="3"/>
  <c r="AY114" i="3"/>
  <c r="AY317" i="3"/>
  <c r="AY414" i="3"/>
  <c r="AY96" i="3"/>
  <c r="AY282" i="3"/>
  <c r="AY43" i="3"/>
  <c r="AY540" i="3"/>
  <c r="BB6" i="3"/>
  <c r="AY309" i="3"/>
  <c r="AY520" i="3"/>
  <c r="AY267" i="3"/>
  <c r="AY526" i="3"/>
  <c r="AY157" i="3"/>
  <c r="BI6" i="3"/>
  <c r="AY325" i="3"/>
  <c r="AY527" i="3"/>
  <c r="AY298" i="3"/>
  <c r="AY431" i="3"/>
  <c r="AY530" i="3"/>
  <c r="AY203" i="3"/>
  <c r="AY383" i="3"/>
  <c r="AY13" i="3"/>
  <c r="AY375" i="3"/>
  <c r="AY15" i="3"/>
  <c r="AY329" i="3"/>
  <c r="AY426" i="3"/>
  <c r="AY565" i="3"/>
  <c r="AY232" i="3"/>
  <c r="AY261" i="3"/>
  <c r="AY529" i="3"/>
  <c r="AY327" i="3"/>
  <c r="AY544" i="3"/>
  <c r="AY76" i="3"/>
  <c r="AY165" i="3"/>
  <c r="AY262" i="3"/>
  <c r="BH6" i="3"/>
  <c r="AY145" i="3"/>
  <c r="AY333" i="3"/>
  <c r="AY430" i="3"/>
  <c r="AY571" i="3"/>
  <c r="AY101" i="3"/>
  <c r="AY287" i="3"/>
  <c r="AY497" i="3"/>
  <c r="AY573" i="3"/>
  <c r="AY173" i="3"/>
  <c r="AY507" i="3"/>
  <c r="AY341" i="3"/>
  <c r="AY536" i="3"/>
  <c r="AY113" i="3"/>
  <c r="AY425" i="3"/>
  <c r="AY562" i="3"/>
  <c r="AY146" i="3"/>
  <c r="BS6" i="3"/>
  <c r="AY356" i="3"/>
  <c r="BN6" i="3"/>
  <c r="AY122" i="3"/>
  <c r="AY305" i="3"/>
  <c r="AY402" i="3"/>
  <c r="AY551" i="3"/>
  <c r="AY19" i="3"/>
  <c r="AY394" i="3"/>
  <c r="AY500" i="3"/>
  <c r="AY200" i="3"/>
  <c r="AY386" i="3"/>
  <c r="AY521" i="3"/>
  <c r="AY345" i="3"/>
  <c r="AY442" i="3"/>
  <c r="AY502" i="3"/>
  <c r="AY78" i="3"/>
  <c r="AY264" i="3"/>
  <c r="AY424" i="3"/>
  <c r="AY70" i="3"/>
  <c r="AY256" i="3"/>
  <c r="AY416" i="3"/>
  <c r="AY204" i="3"/>
  <c r="AY342" i="3"/>
  <c r="AY60" i="3"/>
  <c r="BJ6" i="3"/>
  <c r="AY546" i="3"/>
  <c r="AY141" i="3"/>
  <c r="AY574" i="3"/>
  <c r="AY336" i="3"/>
  <c r="AY195" i="3"/>
  <c r="AY103" i="3"/>
  <c r="AY284" i="3"/>
  <c r="AY26" i="3"/>
  <c r="AY310" i="3"/>
  <c r="AY533" i="3"/>
  <c r="AY44" i="3"/>
  <c r="AY133" i="3"/>
  <c r="AY230" i="3"/>
  <c r="AY109" i="3"/>
  <c r="AY295" i="3"/>
  <c r="AY348" i="3"/>
  <c r="AY398" i="3"/>
  <c r="AY495" i="3"/>
  <c r="AY65" i="3"/>
  <c r="AY82" i="3"/>
  <c r="AY116" i="3"/>
  <c r="AY539" i="3"/>
  <c r="AY134" i="3"/>
  <c r="AY88" i="3"/>
  <c r="AY324" i="3"/>
  <c r="AY552" i="3"/>
  <c r="AY98" i="3"/>
  <c r="AY199" i="3"/>
  <c r="BO6" i="3"/>
  <c r="AY126" i="3"/>
  <c r="AY93" i="3"/>
  <c r="AY340" i="3"/>
  <c r="AY518" i="3"/>
  <c r="AY251" i="3"/>
  <c r="AY320" i="3"/>
  <c r="AY415" i="3"/>
  <c r="AY545" i="3"/>
  <c r="AY172" i="3"/>
  <c r="AY359" i="3"/>
  <c r="AY547" i="3"/>
  <c r="AY164" i="3"/>
  <c r="AY351" i="3"/>
  <c r="AY566" i="3"/>
  <c r="AY313" i="3"/>
  <c r="AY410" i="3"/>
  <c r="AY509" i="3"/>
  <c r="AY35" i="3"/>
  <c r="AY221" i="3"/>
  <c r="AY405" i="3"/>
  <c r="AY27" i="3"/>
  <c r="AY213" i="3"/>
  <c r="AY550" i="3"/>
  <c r="AY67" i="3"/>
  <c r="AY252" i="3"/>
  <c r="AY180" i="3"/>
  <c r="AY465" i="3"/>
  <c r="AY541" i="3"/>
  <c r="AY28" i="3"/>
  <c r="AY118" i="3"/>
  <c r="AY214" i="3"/>
  <c r="AY104" i="3"/>
  <c r="AY290" i="3"/>
  <c r="AY332" i="3"/>
  <c r="AY427" i="3"/>
  <c r="AY510" i="3"/>
  <c r="AY80" i="3"/>
  <c r="AY191" i="3"/>
  <c r="AY229" i="3"/>
  <c r="AY105" i="3"/>
  <c r="AY291" i="3"/>
  <c r="AY72" i="3"/>
  <c r="AY483" i="3"/>
  <c r="AY543" i="3"/>
  <c r="AY18" i="3"/>
  <c r="AY269" i="3"/>
  <c r="AY555" i="3"/>
  <c r="AY117" i="3"/>
  <c r="AY57" i="3"/>
  <c r="AY308" i="3"/>
  <c r="AY559" i="3"/>
  <c r="AY235" i="3"/>
  <c r="AY304" i="3"/>
  <c r="AY399" i="3"/>
  <c r="AY548" i="3"/>
  <c r="AY140" i="3"/>
  <c r="AY347" i="3"/>
  <c r="AY528" i="3"/>
  <c r="AY175" i="3"/>
  <c r="AY339" i="3"/>
  <c r="AY583" i="3"/>
  <c r="AY344" i="3"/>
  <c r="AY439" i="3"/>
  <c r="AY542" i="3"/>
  <c r="AY192" i="3"/>
  <c r="AY378" i="3"/>
  <c r="AY558" i="3"/>
  <c r="AY184" i="3"/>
  <c r="AY391" i="3"/>
  <c r="BD6" i="3"/>
  <c r="AY243" i="3"/>
  <c r="AY50" i="3"/>
  <c r="AY209" i="3"/>
  <c r="AY300" i="3"/>
  <c r="AY463" i="3"/>
  <c r="BE6" i="3"/>
  <c r="AY33" i="3"/>
  <c r="AY125" i="3"/>
  <c r="AY219" i="3"/>
  <c r="AY73" i="3"/>
  <c r="AY259" i="3"/>
  <c r="AY316" i="3"/>
  <c r="AY411" i="3"/>
  <c r="BG6" i="3"/>
  <c r="AY48" i="3"/>
  <c r="AY132" i="3"/>
  <c r="AY212" i="3"/>
  <c r="AY100" i="3"/>
  <c r="AY286" i="3"/>
  <c r="AY29" i="3"/>
  <c r="AY480" i="3"/>
  <c r="AY532" i="3"/>
  <c r="AY171" i="3"/>
  <c r="AY244" i="3"/>
  <c r="AY89" i="3"/>
  <c r="AY302" i="3"/>
  <c r="AY40" i="3"/>
  <c r="AY467" i="3"/>
  <c r="AY508" i="3"/>
  <c r="AY250" i="3"/>
  <c r="AY479" i="3"/>
  <c r="AY505" i="3"/>
  <c r="BP6" i="3"/>
  <c r="AY151" i="3"/>
  <c r="AY315" i="3"/>
  <c r="AY568" i="3"/>
  <c r="AY143" i="3"/>
  <c r="AY307" i="3"/>
  <c r="BT6" i="3"/>
  <c r="AY328" i="3"/>
  <c r="AY423" i="3"/>
  <c r="BR6" i="3"/>
  <c r="AY187" i="3"/>
  <c r="AY376" i="3"/>
  <c r="AY517" i="3"/>
  <c r="AY179" i="3"/>
  <c r="AY367" i="3"/>
  <c r="BC6" i="3"/>
  <c r="AY441" i="3"/>
  <c r="AY137" i="3"/>
  <c r="AY226" i="3"/>
  <c r="AY369" i="3"/>
  <c r="AY277" i="3"/>
  <c r="AY372" i="3"/>
  <c r="AY486" i="3"/>
  <c r="AY525" i="3"/>
  <c r="AY453" i="3"/>
  <c r="AY273" i="3"/>
  <c r="AY549" i="3"/>
  <c r="AY417" i="3"/>
  <c r="AY205" i="3"/>
  <c r="D3" i="6"/>
  <c r="AY224" i="3"/>
  <c r="AY174" i="3"/>
  <c r="AY248" i="3"/>
  <c r="AY466" i="3"/>
  <c r="AY61" i="3"/>
  <c r="AY193" i="3"/>
  <c r="AY337" i="3"/>
  <c r="AY94" i="3"/>
  <c r="AY490" i="3"/>
  <c r="AY166" i="3"/>
  <c r="AY154" i="3"/>
  <c r="AY373" i="3"/>
  <c r="AY434" i="3"/>
  <c r="AY46" i="3"/>
  <c r="AY459" i="3"/>
  <c r="AY515" i="3"/>
  <c r="AY247" i="3"/>
  <c r="AY215" i="3"/>
  <c r="AY280" i="3"/>
  <c r="AY429" i="3"/>
  <c r="AY360" i="3"/>
  <c r="AY580" i="3"/>
  <c r="AY62" i="3"/>
  <c r="AY469" i="3"/>
  <c r="AY353" i="3"/>
  <c r="AY334" i="3"/>
  <c r="AY408" i="3"/>
  <c r="AY437" i="3"/>
  <c r="AY240" i="3"/>
  <c r="AY38" i="3"/>
  <c r="AY462" i="3"/>
  <c r="AY404" i="3"/>
  <c r="AY54" i="3"/>
  <c r="AY91" i="3"/>
  <c r="AY534" i="3"/>
  <c r="AY182" i="3"/>
  <c r="AY86" i="3"/>
  <c r="AY183" i="3"/>
  <c r="AY582" i="3"/>
  <c r="AY389" i="3"/>
  <c r="AY400" i="3"/>
  <c r="F22" i="68"/>
  <c r="C44" i="68" s="1"/>
  <c r="D41" i="68" s="1"/>
  <c r="F25" i="12"/>
  <c r="C26" i="12" s="1"/>
  <c r="D25" i="12" s="1"/>
  <c r="AG6" i="1"/>
  <c r="F24" i="67"/>
  <c r="C24" i="67" s="1"/>
  <c r="F24" i="15"/>
  <c r="C24" i="15" s="1"/>
  <c r="F22" i="11"/>
  <c r="C23" i="11" s="1"/>
  <c r="C10" i="69"/>
  <c r="D19" i="69"/>
  <c r="C35" i="69"/>
  <c r="C38" i="69"/>
  <c r="C10" i="68"/>
  <c r="B29" i="1" s="1"/>
  <c r="D19" i="68"/>
  <c r="C18" i="67"/>
  <c r="C15" i="67"/>
  <c r="D17" i="12"/>
  <c r="C17" i="12" s="1"/>
  <c r="C14" i="12"/>
  <c r="C16" i="12" s="1"/>
  <c r="B9" i="71"/>
  <c r="B8" i="71" s="1"/>
  <c r="B7" i="71" s="1"/>
  <c r="B6" i="71" s="1"/>
  <c r="S10" i="71"/>
  <c r="AQ6" i="1"/>
  <c r="E6" i="70"/>
  <c r="E2" i="70" s="1"/>
  <c r="S16" i="1"/>
  <c r="AR6" i="1"/>
  <c r="T6" i="1"/>
  <c r="D16" i="71"/>
  <c r="C15" i="71"/>
  <c r="D20" i="12"/>
  <c r="C20" i="12" s="1"/>
  <c r="D10" i="11"/>
  <c r="C10" i="11" s="1"/>
  <c r="M27" i="6"/>
  <c r="I19" i="6"/>
  <c r="C38" i="11"/>
  <c r="C35" i="11"/>
  <c r="C30" i="43"/>
  <c r="E30" i="43" s="1"/>
  <c r="C27" i="43" s="1"/>
  <c r="E29" i="43"/>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B2" i="43"/>
  <c r="C60" i="15"/>
  <c r="C66" i="15"/>
  <c r="C26" i="69"/>
  <c r="D22" i="69" s="1"/>
  <c r="C44" i="69"/>
  <c r="D41" i="69" s="1"/>
  <c r="C23" i="69"/>
  <c r="C38" i="67"/>
  <c r="C38" i="15"/>
  <c r="C14" i="15"/>
  <c r="B6" i="76"/>
  <c r="E6" i="76"/>
  <c r="M27" i="15"/>
  <c r="M27" i="67"/>
  <c r="C34" i="68"/>
  <c r="C60" i="67" l="1"/>
  <c r="C33" i="11"/>
  <c r="C39" i="11" s="1"/>
  <c r="C46" i="11" s="1"/>
  <c r="C45" i="11" s="1"/>
  <c r="F41" i="68"/>
  <c r="H21" i="6"/>
  <c r="D29" i="6"/>
  <c r="H22" i="6"/>
  <c r="D20" i="6"/>
  <c r="D23" i="6"/>
  <c r="D5" i="6"/>
  <c r="D14" i="6"/>
  <c r="D12" i="6"/>
  <c r="D11" i="6"/>
  <c r="D9" i="6"/>
  <c r="D13" i="6"/>
  <c r="D10" i="6"/>
  <c r="D28" i="6"/>
  <c r="E61" i="40"/>
  <c r="D25" i="6"/>
  <c r="H24" i="6"/>
  <c r="H23" i="6"/>
  <c r="H26" i="6"/>
  <c r="H20" i="6"/>
  <c r="D15" i="6"/>
  <c r="D19" i="6"/>
  <c r="H25" i="6"/>
  <c r="R25" i="6" s="1"/>
  <c r="D22" i="6"/>
  <c r="R22" i="6" s="1"/>
  <c r="D26" i="6"/>
  <c r="D6" i="6"/>
  <c r="D21" i="6"/>
  <c r="R21" i="6" s="1"/>
  <c r="C18" i="4"/>
  <c r="D24" i="6"/>
  <c r="D8" i="6"/>
  <c r="H68" i="39"/>
  <c r="G70" i="39"/>
  <c r="C23" i="68"/>
  <c r="C26" i="68"/>
  <c r="D22" i="68" s="1"/>
  <c r="C44" i="11"/>
  <c r="D41" i="11" s="1"/>
  <c r="C25" i="11"/>
  <c r="C24" i="11"/>
  <c r="C26" i="11"/>
  <c r="D22" i="11" s="1"/>
  <c r="C19" i="67"/>
  <c r="C20" i="67" s="1"/>
  <c r="C38" i="68"/>
  <c r="C35" i="68"/>
  <c r="C15" i="15"/>
  <c r="C18" i="15"/>
  <c r="C19" i="68"/>
  <c r="D37" i="68"/>
  <c r="C37" i="68" s="1"/>
  <c r="C19" i="69"/>
  <c r="D37" i="69"/>
  <c r="C37" i="69" s="1"/>
  <c r="C33" i="69" s="1"/>
  <c r="L18" i="9"/>
  <c r="I27" i="6"/>
  <c r="S19" i="6"/>
  <c r="S27" i="6" s="1"/>
  <c r="H19" i="6"/>
  <c r="C14" i="71"/>
  <c r="D15" i="71"/>
  <c r="T16" i="1"/>
  <c r="B5" i="71"/>
  <c r="S6" i="71"/>
  <c r="C18" i="12"/>
  <c r="C21" i="12" s="1"/>
  <c r="C22" i="12" s="1"/>
  <c r="C27" i="12" s="1"/>
  <c r="C25" i="12" s="1"/>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J59" i="15"/>
  <c r="J60" i="15" s="1"/>
  <c r="C22" i="69"/>
  <c r="J59" i="67"/>
  <c r="J60" i="67" s="1"/>
  <c r="C43" i="11" l="1"/>
  <c r="C42" i="11"/>
  <c r="M19" i="9"/>
  <c r="C118" i="9" s="1"/>
  <c r="C14" i="74" s="1"/>
  <c r="B2" i="74" s="1"/>
  <c r="D8" i="74" s="1"/>
  <c r="D27" i="6"/>
  <c r="I68" i="39"/>
  <c r="H70" i="39"/>
  <c r="R26" i="6"/>
  <c r="D16" i="6"/>
  <c r="R23" i="6"/>
  <c r="R24" i="6"/>
  <c r="R20" i="6"/>
  <c r="B3" i="76"/>
  <c r="C4" i="52"/>
  <c r="B45" i="72" s="1"/>
  <c r="A10" i="51"/>
  <c r="B9" i="72" s="1"/>
  <c r="A7" i="51"/>
  <c r="B7" i="72" s="1"/>
  <c r="C22" i="11"/>
  <c r="C31" i="11" s="1"/>
  <c r="D30" i="6"/>
  <c r="C33" i="68"/>
  <c r="C42" i="68" s="1"/>
  <c r="C19" i="15"/>
  <c r="C20" i="15" s="1"/>
  <c r="C26" i="15" s="1"/>
  <c r="C26" i="67"/>
  <c r="C23" i="67"/>
  <c r="C13" i="71"/>
  <c r="T14" i="71"/>
  <c r="D14" i="71"/>
  <c r="U14" i="71" s="1"/>
  <c r="C20" i="69"/>
  <c r="C25" i="69" s="1"/>
  <c r="C24" i="69"/>
  <c r="C20" i="68"/>
  <c r="C25" i="68" s="1"/>
  <c r="C24" i="68"/>
  <c r="R19" i="6"/>
  <c r="L19" i="9"/>
  <c r="H27" i="6"/>
  <c r="C39" i="69"/>
  <c r="C43" i="69" s="1"/>
  <c r="C42" i="69"/>
  <c r="C30" i="12"/>
  <c r="C28" i="12" s="1"/>
  <c r="C32" i="12" s="1"/>
  <c r="B2" i="12" s="1"/>
  <c r="B3" i="12" s="1"/>
  <c r="I63" i="40"/>
  <c r="H65" i="40"/>
  <c r="I58" i="21"/>
  <c r="J58" i="21" s="1"/>
  <c r="K58" i="21" s="1"/>
  <c r="L58" i="21" s="1"/>
  <c r="M58" i="21" s="1"/>
  <c r="N58" i="21" s="1"/>
  <c r="O58" i="21" s="1"/>
  <c r="H7" i="21" s="1"/>
  <c r="F7" i="21"/>
  <c r="J48" i="35"/>
  <c r="Q48" i="15"/>
  <c r="Q48" i="67"/>
  <c r="C41" i="11" l="1"/>
  <c r="C49" i="11" s="1"/>
  <c r="C51" i="11" s="1"/>
  <c r="C52" i="11" s="1"/>
  <c r="B2" i="11" s="1"/>
  <c r="B3" i="11" s="1"/>
  <c r="C39" i="68"/>
  <c r="C43" i="68" s="1"/>
  <c r="C41" i="68" s="1"/>
  <c r="C22" i="68"/>
  <c r="C28" i="68"/>
  <c r="C27" i="68" s="1"/>
  <c r="I70" i="39"/>
  <c r="J68" i="39"/>
  <c r="D31" i="6"/>
  <c r="C29" i="67"/>
  <c r="C13" i="67" s="1"/>
  <c r="C56" i="67" s="1"/>
  <c r="C65" i="67" s="1"/>
  <c r="C41" i="69"/>
  <c r="J7" i="21"/>
  <c r="W7" i="21" s="1"/>
  <c r="C46" i="69"/>
  <c r="C45" i="69" s="1"/>
  <c r="R27" i="6"/>
  <c r="R6" i="1"/>
  <c r="C28" i="69"/>
  <c r="C27" i="69" s="1"/>
  <c r="C31" i="69" s="1"/>
  <c r="C12" i="71"/>
  <c r="D13" i="71"/>
  <c r="C23" i="15"/>
  <c r="C29" i="15" s="1"/>
  <c r="U7" i="21"/>
  <c r="AB7" i="21"/>
  <c r="T48" i="21" s="1"/>
  <c r="G48" i="21" s="1"/>
  <c r="S7" i="21"/>
  <c r="AA7" i="21"/>
  <c r="R48" i="21" s="1"/>
  <c r="J63" i="40"/>
  <c r="I65" i="40"/>
  <c r="K48" i="35"/>
  <c r="L48" i="35" s="1"/>
  <c r="M48" i="35" s="1"/>
  <c r="N48" i="35" s="1"/>
  <c r="O48" i="35" s="1"/>
  <c r="H7" i="35" s="1"/>
  <c r="J7" i="35"/>
  <c r="F35" i="67"/>
  <c r="M21" i="67"/>
  <c r="F35" i="15"/>
  <c r="M21" i="15"/>
  <c r="D14" i="82" l="1"/>
  <c r="C46" i="68"/>
  <c r="C45" i="68" s="1"/>
  <c r="C49" i="68" s="1"/>
  <c r="C51" i="68" s="1"/>
  <c r="C49" i="69"/>
  <c r="C51" i="69" s="1"/>
  <c r="C52" i="69" s="1"/>
  <c r="B2" i="69" s="1"/>
  <c r="AC7" i="21"/>
  <c r="V48" i="21" s="1"/>
  <c r="I48" i="21" s="1"/>
  <c r="I5" i="6"/>
  <c r="I6" i="6"/>
  <c r="K68" i="39"/>
  <c r="J70" i="39"/>
  <c r="C56" i="11"/>
  <c r="C57" i="11" s="1"/>
  <c r="J19" i="67"/>
  <c r="C33" i="67"/>
  <c r="Q70" i="67"/>
  <c r="Q49" i="67"/>
  <c r="C75" i="67"/>
  <c r="C57" i="67"/>
  <c r="C61" i="67" s="1"/>
  <c r="C36" i="67"/>
  <c r="J14" i="67"/>
  <c r="J13" i="67" s="1"/>
  <c r="J23" i="67" s="1"/>
  <c r="C37" i="67"/>
  <c r="C34" i="15"/>
  <c r="C31" i="15" s="1"/>
  <c r="F63" i="15"/>
  <c r="C62" i="15" s="1"/>
  <c r="J20" i="15"/>
  <c r="C34" i="67"/>
  <c r="F63" i="67"/>
  <c r="C62" i="67" s="1"/>
  <c r="J20" i="67"/>
  <c r="J14" i="15"/>
  <c r="C36" i="15"/>
  <c r="C13" i="15"/>
  <c r="D13" i="82" s="1"/>
  <c r="D12" i="82" s="1"/>
  <c r="D11" i="82" s="1"/>
  <c r="J19" i="15"/>
  <c r="C57" i="15"/>
  <c r="Q49" i="15"/>
  <c r="C11" i="71"/>
  <c r="D12" i="71"/>
  <c r="R16" i="1"/>
  <c r="W7" i="35"/>
  <c r="AC7" i="35"/>
  <c r="V38" i="35" s="1"/>
  <c r="I38" i="35" s="1"/>
  <c r="J65" i="40"/>
  <c r="K63" i="40"/>
  <c r="I52" i="21"/>
  <c r="J52" i="21" s="1"/>
  <c r="U7" i="35"/>
  <c r="AB7" i="35"/>
  <c r="T38" i="35" s="1"/>
  <c r="G38" i="35" s="1"/>
  <c r="R49" i="21"/>
  <c r="E48" i="21"/>
  <c r="G52" i="21"/>
  <c r="H52" i="21" s="1"/>
  <c r="G53" i="21"/>
  <c r="H53" i="21" s="1"/>
  <c r="F7" i="35"/>
  <c r="L57" i="15"/>
  <c r="L60" i="15" s="1"/>
  <c r="L46" i="15" s="1"/>
  <c r="L57" i="67"/>
  <c r="L60" i="67" s="1"/>
  <c r="L46" i="67" s="1"/>
  <c r="B3" i="69"/>
  <c r="C52" i="68" l="1"/>
  <c r="B2" i="68" s="1"/>
  <c r="F35" i="9"/>
  <c r="E11" i="82"/>
  <c r="E7" i="82" s="1"/>
  <c r="C27" i="82" s="1"/>
  <c r="D7" i="82"/>
  <c r="C26" i="82" s="1"/>
  <c r="C32" i="82" s="1"/>
  <c r="C38" i="82" s="1"/>
  <c r="C39" i="82" s="1"/>
  <c r="C40" i="82" s="1"/>
  <c r="D19" i="9" s="1"/>
  <c r="D20" i="9" s="1"/>
  <c r="C31" i="67"/>
  <c r="C30" i="67" s="1"/>
  <c r="C39" i="67" s="1"/>
  <c r="L68" i="39"/>
  <c r="K70" i="39"/>
  <c r="J17" i="67"/>
  <c r="J22" i="67"/>
  <c r="C64" i="67"/>
  <c r="C59" i="67"/>
  <c r="C10" i="71"/>
  <c r="D11" i="71"/>
  <c r="C61" i="15"/>
  <c r="C59" i="15" s="1"/>
  <c r="C64" i="15"/>
  <c r="C75" i="15"/>
  <c r="C56" i="15"/>
  <c r="C65" i="15" s="1"/>
  <c r="C37" i="15"/>
  <c r="C30" i="15" s="1"/>
  <c r="C39" i="15" s="1"/>
  <c r="Q70" i="15"/>
  <c r="J22" i="15"/>
  <c r="J13" i="15"/>
  <c r="J23" i="15" s="1"/>
  <c r="C57" i="68"/>
  <c r="C56" i="68" s="1"/>
  <c r="C57" i="69"/>
  <c r="C56" i="69" s="1"/>
  <c r="J17" i="15"/>
  <c r="S7" i="35"/>
  <c r="AA7" i="35"/>
  <c r="R38" i="35" s="1"/>
  <c r="C49" i="21"/>
  <c r="B2" i="21" s="1"/>
  <c r="B3" i="21" s="1"/>
  <c r="C48" i="21"/>
  <c r="E52" i="21"/>
  <c r="F52" i="21" s="1"/>
  <c r="E53" i="21"/>
  <c r="F53" i="21" s="1"/>
  <c r="G42" i="35"/>
  <c r="H42" i="35" s="1"/>
  <c r="G43" i="35"/>
  <c r="H43" i="35" s="1"/>
  <c r="I53" i="21"/>
  <c r="J53" i="21" s="1"/>
  <c r="K65" i="40"/>
  <c r="L63" i="40"/>
  <c r="I42" i="35"/>
  <c r="J42" i="35" s="1"/>
  <c r="Q66" i="15"/>
  <c r="Q57" i="15"/>
  <c r="Q66" i="67"/>
  <c r="Q57" i="67"/>
  <c r="C19" i="9"/>
  <c r="L51" i="67"/>
  <c r="B3" i="68"/>
  <c r="C102" i="9" l="1"/>
  <c r="C21" i="9"/>
  <c r="C41" i="82"/>
  <c r="B2" i="82"/>
  <c r="B3" i="82" s="1"/>
  <c r="Q69" i="67"/>
  <c r="Q68" i="67" s="1"/>
  <c r="C40" i="67"/>
  <c r="C83" i="67" s="1"/>
  <c r="C82" i="67" s="1"/>
  <c r="L70" i="39"/>
  <c r="M68" i="39"/>
  <c r="C58" i="67"/>
  <c r="C67" i="67" s="1"/>
  <c r="C68" i="67" s="1"/>
  <c r="C71" i="67" s="1"/>
  <c r="J16" i="67"/>
  <c r="J25" i="67" s="1"/>
  <c r="J26" i="67" s="1"/>
  <c r="J29" i="67" s="1"/>
  <c r="Q67" i="67"/>
  <c r="C80" i="67"/>
  <c r="C79" i="67" s="1"/>
  <c r="J16" i="15"/>
  <c r="J25" i="15" s="1"/>
  <c r="J26" i="15" s="1"/>
  <c r="J29" i="15" s="1"/>
  <c r="C58" i="15"/>
  <c r="C67" i="15" s="1"/>
  <c r="C68" i="15" s="1"/>
  <c r="C71" i="15" s="1"/>
  <c r="C80" i="15"/>
  <c r="C79" i="15" s="1"/>
  <c r="C9" i="71"/>
  <c r="T10" i="71"/>
  <c r="D10" i="71"/>
  <c r="U10" i="71" s="1"/>
  <c r="C40" i="15"/>
  <c r="Q69" i="15"/>
  <c r="Q68" i="15" s="1"/>
  <c r="R39" i="35"/>
  <c r="E38" i="35"/>
  <c r="M63" i="40"/>
  <c r="L65" i="40"/>
  <c r="C20" i="9"/>
  <c r="L51" i="15"/>
  <c r="Q47" i="67" l="1"/>
  <c r="Q53" i="67" s="1"/>
  <c r="C43" i="67"/>
  <c r="Q65" i="67"/>
  <c r="Q75" i="67" s="1"/>
  <c r="C45" i="67"/>
  <c r="C46" i="67" s="1"/>
  <c r="N68" i="39"/>
  <c r="M70" i="39"/>
  <c r="D2" i="67"/>
  <c r="B2" i="67" s="1"/>
  <c r="Q56" i="67"/>
  <c r="Q62" i="67" s="1"/>
  <c r="C103" i="9"/>
  <c r="Q67" i="15"/>
  <c r="Q56" i="15"/>
  <c r="Q62" i="15" s="1"/>
  <c r="C43" i="15"/>
  <c r="C83" i="15"/>
  <c r="C82" i="15" s="1"/>
  <c r="Q65" i="15"/>
  <c r="Q75" i="15" s="1"/>
  <c r="Q47" i="15"/>
  <c r="Q53" i="15" s="1"/>
  <c r="B2" i="15"/>
  <c r="C8" i="71"/>
  <c r="D9" i="71"/>
  <c r="C46" i="15"/>
  <c r="C39" i="35"/>
  <c r="B2" i="35" s="1"/>
  <c r="B3" i="35" s="1"/>
  <c r="C38" i="35"/>
  <c r="N63" i="40"/>
  <c r="M65" i="40"/>
  <c r="E43" i="35"/>
  <c r="F43" i="35" s="1"/>
  <c r="E42" i="35"/>
  <c r="F42" i="35" s="1"/>
  <c r="I43" i="35"/>
  <c r="J43" i="35" s="1"/>
  <c r="AO6" i="1"/>
  <c r="N70" i="39" l="1"/>
  <c r="F7" i="39" s="1"/>
  <c r="O68" i="39"/>
  <c r="O70" i="39" s="1"/>
  <c r="B3" i="67"/>
  <c r="B6" i="70"/>
  <c r="B2" i="70" s="1"/>
  <c r="B3" i="70" s="1"/>
  <c r="D102" i="9"/>
  <c r="G19" i="9"/>
  <c r="G21" i="9" s="1"/>
  <c r="D21" i="9"/>
  <c r="D22" i="9"/>
  <c r="C7" i="71"/>
  <c r="D8" i="71"/>
  <c r="B3" i="15"/>
  <c r="O63" i="40"/>
  <c r="O65" i="40" s="1"/>
  <c r="N65" i="40"/>
  <c r="D35" i="9"/>
  <c r="H7" i="39" l="1"/>
  <c r="J7" i="39"/>
  <c r="S7" i="39"/>
  <c r="AA7" i="39"/>
  <c r="R47" i="39" s="1"/>
  <c r="AB7" i="39"/>
  <c r="T47" i="39" s="1"/>
  <c r="G47" i="39" s="1"/>
  <c r="U7" i="39"/>
  <c r="W7" i="39"/>
  <c r="AC7" i="39"/>
  <c r="V47" i="39" s="1"/>
  <c r="I47" i="39" s="1"/>
  <c r="D103" i="9"/>
  <c r="G20" i="9"/>
  <c r="C32" i="9" s="1"/>
  <c r="C35" i="9" s="1"/>
  <c r="C6" i="71"/>
  <c r="D7" i="71"/>
  <c r="J7" i="40"/>
  <c r="F7" i="40"/>
  <c r="H7" i="40"/>
  <c r="R48" i="39" l="1"/>
  <c r="E47" i="39"/>
  <c r="I51" i="39"/>
  <c r="J51" i="39" s="1"/>
  <c r="I52" i="39"/>
  <c r="J52" i="39" s="1"/>
  <c r="G51" i="39"/>
  <c r="H51" i="39" s="1"/>
  <c r="G52" i="39"/>
  <c r="H52" i="39" s="1"/>
  <c r="C5" i="71"/>
  <c r="T6" i="71"/>
  <c r="D6" i="71"/>
  <c r="U6" i="71" s="1"/>
  <c r="U7" i="40"/>
  <c r="AB7" i="40"/>
  <c r="T42" i="40" s="1"/>
  <c r="G42" i="40" s="1"/>
  <c r="AA7" i="40"/>
  <c r="R42" i="40" s="1"/>
  <c r="S7" i="40"/>
  <c r="AC7" i="40"/>
  <c r="V42" i="40" s="1"/>
  <c r="I42" i="40" s="1"/>
  <c r="W7" i="40"/>
  <c r="E52" i="39" l="1"/>
  <c r="F52" i="39" s="1"/>
  <c r="E51" i="39"/>
  <c r="F51" i="39" s="1"/>
  <c r="C47" i="39"/>
  <c r="C48" i="39"/>
  <c r="D5" i="71"/>
  <c r="M20" i="43"/>
  <c r="I46" i="40"/>
  <c r="J46" i="40" s="1"/>
  <c r="R43" i="40"/>
  <c r="E42" i="40"/>
  <c r="G47" i="40"/>
  <c r="H47" i="40" s="1"/>
  <c r="G46" i="40"/>
  <c r="H46" i="40" s="1"/>
  <c r="B64" i="39" l="1"/>
  <c r="F64" i="39" s="1"/>
  <c r="B58" i="39"/>
  <c r="F58" i="39" s="1"/>
  <c r="B62" i="39"/>
  <c r="F62" i="39" s="1"/>
  <c r="B56" i="39"/>
  <c r="F56" i="39" s="1"/>
  <c r="F66" i="39" s="1"/>
  <c r="B2" i="39" s="1"/>
  <c r="B3" i="39" s="1"/>
  <c r="B65" i="39"/>
  <c r="F65" i="39" s="1"/>
  <c r="B61" i="39"/>
  <c r="F61" i="39" s="1"/>
  <c r="B59" i="39"/>
  <c r="F59" i="39" s="1"/>
  <c r="B60" i="39"/>
  <c r="F60" i="39" s="1"/>
  <c r="B63" i="39"/>
  <c r="F63" i="39" s="1"/>
  <c r="B57" i="39"/>
  <c r="F57" i="39" s="1"/>
  <c r="C42" i="40"/>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107" i="9" l="1"/>
  <c r="D122" i="9" s="1"/>
  <c r="G14" i="74" l="1"/>
  <c r="B6" i="74" s="1"/>
  <c r="D8" i="52"/>
  <c r="D123" i="9"/>
  <c r="D9" i="52" s="1"/>
  <c r="D13" i="53"/>
  <c r="H108" i="9"/>
  <c r="D15" i="53" s="1"/>
  <c r="B31" i="72" s="1"/>
  <c r="D14" i="53" l="1"/>
  <c r="B32" i="72" s="1"/>
  <c r="B30" i="72"/>
  <c r="C6" i="74"/>
  <c r="D6" i="74"/>
  <c r="I118" i="9"/>
  <c r="H118" i="9" s="1"/>
  <c r="G118" i="9"/>
  <c r="F118" i="9" s="1"/>
  <c r="F119" i="9" s="1"/>
  <c r="F5" i="52" s="1"/>
  <c r="B53" i="72" s="1"/>
  <c r="I4" i="52" l="1"/>
  <c r="G4" i="52"/>
  <c r="B52" i="72" s="1"/>
  <c r="H102" i="9"/>
  <c r="D7" i="53" s="1"/>
  <c r="B21" i="72" s="1"/>
  <c r="C105" i="9"/>
  <c r="H101" i="9"/>
  <c r="H119" i="9"/>
  <c r="H5" i="52" s="1"/>
  <c r="H4" i="52"/>
  <c r="D14" i="74"/>
  <c r="C104" i="9"/>
  <c r="F4" i="52"/>
  <c r="B51" i="72" s="1"/>
  <c r="B5" i="74" l="1"/>
  <c r="F14" i="74"/>
  <c r="E14" i="74"/>
  <c r="H109" i="9"/>
  <c r="D45" i="9"/>
  <c r="D5" i="53"/>
  <c r="M48" i="9"/>
  <c r="D6" i="53" l="1"/>
  <c r="B22" i="72" s="1"/>
  <c r="B20" i="72"/>
  <c r="M49" i="9"/>
  <c r="D124" i="9"/>
  <c r="H110" i="9"/>
  <c r="D18" i="53" s="1"/>
  <c r="B35" i="72" s="1"/>
  <c r="D16" i="53"/>
  <c r="D55" i="9"/>
  <c r="M53" i="9" s="1"/>
  <c r="C85" i="9"/>
  <c r="C78" i="9"/>
  <c r="C73" i="9" s="1"/>
  <c r="D52" i="9"/>
  <c r="C93" i="9"/>
  <c r="C86" i="9" s="1"/>
  <c r="C64" i="9"/>
  <c r="C63" i="9" s="1"/>
  <c r="C67" i="9" s="1"/>
  <c r="C72" i="9"/>
  <c r="D53" i="9"/>
  <c r="D5" i="74"/>
  <c r="C5" i="74"/>
  <c r="C79" i="9" l="1"/>
  <c r="C80" i="9" s="1"/>
  <c r="E80" i="9" s="1"/>
  <c r="E81" i="9" s="1"/>
  <c r="L63" i="9"/>
  <c r="M63" i="9" s="1"/>
  <c r="L64" i="9"/>
  <c r="M64" i="9" s="1"/>
  <c r="L65" i="9"/>
  <c r="M65" i="9" s="1"/>
  <c r="L66" i="9"/>
  <c r="M66" i="9" s="1"/>
  <c r="L67" i="9"/>
  <c r="M67" i="9" s="1"/>
  <c r="L68" i="9"/>
  <c r="M68" i="9" s="1"/>
  <c r="D59" i="9"/>
  <c r="M55" i="9" s="1"/>
  <c r="C68" i="9"/>
  <c r="D54" i="9" s="1"/>
  <c r="C95" i="9"/>
  <c r="D17" i="53"/>
  <c r="B36" i="72" s="1"/>
  <c r="B34" i="72"/>
  <c r="D125" i="9"/>
  <c r="D11" i="52" s="1"/>
  <c r="H14" i="74"/>
  <c r="B7" i="74" s="1"/>
  <c r="D10" i="52"/>
  <c r="M69" i="9" l="1"/>
  <c r="N69" i="9" s="1"/>
  <c r="C81" i="9"/>
  <c r="C7" i="74"/>
  <c r="D7" i="74"/>
  <c r="C96" i="9"/>
  <c r="E96" i="9" s="1"/>
  <c r="E97" i="9" s="1"/>
  <c r="C97" i="9" l="1"/>
  <c r="D58" i="9" s="1"/>
  <c r="D56" i="9" s="1"/>
  <c r="M54" i="9" s="1"/>
  <c r="N57" i="9" s="1"/>
  <c r="P57" i="9" l="1"/>
  <c r="N58" i="9"/>
  <c r="N59" i="9"/>
  <c r="N60" i="9" l="1"/>
  <c r="N61" i="9"/>
  <c r="C34" i="9" l="1"/>
  <c r="F34" i="9" s="1"/>
  <c r="E118" i="9"/>
  <c r="D118" i="9" s="1"/>
  <c r="D34" i="9"/>
  <c r="D119" i="9" l="1"/>
  <c r="D5" i="52" s="1"/>
  <c r="B49" i="72" s="1"/>
  <c r="D4" i="52"/>
  <c r="B47" i="72" s="1"/>
  <c r="E4" i="52"/>
  <c r="B48"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在建项目均选择“是”</t>
        </r>
      </text>
    </comment>
    <comment ref="F59" authorId="1" shapeId="0" xr:uid="{00000000-0006-0000-16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600-000006000000}">
      <text>
        <r>
          <rPr>
            <sz val="10"/>
            <color indexed="81"/>
            <rFont val="宋体"/>
            <family val="3"/>
            <charset val="134"/>
          </rPr>
          <t xml:space="preserve">在建
</t>
        </r>
      </text>
    </comment>
    <comment ref="N59" authorId="0" shapeId="0" xr:uid="{00000000-0006-0000-16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4000000}">
      <text>
        <r>
          <rPr>
            <b/>
            <sz val="12"/>
            <color indexed="81"/>
            <rFont val="宋体"/>
            <family val="3"/>
            <charset val="134"/>
          </rPr>
          <t>所属项目品质或
物业管理</t>
        </r>
      </text>
    </comment>
    <comment ref="B90"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4000000}">
      <text>
        <r>
          <rPr>
            <b/>
            <sz val="12"/>
            <color indexed="81"/>
            <rFont val="宋体"/>
            <family val="3"/>
            <charset val="134"/>
          </rPr>
          <t>所属项目品质或
物业管理</t>
        </r>
      </text>
    </comment>
    <comment ref="B86" authorId="0" shapeId="0" xr:uid="{00000000-0006-0000-1F00-000005000000}">
      <text>
        <r>
          <rPr>
            <b/>
            <sz val="12"/>
            <color indexed="81"/>
            <rFont val="宋体"/>
            <family val="3"/>
            <charset val="134"/>
          </rPr>
          <t>所属项目品质</t>
        </r>
      </text>
    </comment>
    <comment ref="B89" authorId="0" shapeId="0" xr:uid="{00000000-0006-0000-1F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20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2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200-000002000000}">
      <text>
        <r>
          <rPr>
            <sz val="11"/>
            <color indexed="81"/>
            <rFont val="宋体"/>
            <family val="3"/>
            <charset val="134"/>
          </rPr>
          <t xml:space="preserve">录入层数，将对应的结果录入至左侧相应层的楼层修正系数单元格中
</t>
        </r>
      </text>
    </comment>
    <comment ref="D17" authorId="2" shapeId="0" xr:uid="{00000000-0006-0000-22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2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200-000005000000}">
      <text>
        <r>
          <rPr>
            <sz val="9"/>
            <color indexed="81"/>
            <rFont val="宋体"/>
            <family val="3"/>
            <charset val="134"/>
          </rPr>
          <t xml:space="preserve">需在此处填写剩余土地年限
</t>
        </r>
      </text>
    </comment>
    <comment ref="C99" authorId="0" shapeId="0" xr:uid="{00000000-0006-0000-22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2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2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2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2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2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2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2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2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2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2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2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200-000012000000}">
      <text>
        <r>
          <rPr>
            <b/>
            <sz val="9"/>
            <color indexed="81"/>
            <rFont val="宋体"/>
            <family val="3"/>
            <charset val="134"/>
          </rPr>
          <t xml:space="preserve">容积率
</t>
        </r>
      </text>
    </comment>
    <comment ref="D101" authorId="0" shapeId="0" xr:uid="{00000000-0006-0000-2200-000013000000}">
      <text>
        <r>
          <rPr>
            <b/>
            <sz val="9"/>
            <color indexed="81"/>
            <rFont val="宋体"/>
            <family val="3"/>
            <charset val="134"/>
          </rPr>
          <t xml:space="preserve">容积率
</t>
        </r>
      </text>
    </comment>
    <comment ref="E101" authorId="0" shapeId="0" xr:uid="{00000000-0006-0000-2200-000014000000}">
      <text>
        <r>
          <rPr>
            <b/>
            <sz val="9"/>
            <color indexed="81"/>
            <rFont val="宋体"/>
            <family val="3"/>
            <charset val="134"/>
          </rPr>
          <t xml:space="preserve">容积率
</t>
        </r>
      </text>
    </comment>
    <comment ref="F101" authorId="0" shapeId="0" xr:uid="{00000000-0006-0000-2200-000015000000}">
      <text>
        <r>
          <rPr>
            <b/>
            <sz val="9"/>
            <color indexed="81"/>
            <rFont val="宋体"/>
            <family val="3"/>
            <charset val="134"/>
          </rPr>
          <t xml:space="preserve">容积率
</t>
        </r>
      </text>
    </comment>
    <comment ref="G101" authorId="0" shapeId="0" xr:uid="{00000000-0006-0000-2200-000016000000}">
      <text>
        <r>
          <rPr>
            <b/>
            <sz val="9"/>
            <color indexed="81"/>
            <rFont val="宋体"/>
            <family val="3"/>
            <charset val="134"/>
          </rPr>
          <t xml:space="preserve">容积率
</t>
        </r>
      </text>
    </comment>
    <comment ref="H101" authorId="0" shapeId="0" xr:uid="{00000000-0006-0000-2200-000017000000}">
      <text>
        <r>
          <rPr>
            <b/>
            <sz val="9"/>
            <color indexed="81"/>
            <rFont val="宋体"/>
            <family val="3"/>
            <charset val="134"/>
          </rPr>
          <t xml:space="preserve">容积率
</t>
        </r>
      </text>
    </comment>
    <comment ref="I101" authorId="0" shapeId="0" xr:uid="{00000000-0006-0000-2200-000018000000}">
      <text>
        <r>
          <rPr>
            <b/>
            <sz val="9"/>
            <color indexed="81"/>
            <rFont val="宋体"/>
            <family val="3"/>
            <charset val="134"/>
          </rPr>
          <t xml:space="preserve">容积率
</t>
        </r>
      </text>
    </comment>
    <comment ref="J101" authorId="0" shapeId="0" xr:uid="{00000000-0006-0000-2200-000019000000}">
      <text>
        <r>
          <rPr>
            <b/>
            <sz val="9"/>
            <color indexed="81"/>
            <rFont val="宋体"/>
            <family val="3"/>
            <charset val="134"/>
          </rPr>
          <t xml:space="preserve">容积率
</t>
        </r>
      </text>
    </comment>
    <comment ref="K101" authorId="0" shapeId="0" xr:uid="{00000000-0006-0000-2200-00001A000000}">
      <text>
        <r>
          <rPr>
            <b/>
            <sz val="9"/>
            <color indexed="81"/>
            <rFont val="宋体"/>
            <family val="3"/>
            <charset val="134"/>
          </rPr>
          <t xml:space="preserve">容积率
</t>
        </r>
      </text>
    </comment>
    <comment ref="L101" authorId="0" shapeId="0" xr:uid="{00000000-0006-0000-2200-00001B000000}">
      <text>
        <r>
          <rPr>
            <b/>
            <sz val="9"/>
            <color indexed="81"/>
            <rFont val="宋体"/>
            <family val="3"/>
            <charset val="134"/>
          </rPr>
          <t xml:space="preserve">容积率
</t>
        </r>
      </text>
    </comment>
    <comment ref="M101" authorId="0" shapeId="0" xr:uid="{00000000-0006-0000-2200-00001C000000}">
      <text>
        <r>
          <rPr>
            <b/>
            <sz val="9"/>
            <color indexed="81"/>
            <rFont val="宋体"/>
            <family val="3"/>
            <charset val="134"/>
          </rPr>
          <t xml:space="preserve">容积率
</t>
        </r>
      </text>
    </comment>
    <comment ref="N101" authorId="0" shapeId="0" xr:uid="{00000000-0006-0000-2200-00001D000000}">
      <text>
        <r>
          <rPr>
            <b/>
            <sz val="9"/>
            <color indexed="81"/>
            <rFont val="宋体"/>
            <family val="3"/>
            <charset val="134"/>
          </rPr>
          <t xml:space="preserve">容积率
</t>
        </r>
      </text>
    </comment>
    <comment ref="C108" authorId="0" shapeId="0" xr:uid="{00000000-0006-0000-22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2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2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2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2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2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2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2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2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2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2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2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2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2D00-000001000000}">
      <text>
        <r>
          <rPr>
            <b/>
            <sz val="9"/>
            <color indexed="81"/>
            <rFont val="宋体"/>
            <family val="3"/>
            <charset val="134"/>
          </rPr>
          <t>权重验证</t>
        </r>
        <r>
          <rPr>
            <sz val="9"/>
            <color indexed="81"/>
            <rFont val="宋体"/>
            <family val="3"/>
            <charset val="134"/>
          </rPr>
          <t xml:space="preserve">
</t>
        </r>
      </text>
    </comment>
    <comment ref="C72" authorId="1" shapeId="0" xr:uid="{00000000-0006-0000-2D00-000002000000}">
      <text>
        <r>
          <rPr>
            <b/>
            <sz val="12"/>
            <color indexed="81"/>
            <rFont val="宋体"/>
            <family val="3"/>
            <charset val="134"/>
          </rPr>
          <t>价值时点所在季度</t>
        </r>
        <r>
          <rPr>
            <sz val="12"/>
            <color indexed="81"/>
            <rFont val="宋体"/>
            <family val="3"/>
            <charset val="134"/>
          </rPr>
          <t xml:space="preserve">
</t>
        </r>
      </text>
    </comment>
    <comment ref="B73" authorId="0" shapeId="0" xr:uid="{00000000-0006-0000-2D00-000003000000}">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rgb="FF000000"/>
            <rFont val="宋体"/>
            <family val="3"/>
            <charset val="134"/>
          </rPr>
          <t>按套计取，在</t>
        </r>
        <r>
          <rPr>
            <sz val="12"/>
            <color rgb="FF000000"/>
            <rFont val="宋体"/>
            <family val="3"/>
            <charset val="134"/>
          </rPr>
          <t>AF</t>
        </r>
        <r>
          <rPr>
            <sz val="12"/>
            <color rgb="FF000000"/>
            <rFont val="宋体"/>
            <family val="3"/>
            <charset val="134"/>
          </rPr>
          <t>列录入套数；</t>
        </r>
        <r>
          <rPr>
            <sz val="12"/>
            <color rgb="FF000000"/>
            <rFont val="宋体"/>
            <family val="3"/>
            <charset val="134"/>
          </rPr>
          <t xml:space="preserve">
</t>
        </r>
        <r>
          <rPr>
            <sz val="12"/>
            <color rgb="FF000000"/>
            <rFont val="宋体"/>
            <family val="3"/>
            <charset val="134"/>
          </rPr>
          <t>按每车位计取，在</t>
        </r>
        <r>
          <rPr>
            <sz val="12"/>
            <color rgb="FF000000"/>
            <rFont val="宋体"/>
            <family val="3"/>
            <charset val="134"/>
          </rPr>
          <t>AF</t>
        </r>
        <r>
          <rPr>
            <sz val="12"/>
            <color rgb="FF000000"/>
            <rFont val="宋体"/>
            <family val="3"/>
            <charset val="134"/>
          </rPr>
          <t>列录入车位数；</t>
        </r>
        <r>
          <rPr>
            <sz val="12"/>
            <color rgb="FF000000"/>
            <rFont val="宋体"/>
            <family val="3"/>
            <charset val="134"/>
          </rPr>
          <t xml:space="preserve">
</t>
        </r>
        <r>
          <rPr>
            <sz val="12"/>
            <color rgb="FF000000"/>
            <rFont val="宋体"/>
            <family val="3"/>
            <charset val="134"/>
          </rPr>
          <t>按收益面积计取，在</t>
        </r>
        <r>
          <rPr>
            <sz val="12"/>
            <color rgb="FF000000"/>
            <rFont val="宋体"/>
            <family val="3"/>
            <charset val="134"/>
          </rPr>
          <t>AF</t>
        </r>
        <r>
          <rPr>
            <sz val="12"/>
            <color rgb="FF000000"/>
            <rFont val="宋体"/>
            <family val="3"/>
            <charset val="134"/>
          </rPr>
          <t>列录入收益面积</t>
        </r>
        <r>
          <rPr>
            <sz val="12"/>
            <color rgb="FF000000"/>
            <rFont val="宋体"/>
            <family val="3"/>
            <charset val="134"/>
          </rPr>
          <t xml:space="preserve">
</t>
        </r>
      </text>
    </comment>
    <comment ref="W5" authorId="0" shapeId="0" xr:uid="{00000000-0006-0000-0E00-000002000000}">
      <text>
        <r>
          <rPr>
            <sz val="10"/>
            <color rgb="FF000000"/>
            <rFont val="宋体"/>
            <family val="3"/>
            <charset val="134"/>
          </rPr>
          <t>5%-10%</t>
        </r>
        <r>
          <rPr>
            <sz val="10"/>
            <color rgb="FF000000"/>
            <rFont val="宋体"/>
            <family val="3"/>
            <charset val="134"/>
          </rPr>
          <t>：基本呈满租状态；</t>
        </r>
        <r>
          <rPr>
            <sz val="10"/>
            <color rgb="FF000000"/>
            <rFont val="宋体"/>
            <family val="3"/>
            <charset val="134"/>
          </rPr>
          <t xml:space="preserve">
</t>
        </r>
        <r>
          <rPr>
            <sz val="10"/>
            <color rgb="FF000000"/>
            <rFont val="宋体"/>
            <family val="3"/>
            <charset val="134"/>
          </rPr>
          <t>15%</t>
        </r>
        <r>
          <rPr>
            <sz val="10"/>
            <color rgb="FF000000"/>
            <rFont val="宋体"/>
            <family val="3"/>
            <charset val="134"/>
          </rPr>
          <t>左右：正常市场空置状态</t>
        </r>
        <r>
          <rPr>
            <sz val="10"/>
            <color rgb="FF000000"/>
            <rFont val="宋体"/>
            <family val="3"/>
            <charset val="134"/>
          </rPr>
          <t xml:space="preserve">
</t>
        </r>
        <r>
          <rPr>
            <sz val="10"/>
            <color rgb="FF000000"/>
            <rFont val="宋体"/>
            <family val="3"/>
            <charset val="134"/>
          </rPr>
          <t>20%</t>
        </r>
        <r>
          <rPr>
            <sz val="10"/>
            <color rgb="FF000000"/>
            <rFont val="宋体"/>
            <family val="3"/>
            <charset val="134"/>
          </rPr>
          <t>：市场环境较差，项目现状及周边有空置</t>
        </r>
        <r>
          <rPr>
            <sz val="10"/>
            <color rgb="FF000000"/>
            <rFont val="宋体"/>
            <family val="3"/>
            <charset val="134"/>
          </rPr>
          <t xml:space="preserve">
</t>
        </r>
        <r>
          <rPr>
            <sz val="10"/>
            <color rgb="FF000000"/>
            <rFont val="宋体"/>
            <family val="3"/>
            <charset val="134"/>
          </rPr>
          <t>另，需注意租金水平与空置率的均衡关系</t>
        </r>
        <r>
          <rPr>
            <b/>
            <sz val="9"/>
            <color rgb="FF000000"/>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1.5%-2.5%</t>
        </r>
        <r>
          <rPr>
            <sz val="9"/>
            <color rgb="FF000000"/>
            <rFont val="宋体"/>
            <family val="3"/>
            <charset val="134"/>
          </rPr>
          <t xml:space="preserve">
</t>
        </r>
      </text>
    </comment>
    <comment ref="AL5" authorId="0" shapeId="0" xr:uid="{00000000-0006-0000-0E00-000005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0.15%-0.3%</t>
        </r>
        <r>
          <rPr>
            <b/>
            <sz val="9"/>
            <color rgb="FF000000"/>
            <rFont val="宋体"/>
            <family val="3"/>
            <charset val="134"/>
          </rPr>
          <t xml:space="preserve">
</t>
        </r>
        <r>
          <rPr>
            <sz val="9"/>
            <color rgb="FF000000"/>
            <rFont val="宋体"/>
            <family val="3"/>
            <charset val="134"/>
          </rPr>
          <t xml:space="preserve">
</t>
        </r>
      </text>
    </comment>
    <comment ref="AM5" authorId="0" shapeId="0" xr:uid="{00000000-0006-0000-0E00-000006000000}">
      <text>
        <r>
          <rPr>
            <sz val="10"/>
            <color rgb="FF000000"/>
            <rFont val="宋体"/>
            <family val="3"/>
            <charset val="134"/>
          </rPr>
          <t>取值范围：</t>
        </r>
        <r>
          <rPr>
            <sz val="10"/>
            <color rgb="FF000000"/>
            <rFont val="宋体"/>
            <family val="3"/>
            <charset val="134"/>
          </rPr>
          <t xml:space="preserve">
</t>
        </r>
        <r>
          <rPr>
            <sz val="10"/>
            <color rgb="FF000000"/>
            <rFont val="宋体"/>
            <family val="3"/>
            <charset val="134"/>
          </rPr>
          <t>1%-3%</t>
        </r>
        <r>
          <rPr>
            <sz val="9"/>
            <color rgb="FF000000"/>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<sst xmlns="http://schemas.openxmlformats.org/spreadsheetml/2006/main" count="8327" uniqueCount="3544">
  <si>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</si>
  <si>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</si>
  <si>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</si>
  <si>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</si>
  <si>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</si>
  <si>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</si>
  <si>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</si>
  <si>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</si>
  <si>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</si>
  <si>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</si>
  <si>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</si>
  <si>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</si>
  <si>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</si>
  <si>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</si>
  <si>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</si>
  <si>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</si>
  <si>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</si>
  <si>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</si>
  <si>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</si>
  <si>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</si>
  <si>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</si>
  <si>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</si>
  <si>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</si>
  <si>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</si>
  <si>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</si>
  <si>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</si>
  <si>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</si>
  <si>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</si>
  <si>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</si>
  <si>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</si>
  <si>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</si>
  <si>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</si>
  <si>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</si>
  <si>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</si>
  <si>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</si>
  <si>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</si>
  <si>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</si>
  <si>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</si>
  <si>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</si>
  <si>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</si>
  <si>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</si>
  <si>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</si>
  <si>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</si>
  <si>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</si>
  <si>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</si>
  <si>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</si>
  <si>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</si>
  <si>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</si>
  <si>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</si>
  <si>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</si>
  <si>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</si>
  <si>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</si>
  <si>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</si>
  <si>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</si>
  <si>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</si>
  <si>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</si>
  <si>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</si>
  <si>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</si>
  <si>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</si>
  <si>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</si>
  <si>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</si>
  <si>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</si>
  <si>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</si>
  <si>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</si>
  <si>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</si>
  <si>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</si>
  <si>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</si>
  <si>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</si>
  <si>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</si>
  <si>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</si>
  <si>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</si>
  <si>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</si>
  <si>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</si>
  <si>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</si>
  <si>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</si>
  <si>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</si>
  <si>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</si>
  <si>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</si>
  <si>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</si>
  <si>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</si>
  <si>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</si>
  <si>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</si>
  <si>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</si>
  <si>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</si>
  <si>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</si>
  <si>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</si>
  <si>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</si>
  <si>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</si>
  <si>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</si>
  <si>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</si>
  <si>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</si>
  <si>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</si>
  <si>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</si>
  <si>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</si>
  <si>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</si>
  <si>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</si>
  <si>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</si>
  <si>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</si>
  <si>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</si>
  <si>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</si>
  <si>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</si>
  <si>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</si>
  <si>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</si>
  <si>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</si>
  <si>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</si>
  <si>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</si>
  <si>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</si>
  <si>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</si>
  <si>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</si>
  <si>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</si>
  <si>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</si>
  <si>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</si>
  <si>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</si>
  <si>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</si>
  <si>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</si>
  <si>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</si>
  <si>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</si>
  <si>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</si>
  <si>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</si>
  <si>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</si>
  <si>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</si>
  <si>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</si>
  <si>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</si>
  <si>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</si>
  <si>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</si>
  <si>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</si>
  <si>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</si>
  <si>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</si>
  <si>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</si>
  <si>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</si>
  <si>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</si>
  <si>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</si>
  <si>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</si>
  <si>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</si>
  <si>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</si>
  <si>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</si>
  <si>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</si>
  <si>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</si>
  <si>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</si>
  <si>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</si>
  <si>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</si>
  <si>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</si>
  <si>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</si>
  <si>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</si>
  <si>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</si>
  <si>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</si>
  <si>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</si>
  <si>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</si>
  <si>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</si>
  <si>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</si>
  <si>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</si>
  <si>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</si>
  <si>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</si>
  <si>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</si>
  <si>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</si>
  <si>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</si>
  <si>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</si>
  <si>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</si>
  <si>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</si>
  <si>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</si>
  <si>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</si>
  <si>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</si>
  <si>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</si>
  <si>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</si>
  <si>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</si>
  <si>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</si>
  <si>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</si>
  <si>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</si>
  <si>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</si>
  <si>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</si>
  <si>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</si>
  <si>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</si>
  <si>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</si>
  <si>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</si>
  <si>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</si>
  <si>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</si>
  <si>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</si>
  <si>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</si>
  <si>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</si>
  <si>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</si>
  <si>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</si>
  <si>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</si>
  <si>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</si>
  <si>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</si>
  <si>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</si>
  <si>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</si>
  <si>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</si>
  <si>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</si>
  <si>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</si>
  <si>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</si>
  <si>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</si>
  <si>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</si>
  <si>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</si>
  <si>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</si>
  <si>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</si>
  <si>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</si>
  <si>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</si>
  <si>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</si>
  <si>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</si>
  <si>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</si>
  <si>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</si>
  <si>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</si>
  <si>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</si>
  <si>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</si>
  <si>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</si>
  <si>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</si>
  <si>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</si>
  <si>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</si>
  <si>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</si>
  <si>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</si>
  <si>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</si>
  <si>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</si>
  <si>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</si>
  <si>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</si>
  <si>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</si>
  <si>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</si>
  <si>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</si>
  <si>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</si>
  <si>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</si>
  <si>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</si>
  <si>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</si>
  <si>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</si>
  <si>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</si>
  <si>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</si>
  <si>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</si>
  <si>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</si>
  <si>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</si>
  <si>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</si>
  <si>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</si>
  <si>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</si>
  <si>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</si>
  <si>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</si>
  <si>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</si>
  <si>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</si>
  <si>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</si>
  <si>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</si>
  <si>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</si>
  <si>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</si>
  <si>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</si>
  <si>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</si>
  <si>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</si>
  <si>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</si>
  <si>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</si>
  <si>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</si>
  <si>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</si>
  <si>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</si>
  <si>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</si>
  <si>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</si>
  <si>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</si>
  <si>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</si>
  <si>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</si>
  <si>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</si>
  <si>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</si>
  <si>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</si>
  <si>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</si>
  <si>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</si>
  <si>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</si>
  <si>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</si>
  <si>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</si>
  <si>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</si>
  <si>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</si>
  <si>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</si>
  <si>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</si>
  <si>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</si>
  <si>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</si>
  <si>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</si>
  <si>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</si>
  <si>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</si>
  <si>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</si>
  <si>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</si>
  <si>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</si>
  <si>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</si>
  <si>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</si>
  <si>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</si>
  <si>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</si>
  <si>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</si>
  <si>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</si>
  <si>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</si>
  <si>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</si>
  <si>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</si>
  <si>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</si>
  <si>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</si>
  <si>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</si>
  <si>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</si>
  <si>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</si>
  <si>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</si>
  <si>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</si>
  <si>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</si>
  <si>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</si>
  <si>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</si>
  <si>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</si>
  <si>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</si>
  <si>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</si>
  <si>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</si>
  <si>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</si>
  <si>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</si>
  <si>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</si>
  <si>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</si>
  <si>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</si>
  <si>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</si>
  <si>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</si>
  <si>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</si>
  <si>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</si>
  <si>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</si>
  <si>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</si>
  <si>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</si>
  <si>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</si>
  <si>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</si>
  <si>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</si>
  <si>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</si>
  <si>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</si>
  <si>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</si>
  <si>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</si>
  <si>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</si>
  <si>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</si>
  <si>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</si>
  <si>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</si>
  <si>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</si>
  <si>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</si>
  <si>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</si>
  <si>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</si>
  <si>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</si>
  <si>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</si>
  <si>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</si>
  <si>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</si>
  <si>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</si>
  <si>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</si>
  <si>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</si>
  <si>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</si>
  <si>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</si>
  <si>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</si>
  <si>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</si>
  <si>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</si>
  <si>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</si>
  <si>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</si>
  <si>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</si>
  <si>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</si>
  <si>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</si>
  <si>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</si>
  <si>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</si>
  <si>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</si>
  <si>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</si>
  <si>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</si>
  <si>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</si>
  <si>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</si>
  <si>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</si>
  <si>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</si>
  <si>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</si>
  <si>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</si>
  <si>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</si>
  <si>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</si>
  <si>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</si>
  <si>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</si>
  <si>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</si>
  <si>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</si>
  <si>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</si>
  <si>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</si>
  <si>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</si>
  <si>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</si>
  <si>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</si>
  <si>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</si>
  <si>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</si>
  <si>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</si>
  <si>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</si>
  <si>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</si>
  <si>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</si>
  <si>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</si>
  <si>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</si>
  <si>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</si>
  <si>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</si>
  <si>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</si>
  <si>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</si>
  <si>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</si>
  <si>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</si>
  <si>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</si>
  <si>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</si>
  <si>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</si>
  <si>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</si>
  <si>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</si>
  <si>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</si>
  <si>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</si>
  <si>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</si>
  <si>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</si>
  <si>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</si>
  <si>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</si>
  <si>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</si>
  <si>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</si>
  <si>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</si>
  <si>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</si>
  <si>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</si>
  <si>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</si>
  <si>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</si>
  <si>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</si>
  <si>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</si>
  <si>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</si>
  <si>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</si>
  <si>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</si>
  <si>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</si>
  <si>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</si>
  <si>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</si>
  <si>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</si>
  <si>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</si>
  <si>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</si>
  <si>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</si>
  <si>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</si>
  <si>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</si>
  <si>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</si>
  <si>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</si>
  <si>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</si>
  <si>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</si>
  <si>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</si>
  <si>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</si>
  <si>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</si>
  <si>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</si>
  <si>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</si>
  <si>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</si>
  <si>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</si>
  <si>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</si>
  <si>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</si>
  <si>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</si>
  <si>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</si>
  <si>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</si>
  <si>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</si>
  <si>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</si>
  <si>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</si>
  <si>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</si>
  <si>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</si>
  <si>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</si>
  <si>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</si>
  <si>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</si>
  <si>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</si>
  <si>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</si>
  <si>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</si>
  <si>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</si>
  <si>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</si>
  <si>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</si>
  <si>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</si>
  <si>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</si>
  <si>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</si>
  <si>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</si>
  <si>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</si>
  <si>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</si>
  <si>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</si>
  <si>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</si>
  <si>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</si>
  <si>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</si>
  <si>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</si>
  <si>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</si>
  <si>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</si>
  <si>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</si>
  <si>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</si>
  <si>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</si>
  <si>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</si>
  <si>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</si>
  <si>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</si>
  <si>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</si>
  <si>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</si>
  <si>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</si>
  <si>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</si>
  <si>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</si>
  <si>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</si>
  <si>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</si>
  <si>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</si>
  <si>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</si>
  <si>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</si>
  <si>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</si>
  <si>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</si>
  <si>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</si>
  <si>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</si>
  <si>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</si>
  <si>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</si>
  <si>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</si>
  <si>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</si>
  <si>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</si>
  <si>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</si>
  <si>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</si>
  <si>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</si>
  <si>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</si>
  <si>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</si>
  <si>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</si>
  <si>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</si>
  <si>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</si>
  <si>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</si>
  <si>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</si>
  <si>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</si>
  <si>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</si>
  <si>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</si>
  <si>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</si>
  <si>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</si>
  <si>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</si>
  <si>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</si>
  <si>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</si>
  <si>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</si>
  <si>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</si>
  <si>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</si>
  <si>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</si>
  <si>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</si>
  <si>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</si>
  <si>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</si>
  <si>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</si>
  <si>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</si>
  <si>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</si>
  <si>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</si>
  <si>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</si>
  <si>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</si>
  <si>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</si>
  <si>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</si>
  <si>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</si>
  <si>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</si>
  <si>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</si>
  <si>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</si>
  <si>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</si>
  <si>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</si>
  <si>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</si>
  <si>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</si>
  <si>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</si>
  <si>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</si>
  <si>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</si>
  <si>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</si>
  <si>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</si>
  <si>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</si>
  <si>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</si>
  <si>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</si>
  <si>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</si>
  <si>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</si>
  <si>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</si>
  <si>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</si>
  <si>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</si>
  <si>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</si>
  <si>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</si>
  <si>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</si>
  <si>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</si>
  <si>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</si>
  <si>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</si>
  <si>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</si>
  <si>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</si>
  <si>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</si>
  <si>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</si>
  <si>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</si>
  <si>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</si>
  <si>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</si>
  <si>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</si>
  <si>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</si>
  <si>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</si>
  <si>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</si>
  <si>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</si>
  <si>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</si>
  <si>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</si>
  <si>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</si>
  <si>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</si>
  <si>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</si>
  <si>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</si>
  <si>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</si>
  <si>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</si>
  <si>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</si>
  <si>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</si>
  <si>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</si>
  <si>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</si>
  <si>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</si>
  <si>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</si>
  <si>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</si>
  <si>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</si>
  <si>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</si>
  <si>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</si>
  <si>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</si>
  <si>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</si>
  <si>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</si>
  <si>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</si>
  <si>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</si>
  <si>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</si>
  <si>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</si>
  <si>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</si>
  <si>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</si>
  <si>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</si>
  <si>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</si>
  <si>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</si>
  <si>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</si>
  <si>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</si>
  <si>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</si>
  <si>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</si>
  <si>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</si>
  <si>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</si>
  <si>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</si>
  <si>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</si>
  <si>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</si>
  <si>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</si>
  <si>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</si>
  <si>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</si>
  <si>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</si>
  <si>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</si>
  <si>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</si>
  <si>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</si>
  <si>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</si>
  <si>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</si>
  <si>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</si>
  <si>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</si>
  <si>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</si>
  <si>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</si>
  <si>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</si>
  <si>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</si>
  <si>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</si>
  <si>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</si>
  <si>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</si>
  <si>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</si>
  <si>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</si>
  <si>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</si>
  <si>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</si>
  <si>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</si>
  <si>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</si>
  <si>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</si>
  <si>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</si>
  <si>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</si>
  <si>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</si>
  <si>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</si>
  <si>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</si>
  <si>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</si>
  <si>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</si>
  <si>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</si>
  <si>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</si>
  <si>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</si>
  <si>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</si>
  <si>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</si>
  <si>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</si>
  <si>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</si>
  <si>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</si>
  <si>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</si>
  <si>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</si>
  <si>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</si>
  <si>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</si>
  <si>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</si>
  <si>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</si>
  <si>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</si>
  <si>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</si>
  <si>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</si>
  <si>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</si>
  <si>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</si>
  <si>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</si>
  <si>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</si>
  <si>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</si>
  <si>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</si>
  <si>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</si>
  <si>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</si>
  <si>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</si>
  <si>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</si>
  <si>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</si>
  <si>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</si>
  <si>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</si>
  <si>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</si>
  <si>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</si>
  <si>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</si>
  <si>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</si>
  <si>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</si>
  <si>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</si>
  <si>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</si>
  <si>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</si>
  <si>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</si>
  <si>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</si>
  <si>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</si>
  <si>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</si>
  <si>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</si>
  <si>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</si>
  <si>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</si>
  <si>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</si>
  <si>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</si>
  <si>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</si>
  <si>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</si>
  <si>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</si>
  <si>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</si>
  <si>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</si>
  <si>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</si>
  <si>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</si>
  <si>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</si>
  <si>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</si>
  <si>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</si>
  <si>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</si>
  <si>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</si>
  <si>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</si>
  <si>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</si>
  <si>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</si>
  <si>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</si>
  <si>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</si>
  <si>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</si>
  <si>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</si>
  <si>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</si>
  <si>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</si>
  <si>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</si>
  <si>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</si>
  <si>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</si>
  <si>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</si>
  <si>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</si>
  <si>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</si>
  <si>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</si>
  <si>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</si>
  <si>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</si>
  <si>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</si>
  <si>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</si>
  <si>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</si>
  <si>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</si>
  <si>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</si>
  <si>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</si>
  <si>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</si>
  <si>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</si>
  <si>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</si>
  <si>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</si>
  <si>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</si>
  <si>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</si>
  <si>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</si>
  <si>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</si>
  <si>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</si>
  <si>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</si>
  <si>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</si>
  <si>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</si>
  <si>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</si>
  <si>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</si>
  <si>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</si>
  <si>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</si>
  <si>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</si>
  <si>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</si>
  <si>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</si>
  <si>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</si>
  <si>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</si>
  <si>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</si>
  <si>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</si>
  <si>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</si>
  <si>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</si>
  <si>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</si>
  <si>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</si>
  <si>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</si>
  <si>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</si>
  <si>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</si>
  <si>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</si>
  <si>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</si>
  <si>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</si>
  <si>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</si>
  <si>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</si>
  <si>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</si>
  <si>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</si>
  <si>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</si>
  <si>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</si>
  <si>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</si>
  <si>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</si>
  <si>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</si>
  <si>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</si>
  <si>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</si>
  <si>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</si>
  <si>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</si>
  <si>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</si>
  <si>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</si>
  <si>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</si>
  <si>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</si>
  <si>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</si>
  <si>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</si>
  <si>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</si>
  <si>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</si>
  <si>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</si>
  <si>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</si>
  <si>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</si>
  <si>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</si>
  <si>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</si>
  <si>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</si>
  <si>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</si>
  <si>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</si>
  <si>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</si>
  <si>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</si>
  <si>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</si>
  <si>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</si>
  <si>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</si>
  <si>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</si>
  <si>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</si>
  <si>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</si>
  <si>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</si>
  <si>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</si>
  <si>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</si>
  <si>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</si>
  <si>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</si>
  <si>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</si>
  <si>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</si>
  <si>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</si>
  <si>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</si>
  <si>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</si>
  <si>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</si>
  <si>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</si>
  <si>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</si>
  <si>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</si>
  <si>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</si>
  <si>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</si>
  <si>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</si>
  <si>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</si>
  <si>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</si>
  <si>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</si>
  <si>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</si>
  <si>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</si>
  <si>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</si>
  <si>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</si>
  <si>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</si>
  <si>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</si>
  <si>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</si>
  <si>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</si>
  <si>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</si>
  <si>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</si>
  <si>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</si>
  <si>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</si>
  <si>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</si>
  <si>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</si>
  <si>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</si>
  <si>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</si>
  <si>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</si>
  <si>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</si>
  <si>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</si>
  <si>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</si>
  <si>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</si>
  <si>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</si>
  <si>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</si>
  <si>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</si>
  <si>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</si>
  <si>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</si>
  <si>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</si>
  <si>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</si>
  <si>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</si>
  <si>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</si>
  <si>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</si>
  <si>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</si>
  <si>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</si>
  <si>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</si>
  <si>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</si>
  <si>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</si>
  <si>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</si>
  <si>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</si>
  <si>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</si>
  <si>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</si>
  <si>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</si>
  <si>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</si>
  <si>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</si>
  <si>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</si>
  <si>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</si>
  <si>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</si>
  <si>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</si>
  <si>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</si>
  <si>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</si>
  <si>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</si>
  <si>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</si>
  <si>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</si>
  <si>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</si>
  <si>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</si>
  <si>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</si>
  <si>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</si>
  <si>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</si>
  <si>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</si>
  <si>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</si>
  <si>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</si>
  <si>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</si>
  <si>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</si>
  <si>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</si>
  <si>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</si>
  <si>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</si>
  <si>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</si>
  <si>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</si>
  <si>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</si>
  <si>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</si>
  <si>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</si>
  <si>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</si>
  <si>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</si>
  <si>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</si>
  <si>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</si>
  <si>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</si>
  <si>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</si>
  <si>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</si>
  <si>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</si>
  <si>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</si>
  <si>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</si>
  <si>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</si>
  <si>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</si>
  <si>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</si>
  <si>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</si>
  <si>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</si>
  <si>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</si>
  <si>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</si>
  <si>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</si>
  <si>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</si>
  <si>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</si>
  <si>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</si>
  <si>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</si>
  <si>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</si>
  <si>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</si>
  <si>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</si>
  <si>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</si>
  <si>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</si>
  <si>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</si>
  <si>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</si>
  <si>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</si>
  <si>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</si>
  <si>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</si>
  <si>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</si>
  <si>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</si>
  <si>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</si>
  <si>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</si>
  <si>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</si>
  <si>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</si>
  <si>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</si>
  <si>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</si>
  <si>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</si>
  <si>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</si>
  <si>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</si>
  <si>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</si>
  <si>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</si>
  <si>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</si>
  <si>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</si>
  <si>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</si>
  <si>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</si>
  <si>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</si>
  <si>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</si>
  <si>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</si>
  <si>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</si>
  <si>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</si>
  <si>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</si>
  <si>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</si>
  <si>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</si>
  <si>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</si>
  <si>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</si>
  <si>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</si>
  <si>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</si>
  <si>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</si>
  <si>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</si>
  <si>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</si>
  <si>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</si>
  <si>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</si>
  <si>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</si>
  <si>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</si>
  <si>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</si>
  <si>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</si>
  <si>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</si>
  <si>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</si>
  <si>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</si>
  <si>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</si>
  <si>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</si>
  <si>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</si>
  <si>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</si>
  <si>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</si>
  <si>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</si>
  <si>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</si>
  <si>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</si>
  <si>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</si>
  <si>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</si>
  <si>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</si>
  <si>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</si>
  <si>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</si>
  <si>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</si>
  <si>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</si>
  <si>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</si>
  <si>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</si>
  <si>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</si>
  <si>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</si>
  <si>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</si>
  <si>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</si>
  <si>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</si>
  <si>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</si>
  <si>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</si>
  <si>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</si>
  <si>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</si>
  <si>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</si>
  <si>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</si>
  <si>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</si>
  <si>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</si>
  <si>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</si>
  <si>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</si>
  <si>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</si>
  <si>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</si>
  <si>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</si>
  <si>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</si>
  <si>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</si>
  <si>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</si>
  <si>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</si>
  <si>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</si>
  <si>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</si>
  <si>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</si>
  <si>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</si>
  <si>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</si>
  <si>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</si>
  <si>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</si>
  <si>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</si>
  <si>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</si>
  <si>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</si>
  <si>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</si>
  <si>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</si>
  <si>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</si>
  <si>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</si>
  <si>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</si>
  <si>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</si>
  <si>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</si>
  <si>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</si>
  <si>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</si>
  <si>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</si>
  <si>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</si>
  <si>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</si>
  <si>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</si>
  <si>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</si>
  <si>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</si>
  <si>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</si>
  <si>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</si>
  <si>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</si>
  <si>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</si>
  <si>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</si>
  <si>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</si>
  <si>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</si>
  <si>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</si>
  <si>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</si>
  <si>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</si>
  <si>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</si>
  <si>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</si>
  <si>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</si>
  <si>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</si>
  <si>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</si>
  <si>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</si>
  <si>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</si>
  <si>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</si>
  <si>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</si>
  <si>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</si>
  <si>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</si>
  <si>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</si>
  <si>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</si>
  <si>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</si>
  <si>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</si>
  <si>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</si>
  <si>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</si>
  <si>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</si>
  <si>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</si>
  <si>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</si>
  <si>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</si>
  <si>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</si>
  <si>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</si>
  <si>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</si>
  <si>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</si>
  <si>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</si>
  <si>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</si>
  <si>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</si>
  <si>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</si>
  <si>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</si>
  <si>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</si>
  <si>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</si>
  <si>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</si>
  <si>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</si>
  <si>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</si>
  <si>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</si>
  <si>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</si>
  <si>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</si>
  <si>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</si>
  <si>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</si>
  <si>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</si>
  <si>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</si>
  <si>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</si>
  <si>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</si>
  <si>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</si>
  <si>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</si>
  <si>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</si>
  <si>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</si>
  <si>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</si>
  <si>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</si>
  <si>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</si>
  <si>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</si>
  <si>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</si>
  <si>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</si>
  <si>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</si>
  <si>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</si>
  <si>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</si>
  <si>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</si>
  <si>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</si>
  <si>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</si>
  <si>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</si>
  <si>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</si>
  <si>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</si>
  <si>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</si>
  <si>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</si>
  <si>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</si>
  <si>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</si>
  <si>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</si>
  <si>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</si>
  <si>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</si>
  <si>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</si>
  <si>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</si>
  <si>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</si>
  <si>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</si>
  <si>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</si>
  <si>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</si>
  <si>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</si>
  <si>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</si>
  <si>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</si>
  <si>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</si>
  <si>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</si>
  <si>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</si>
  <si>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</si>
  <si>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</si>
  <si>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</si>
  <si>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</si>
  <si>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</si>
  <si>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</si>
  <si>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</si>
  <si>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</si>
  <si>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</si>
  <si>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</si>
  <si>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</si>
  <si>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</si>
  <si>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</si>
  <si>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</si>
  <si>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</si>
  <si>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</si>
  <si>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</si>
  <si>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</si>
  <si>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</si>
  <si>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</si>
  <si>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</si>
  <si>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</si>
  <si>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</si>
  <si>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</si>
  <si>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</si>
  <si>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</si>
  <si>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</si>
  <si>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</si>
  <si>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</si>
  <si>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</si>
  <si>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</si>
  <si>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</si>
  <si>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</si>
  <si>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</si>
  <si>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</si>
  <si>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</si>
  <si>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</si>
  <si>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</si>
  <si>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</si>
  <si>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</si>
  <si>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</si>
  <si>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</si>
  <si>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</si>
  <si>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</si>
  <si>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</si>
  <si>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</si>
  <si>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</si>
  <si>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</si>
  <si>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</si>
  <si>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</si>
  <si>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</si>
  <si>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</si>
  <si>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</si>
  <si>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</si>
  <si>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</si>
  <si>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</si>
  <si>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</si>
  <si>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</si>
  <si>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</si>
  <si>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</si>
  <si>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</si>
  <si>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</si>
  <si>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</si>
  <si>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</si>
  <si>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</si>
  <si>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</si>
  <si>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</si>
  <si>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</si>
  <si>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</si>
  <si>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</si>
  <si>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</si>
  <si>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</si>
  <si>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</si>
  <si>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</si>
  <si>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</si>
  <si>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</si>
  <si>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</si>
  <si>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</si>
  <si>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</si>
  <si>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</si>
  <si>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</si>
  <si>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</si>
  <si>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</si>
  <si>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</si>
  <si>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</si>
  <si>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</si>
  <si>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</si>
  <si>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</si>
  <si>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</si>
  <si>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</si>
  <si>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</si>
  <si>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</si>
  <si>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</si>
  <si>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</si>
  <si>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</si>
  <si>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</si>
  <si>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</si>
  <si>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</si>
  <si>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</si>
  <si>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</si>
  <si>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</si>
  <si>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</si>
  <si>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</si>
  <si>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</si>
  <si>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</si>
  <si>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</si>
  <si>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</si>
  <si>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</si>
  <si>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</si>
  <si>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</si>
  <si>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</si>
  <si>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</si>
  <si>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</si>
  <si>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</si>
  <si>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</si>
  <si>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</si>
  <si>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</si>
  <si>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</si>
  <si>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</si>
  <si>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</si>
  <si>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</si>
  <si>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</si>
  <si>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</si>
  <si>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</si>
  <si>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</si>
  <si>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</si>
  <si>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</si>
  <si>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</si>
  <si>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</si>
  <si>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</si>
  <si>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</si>
  <si>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</si>
  <si>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</si>
  <si>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</si>
  <si>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</si>
  <si>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</si>
  <si>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</si>
  <si>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</si>
  <si>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</si>
  <si>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</si>
  <si>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</si>
  <si>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</si>
  <si>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</si>
  <si>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</si>
  <si>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</si>
  <si>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</si>
  <si>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</si>
  <si>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</si>
  <si>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</si>
  <si>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</si>
  <si>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</si>
  <si>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</si>
  <si>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</si>
  <si>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</si>
  <si>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</si>
  <si>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</si>
  <si>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</si>
  <si>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</si>
  <si>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</si>
  <si>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</si>
  <si>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</si>
  <si>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</si>
  <si>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</si>
  <si>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</si>
  <si>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</si>
  <si>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</si>
  <si>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</si>
  <si>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</si>
  <si>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</si>
  <si>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</si>
  <si>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</si>
  <si>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</si>
  <si>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</si>
  <si>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</si>
  <si>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</si>
  <si>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</si>
  <si>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</si>
  <si>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</si>
  <si>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</si>
  <si>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</si>
  <si>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</si>
  <si>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</si>
  <si>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</si>
  <si>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</si>
  <si>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</si>
  <si>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</si>
  <si>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</si>
  <si>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</si>
  <si>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</si>
  <si>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</si>
  <si>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</si>
  <si>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</si>
  <si>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</si>
  <si>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</si>
  <si>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</si>
  <si>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</si>
  <si>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</si>
  <si>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</si>
  <si>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</si>
  <si>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</si>
  <si>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</si>
  <si>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</si>
  <si>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</si>
  <si>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</si>
  <si>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</si>
  <si>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</si>
  <si>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</si>
  <si>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</si>
  <si>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</si>
  <si>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</si>
  <si>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</si>
  <si>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</si>
  <si>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</si>
  <si>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</si>
  <si>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</si>
  <si>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</si>
  <si>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</si>
  <si>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</si>
  <si>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</si>
  <si>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</si>
  <si>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</si>
  <si>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</si>
  <si>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</si>
  <si>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</si>
  <si>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</si>
  <si>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</si>
  <si>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</si>
  <si>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</si>
  <si>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</si>
  <si>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</si>
  <si>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</si>
  <si>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</si>
  <si>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</si>
  <si>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</si>
  <si>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</si>
  <si>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</si>
  <si>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</si>
  <si>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</si>
  <si>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</si>
  <si>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</si>
  <si>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</si>
  <si>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</si>
  <si>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</si>
  <si>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</si>
  <si>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</si>
  <si>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</si>
  <si>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</si>
  <si>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</si>
  <si>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</si>
  <si>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</si>
  <si>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</si>
  <si>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</si>
  <si>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</si>
  <si>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</si>
  <si>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</si>
  <si>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</si>
  <si>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</si>
  <si>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</si>
  <si>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</si>
  <si>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</si>
  <si>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</si>
  <si>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</si>
  <si>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</si>
  <si>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</si>
  <si>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</si>
  <si>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</si>
  <si>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</si>
  <si>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</si>
  <si>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</si>
  <si>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</si>
  <si>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</si>
  <si>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</si>
  <si>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</si>
  <si>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</si>
  <si>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</si>
  <si>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</si>
  <si>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</si>
  <si>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</si>
  <si>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</si>
  <si>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</si>
  <si>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</si>
  <si>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</si>
  <si>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</si>
  <si>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</si>
  <si>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</si>
  <si>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</si>
  <si>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</si>
  <si>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</si>
  <si>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</si>
  <si>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</si>
  <si>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</si>
  <si>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</si>
  <si>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</si>
  <si>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</si>
  <si>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</si>
  <si>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</si>
  <si>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</si>
  <si>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</si>
  <si>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</si>
  <si>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</si>
  <si>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</si>
  <si>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</si>
  <si>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</si>
  <si>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</si>
  <si>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</si>
  <si>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</si>
  <si>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</si>
  <si>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</si>
  <si>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</si>
  <si>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</si>
  <si>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</si>
  <si>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</si>
  <si>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</si>
  <si>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</si>
  <si>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</si>
  <si>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</si>
  <si>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</si>
  <si>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</si>
  <si>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</si>
  <si>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</si>
  <si>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</si>
  <si>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</si>
  <si>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</si>
  <si>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</si>
  <si>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</si>
  <si>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</si>
  <si>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</si>
  <si>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</si>
  <si>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</si>
  <si>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</si>
  <si>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</si>
  <si>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</si>
  <si>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</si>
  <si>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</si>
  <si>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</si>
  <si>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</si>
  <si>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</si>
  <si>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</si>
  <si>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</si>
  <si>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</si>
  <si>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</si>
  <si>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</si>
  <si>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</si>
  <si>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</si>
  <si>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</si>
  <si>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</si>
  <si>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</si>
  <si>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</si>
  <si>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</si>
  <si>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</si>
  <si>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</si>
  <si>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</si>
  <si>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</si>
  <si>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</si>
  <si>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</si>
  <si>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</si>
  <si>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</si>
  <si>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</si>
  <si>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</si>
  <si>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</si>
  <si>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</si>
  <si>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</si>
  <si>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</si>
  <si>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</si>
  <si>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</si>
  <si>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</si>
  <si>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</si>
  <si>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</si>
  <si>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</si>
  <si>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</si>
  <si>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</si>
  <si>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</si>
  <si>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</si>
  <si>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</si>
  <si>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</si>
  <si>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</si>
  <si>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</si>
  <si>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</si>
  <si>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</si>
  <si>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</si>
  <si>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</si>
  <si>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</si>
  <si>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</si>
  <si>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</si>
  <si>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</si>
  <si>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</si>
  <si>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</si>
  <si>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</si>
  <si>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</si>
  <si>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</si>
  <si>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</si>
  <si>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</si>
  <si>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</si>
  <si>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</si>
  <si>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</si>
  <si>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</si>
  <si>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</si>
  <si>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</si>
  <si>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</si>
  <si>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</si>
  <si>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</si>
  <si>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</si>
  <si>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</si>
  <si>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</si>
  <si>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</si>
  <si>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</si>
  <si>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</si>
  <si>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</si>
  <si>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</si>
  <si>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</si>
  <si>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</si>
  <si>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</si>
  <si>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</si>
  <si>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</si>
  <si>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</si>
  <si>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</si>
  <si>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</si>
  <si>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</si>
  <si>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</si>
  <si>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</si>
  <si>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</si>
  <si>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</si>
  <si>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</si>
  <si>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</si>
  <si>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</si>
  <si>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</si>
  <si>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</si>
  <si>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</si>
  <si>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</si>
  <si>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</si>
  <si>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</si>
  <si>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</si>
  <si>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</si>
  <si>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</si>
  <si>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</si>
  <si>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</si>
  <si>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</si>
  <si>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</si>
  <si>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</si>
  <si>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</si>
  <si>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</si>
  <si>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</si>
  <si>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</si>
  <si>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</si>
  <si>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</si>
  <si>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</si>
  <si>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</si>
  <si>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</si>
  <si>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</si>
  <si>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</si>
  <si>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</si>
  <si>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</si>
  <si>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</si>
  <si>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</si>
  <si>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</si>
  <si>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</si>
  <si>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</si>
  <si>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</si>
  <si>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</si>
  <si>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</si>
  <si>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</si>
  <si>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</si>
  <si>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</si>
  <si>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</si>
  <si>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</si>
  <si>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</si>
  <si>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</si>
  <si>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</si>
  <si>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</si>
  <si>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</si>
  <si>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</si>
  <si>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</si>
  <si>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</si>
  <si>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</si>
  <si>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</si>
  <si>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</si>
  <si>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</si>
  <si>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</si>
  <si>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</si>
  <si>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</si>
  <si>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</si>
  <si>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</si>
  <si>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</si>
  <si>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</si>
  <si>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</si>
  <si>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</si>
  <si>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</si>
  <si>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</si>
  <si>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</si>
  <si>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</si>
  <si>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</si>
  <si>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</si>
  <si>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</si>
  <si>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</si>
  <si>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</si>
  <si>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</si>
  <si>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</si>
  <si>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</si>
  <si>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</si>
  <si>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</si>
  <si>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</si>
  <si>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</si>
  <si>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</si>
  <si>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</si>
  <si>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</si>
  <si>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</si>
  <si>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</si>
  <si>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</si>
  <si>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</si>
  <si>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</si>
  <si>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</si>
  <si>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</si>
  <si>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</si>
  <si>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</si>
  <si>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</si>
  <si>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</si>
  <si>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</si>
  <si>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</si>
  <si>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</si>
  <si>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</si>
  <si>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</si>
  <si>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</si>
  <si>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</si>
  <si>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</si>
  <si>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</si>
  <si>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</si>
  <si>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</si>
  <si>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</si>
  <si>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</si>
  <si>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</si>
  <si>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</si>
  <si>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</si>
  <si>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</si>
  <si>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</si>
  <si>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</si>
  <si>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</si>
  <si>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</si>
  <si>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</si>
  <si>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</si>
  <si>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</si>
  <si>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</si>
  <si>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</si>
  <si>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</si>
  <si>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</si>
  <si>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</si>
  <si>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</si>
  <si>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</si>
  <si>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</si>
  <si>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</si>
  <si>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</si>
  <si>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</si>
  <si>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</si>
  <si>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</si>
  <si>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</si>
  <si>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</si>
  <si>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</si>
  <si>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</si>
  <si>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</si>
  <si>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</si>
  <si>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</si>
  <si>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</si>
  <si>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</si>
  <si>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</si>
  <si>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</si>
  <si>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</si>
  <si>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</si>
  <si>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</si>
  <si>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</si>
  <si>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</si>
  <si>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</si>
  <si>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</si>
  <si>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</si>
  <si>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</si>
  <si>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</si>
  <si>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</si>
  <si>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</si>
  <si>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</si>
  <si>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</si>
  <si>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</si>
  <si>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</si>
  <si>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</si>
  <si>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</si>
  <si>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</si>
  <si>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</si>
  <si>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</si>
  <si>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</si>
  <si>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</si>
  <si>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</si>
  <si>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</si>
  <si>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</si>
  <si>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</si>
  <si>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</si>
  <si>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</si>
  <si>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</si>
  <si>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</si>
  <si>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</si>
  <si>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</si>
  <si>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</si>
  <si>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</si>
  <si>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</si>
  <si>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</si>
  <si>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</si>
  <si>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</si>
  <si>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</si>
  <si>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</si>
  <si>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</si>
  <si>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</si>
  <si>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</si>
  <si>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</si>
  <si>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</si>
  <si>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</si>
  <si>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</si>
  <si>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</si>
  <si>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</si>
  <si>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</si>
  <si>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</si>
  <si>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</si>
  <si>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</si>
  <si>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</si>
  <si>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</si>
  <si>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</si>
  <si>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</si>
  <si>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</si>
  <si>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</si>
  <si>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</si>
  <si>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</si>
  <si>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</si>
  <si>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</si>
  <si>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</si>
  <si>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</si>
  <si>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</si>
  <si>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</si>
  <si>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</si>
  <si>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</si>
  <si>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</si>
  <si>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</si>
  <si>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</si>
  <si>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</si>
  <si>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</si>
  <si>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</si>
  <si>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</si>
  <si>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</si>
  <si>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</si>
  <si>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</si>
  <si>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</si>
  <si>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</si>
  <si>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</si>
  <si>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</si>
  <si>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</si>
  <si>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</si>
  <si>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</si>
  <si>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</si>
  <si>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</si>
  <si>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</si>
  <si>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</si>
  <si>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</si>
  <si>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</si>
  <si>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</si>
  <si>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</si>
  <si>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</si>
  <si>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</si>
  <si>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</si>
  <si>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</si>
  <si>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</si>
  <si>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</si>
  <si>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</si>
  <si>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</si>
  <si>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</si>
  <si>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</si>
  <si>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</si>
  <si>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</si>
  <si>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</si>
  <si>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</si>
  <si>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</si>
  <si>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</si>
  <si>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</si>
  <si>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</si>
  <si>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</si>
  <si>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</si>
  <si>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</si>
  <si>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</si>
  <si>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</si>
  <si>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</si>
  <si>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</si>
  <si>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</si>
  <si>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</si>
  <si>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</si>
  <si>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</si>
  <si>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</si>
  <si>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</si>
  <si>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</si>
  <si>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</si>
  <si>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</si>
  <si>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</si>
  <si>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</si>
  <si>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</si>
  <si>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</si>
  <si>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</si>
  <si>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</si>
  <si>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</si>
  <si>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</si>
  <si>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</si>
  <si>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</si>
  <si>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</si>
  <si>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</si>
  <si>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</si>
  <si>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</si>
  <si>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</si>
  <si>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</si>
  <si>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</si>
  <si>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</si>
  <si>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</si>
  <si>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</si>
  <si>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</si>
  <si>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</si>
  <si>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</si>
  <si>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</si>
  <si>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</si>
  <si>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</si>
  <si>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</si>
  <si>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</si>
  <si>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</si>
  <si>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</si>
  <si>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</si>
  <si>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</si>
  <si>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</si>
  <si>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</si>
  <si>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</si>
  <si>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</si>
  <si>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</si>
  <si>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</si>
  <si>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</si>
  <si>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</si>
  <si>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</si>
  <si>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</si>
  <si>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</si>
  <si>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</si>
  <si>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</si>
  <si>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</si>
  <si>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</si>
  <si>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</si>
  <si>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</si>
  <si>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</si>
  <si>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</si>
  <si>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</si>
  <si>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</si>
  <si>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</si>
  <si>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</si>
  <si>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</si>
  <si>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</si>
  <si>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</si>
  <si>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</si>
  <si>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</si>
  <si>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</si>
  <si>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</si>
  <si>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</si>
  <si>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</si>
  <si>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</si>
  <si>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</si>
  <si>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</si>
  <si>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</si>
  <si>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</si>
  <si>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</si>
  <si>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</si>
  <si>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</si>
  <si>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</si>
  <si>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</si>
  <si>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</si>
  <si>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</si>
  <si>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</si>
  <si>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</si>
  <si>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</si>
  <si>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</si>
  <si>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</si>
  <si>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</si>
  <si>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</si>
  <si>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</si>
  <si>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</si>
  <si>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</si>
  <si>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</si>
  <si>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</si>
  <si>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</si>
  <si>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</si>
  <si>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</si>
  <si>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</si>
  <si>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</si>
  <si>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</si>
  <si>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</si>
  <si>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</si>
  <si>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</si>
  <si>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</si>
  <si>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</si>
  <si>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</si>
  <si>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</si>
  <si>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</si>
  <si>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</si>
  <si>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</si>
  <si>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</si>
  <si>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</si>
  <si>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</si>
  <si>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</si>
  <si>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</si>
  <si>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</si>
  <si>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</si>
  <si>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</si>
  <si>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</si>
  <si>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</si>
  <si>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</si>
  <si>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</si>
  <si>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</si>
  <si>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</si>
  <si>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</si>
  <si>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</si>
  <si>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</si>
  <si>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</si>
  <si>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</si>
  <si>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</si>
  <si>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</si>
  <si>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</si>
  <si>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</si>
  <si>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</si>
  <si>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</si>
  <si>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</si>
  <si>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</si>
  <si>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</si>
  <si>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</si>
  <si>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</si>
  <si>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</si>
  <si>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</si>
  <si>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</si>
  <si>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</si>
  <si>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</si>
  <si>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</si>
  <si>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</si>
  <si>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</si>
  <si>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</si>
  <si>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</si>
  <si>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</si>
  <si>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</si>
  <si>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</si>
  <si>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</si>
  <si>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</si>
  <si>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</si>
  <si>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</si>
  <si>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</si>
  <si>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</si>
  <si>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</si>
  <si>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</si>
  <si>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</si>
  <si>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</si>
  <si>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</si>
  <si>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</si>
  <si>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</si>
  <si>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</si>
  <si>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</si>
  <si>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</si>
  <si>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</si>
  <si>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</si>
  <si>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</si>
  <si>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</si>
  <si>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</si>
  <si>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</si>
  <si>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</si>
  <si>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</si>
  <si>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</si>
  <si>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</si>
  <si>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</si>
  <si>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</si>
  <si>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</si>
  <si>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</si>
  <si>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</si>
  <si>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</si>
  <si>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</si>
  <si>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</si>
  <si>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</si>
  <si>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</si>
  <si>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</si>
  <si>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</si>
  <si>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</si>
  <si>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</si>
  <si>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</si>
  <si>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</si>
  <si>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</si>
  <si>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</si>
  <si>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</si>
  <si>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</si>
  <si>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</si>
  <si>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</si>
  <si>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</si>
  <si>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</si>
  <si>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</si>
  <si>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</si>
  <si>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</si>
  <si>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</si>
  <si>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</si>
  <si>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</si>
  <si>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</si>
  <si>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</si>
  <si>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</si>
  <si>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</si>
  <si>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</si>
  <si>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</si>
  <si>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</si>
  <si>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</si>
  <si>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</si>
  <si>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</si>
  <si>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</si>
  <si>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</si>
  <si>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</si>
  <si>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</si>
  <si>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</si>
  <si>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</si>
  <si>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</si>
  <si>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</si>
  <si>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</si>
  <si>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</si>
  <si>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</si>
  <si>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</si>
  <si>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</si>
  <si>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</si>
  <si>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</si>
  <si>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</si>
  <si>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</si>
  <si>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</si>
  <si>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</si>
  <si>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</si>
  <si>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</si>
  <si>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</si>
  <si>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</si>
  <si>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</si>
  <si>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</si>
  <si>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</si>
  <si>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</si>
  <si>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</si>
  <si>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</si>
  <si>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</si>
  <si>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</si>
  <si>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</si>
  <si>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</si>
  <si>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</si>
  <si>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</si>
  <si>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</si>
  <si>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</si>
  <si>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</si>
  <si>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</si>
  <si>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</si>
  <si>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</si>
  <si>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</si>
  <si>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</si>
  <si>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</si>
  <si>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</si>
  <si>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</si>
  <si>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</si>
  <si>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</si>
  <si>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</si>
  <si>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</si>
  <si>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</si>
  <si>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</si>
  <si>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</si>
  <si>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</si>
  <si>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</si>
  <si>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</si>
  <si>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</si>
  <si>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</si>
  <si>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</si>
  <si>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</si>
  <si>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</si>
  <si>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</si>
  <si>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</si>
  <si>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</si>
  <si>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</si>
  <si>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</si>
  <si>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</si>
  <si>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</si>
  <si>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</si>
  <si>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</si>
  <si>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</si>
  <si>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</si>
  <si>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</si>
  <si>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</si>
  <si>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</si>
  <si>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</si>
  <si>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</si>
  <si>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</si>
  <si>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</si>
  <si>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</si>
  <si>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</si>
  <si>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</si>
  <si>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</si>
  <si>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</si>
  <si>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</si>
  <si>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</si>
  <si>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</si>
  <si>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</si>
  <si>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</si>
  <si>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</si>
  <si>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</si>
  <si>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</si>
  <si>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</si>
  <si>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</si>
  <si>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</si>
  <si>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</si>
  <si>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</si>
  <si>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</si>
  <si>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</si>
  <si>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</si>
  <si>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</si>
  <si>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</si>
  <si>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</si>
  <si>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</si>
  <si>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</si>
  <si>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</si>
  <si>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</si>
  <si>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</si>
  <si>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</si>
  <si>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</si>
  <si>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</si>
  <si>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</si>
  <si>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</si>
  <si>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</si>
  <si>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</si>
  <si>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</si>
  <si>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</si>
  <si>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</si>
  <si>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</si>
  <si>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</si>
  <si>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</si>
  <si>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</si>
  <si>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</si>
  <si>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</si>
  <si>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</si>
  <si>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</si>
  <si>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</si>
  <si>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</si>
  <si>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</si>
  <si>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</si>
  <si>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</si>
  <si>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</si>
  <si>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</si>
  <si>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</si>
  <si>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</si>
  <si>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</si>
  <si>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</si>
  <si>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</si>
  <si>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</si>
  <si>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</si>
  <si>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</si>
  <si>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</si>
  <si>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</si>
  <si>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</si>
  <si>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</si>
  <si>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</si>
  <si>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</si>
  <si>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</si>
  <si>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</si>
  <si>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</si>
  <si>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</si>
  <si>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</si>
  <si>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</si>
  <si>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</si>
  <si>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</si>
  <si>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</si>
  <si>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</si>
  <si>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</si>
  <si>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</si>
  <si>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</si>
  <si>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</si>
  <si>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</si>
  <si>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</si>
  <si>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</si>
  <si>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</si>
  <si>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</si>
  <si>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</si>
  <si>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</si>
  <si>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</si>
  <si>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</si>
  <si>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</si>
  <si>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</si>
  <si>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</si>
  <si>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</si>
  <si>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</si>
  <si>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</si>
  <si>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</si>
  <si>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</si>
  <si>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</si>
  <si>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</si>
  <si>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</si>
  <si>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</si>
  <si>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</si>
  <si>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</si>
  <si>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</si>
  <si>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</si>
  <si>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</si>
  <si>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</si>
  <si>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</si>
  <si>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</si>
  <si>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</si>
  <si>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</si>
  <si>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</si>
  <si>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</si>
  <si>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</si>
  <si>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</si>
  <si>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</si>
  <si>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</si>
  <si>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</si>
  <si>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</si>
  <si>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</si>
  <si>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</si>
  <si>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</si>
  <si>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</si>
  <si>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</si>
  <si>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</si>
  <si>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</si>
  <si>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</si>
  <si>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</si>
  <si>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</si>
  <si>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</si>
  <si>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</si>
  <si>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</si>
  <si>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</si>
  <si>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</si>
  <si>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</si>
  <si>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</si>
  <si>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</si>
  <si>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</si>
  <si>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</si>
  <si>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</si>
  <si>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</si>
  <si>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</si>
  <si>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</si>
  <si>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</si>
  <si>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</si>
  <si>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</si>
  <si>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</si>
  <si>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</si>
  <si>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</si>
  <si>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</si>
  <si>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</si>
  <si>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</si>
  <si>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</si>
  <si>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</si>
  <si>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</si>
  <si>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</si>
  <si>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</si>
  <si>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</si>
  <si>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</si>
  <si>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</si>
  <si>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</si>
  <si>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</si>
  <si>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</si>
  <si>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</si>
  <si>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</si>
  <si>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</si>
  <si>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</si>
  <si>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</si>
  <si>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</si>
  <si>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</si>
  <si>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</si>
  <si>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</si>
  <si>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</si>
  <si>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</si>
  <si>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</si>
  <si>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</si>
  <si>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</si>
  <si>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</si>
  <si>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</si>
  <si>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</si>
  <si>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</si>
  <si>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</si>
  <si>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</si>
  <si>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</si>
  <si>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</si>
  <si>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</si>
  <si>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</si>
  <si>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</si>
  <si>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</si>
  <si>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</si>
  <si>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</si>
  <si>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</si>
  <si>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</si>
  <si>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</si>
  <si>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</si>
  <si>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</si>
  <si>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</si>
  <si>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</si>
  <si>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</si>
  <si>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</si>
  <si>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</si>
  <si>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</si>
  <si>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</si>
  <si>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</si>
  <si>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</si>
  <si>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</si>
  <si>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</si>
  <si>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</si>
  <si>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</si>
  <si>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</si>
  <si>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</si>
  <si>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</si>
  <si>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</si>
  <si>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</si>
  <si>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</si>
  <si>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</si>
  <si>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</si>
  <si>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</si>
  <si>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</si>
  <si>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</si>
  <si>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</si>
  <si>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</si>
  <si>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</si>
  <si>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</si>
  <si>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</si>
  <si>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</si>
  <si>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</si>
  <si>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</si>
  <si>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</si>
  <si>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</si>
  <si>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</si>
  <si>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</si>
  <si>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</si>
  <si>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</si>
  <si>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</si>
  <si>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</si>
  <si>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</si>
  <si>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</si>
  <si>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</si>
  <si>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</si>
  <si>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</si>
  <si>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</si>
  <si>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</si>
  <si>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</si>
  <si>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</si>
  <si>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</si>
  <si>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</si>
  <si>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</si>
  <si>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</si>
  <si>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</si>
  <si>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</si>
  <si>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</si>
  <si>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</si>
  <si>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</si>
  <si>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</si>
  <si>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</si>
  <si>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</si>
  <si>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</si>
  <si>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</si>
  <si>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</si>
  <si>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</si>
  <si>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</si>
  <si>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</si>
  <si>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</si>
  <si>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</si>
  <si>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</si>
  <si>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</si>
  <si>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</si>
  <si>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</si>
  <si>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</si>
  <si>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</si>
  <si>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</si>
  <si>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</si>
  <si>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</si>
  <si>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</si>
  <si>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</si>
  <si>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</si>
  <si>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</si>
  <si>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</si>
  <si>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</si>
  <si>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</si>
  <si>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</si>
  <si>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</si>
  <si>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</si>
  <si>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</si>
  <si>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</si>
  <si>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</si>
  <si>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</si>
  <si>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</si>
  <si>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</si>
  <si>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</si>
  <si>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</si>
  <si>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</si>
  <si>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</si>
  <si>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</si>
  <si>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</si>
  <si>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</si>
  <si>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</si>
  <si>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</si>
  <si>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</si>
  <si>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</si>
  <si>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</si>
  <si>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</si>
  <si>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</si>
  <si>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</si>
  <si>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</si>
  <si>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</si>
  <si>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</si>
  <si>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</si>
  <si>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</si>
  <si>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</si>
  <si>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</si>
  <si>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</si>
  <si>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</si>
  <si>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</si>
  <si>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</si>
  <si>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</si>
  <si>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</si>
  <si>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</si>
  <si>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</si>
  <si>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</si>
  <si>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</si>
  <si>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</si>
  <si>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</si>
  <si>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</si>
  <si>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</si>
  <si>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</si>
  <si>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</si>
  <si>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</si>
  <si>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</si>
  <si>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</si>
  <si>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</si>
  <si>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</si>
  <si>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</si>
  <si>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</si>
  <si>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</si>
  <si>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</si>
  <si>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</si>
  <si>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</si>
  <si>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</si>
  <si>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</si>
  <si>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</si>
  <si>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</si>
  <si>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</si>
  <si>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</si>
  <si>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</si>
  <si>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</si>
  <si>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</si>
  <si>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</si>
  <si>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</si>
  <si>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</si>
  <si>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</si>
  <si>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</si>
  <si>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</si>
  <si>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</si>
  <si>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</si>
  <si>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</si>
  <si>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</si>
  <si>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</si>
  <si>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</si>
  <si>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</si>
  <si>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</si>
  <si>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</si>
  <si>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</si>
  <si>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</si>
  <si>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</si>
  <si>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</si>
  <si>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</si>
  <si>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</si>
  <si>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</si>
  <si>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</si>
  <si>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</si>
  <si>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</si>
  <si>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</si>
  <si>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</si>
  <si>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</si>
  <si>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</si>
  <si>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</si>
  <si>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</si>
  <si>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</si>
  <si>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</si>
  <si>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</si>
  <si>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</si>
  <si>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</si>
  <si>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</si>
  <si>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</si>
  <si>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</si>
  <si>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</si>
  <si>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</si>
  <si>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</si>
  <si>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</si>
  <si>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</si>
  <si>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</si>
  <si>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</si>
  <si>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</si>
  <si>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</si>
  <si>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</si>
  <si>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</si>
  <si>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</si>
  <si>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</si>
  <si>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</si>
  <si>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</si>
  <si>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</si>
  <si>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</si>
  <si>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</si>
  <si>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</si>
  <si>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</si>
  <si>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</si>
  <si>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</si>
  <si>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</si>
  <si>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</si>
  <si>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</si>
  <si>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</si>
  <si>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</si>
  <si>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</si>
  <si>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</si>
  <si>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</si>
  <si>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</si>
  <si>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</si>
  <si>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</si>
  <si>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</si>
  <si>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</si>
  <si>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</si>
  <si>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</si>
  <si>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</si>
  <si>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</si>
  <si>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</si>
  <si>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</si>
  <si>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</si>
  <si>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</si>
  <si>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</si>
  <si>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</si>
  <si>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</si>
  <si>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</si>
  <si>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</si>
  <si>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</si>
  <si>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</si>
  <si>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</si>
  <si>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</si>
  <si>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</si>
  <si>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</si>
  <si>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</si>
  <si>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</si>
  <si>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</si>
  <si>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</si>
  <si>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</si>
  <si>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</si>
  <si>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</si>
  <si>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</si>
  <si>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</si>
  <si>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</si>
  <si>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</si>
  <si>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</si>
  <si>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</si>
  <si>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</si>
  <si>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</si>
  <si>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</si>
  <si>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</si>
  <si>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</si>
  <si>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</si>
  <si>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</si>
  <si>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</si>
  <si>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</si>
  <si>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</si>
  <si>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</si>
  <si>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</si>
  <si>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</si>
  <si>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</si>
  <si>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</si>
  <si>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</si>
  <si>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</si>
  <si>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</si>
  <si>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</si>
  <si>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</si>
  <si>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</si>
  <si>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</si>
  <si>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</si>
  <si>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</si>
  <si>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</si>
  <si>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</si>
  <si>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</si>
  <si>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</si>
  <si>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</si>
  <si>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</si>
  <si>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</si>
  <si>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</si>
  <si>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</si>
  <si>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</si>
  <si>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</si>
  <si>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</si>
  <si>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</si>
  <si>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</si>
  <si>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</si>
  <si>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</si>
  <si>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</si>
  <si>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</si>
  <si>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</si>
  <si>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</si>
  <si>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</si>
  <si>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</si>
  <si>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</si>
  <si>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</si>
  <si>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</si>
  <si>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</si>
  <si>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</si>
  <si>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</si>
  <si>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</si>
  <si>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</si>
  <si>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</si>
  <si>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</si>
  <si>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</si>
  <si>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</si>
  <si>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</si>
  <si>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</si>
  <si>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</si>
  <si>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</si>
  <si>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</si>
  <si>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</si>
  <si>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</si>
  <si>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</si>
  <si>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</si>
  <si>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</si>
  <si>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</si>
  <si>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</si>
  <si>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</si>
  <si>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</si>
  <si>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</si>
  <si>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</si>
  <si>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</si>
  <si>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</si>
  <si>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</si>
  <si>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</si>
  <si>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</si>
  <si>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</si>
  <si>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</si>
  <si>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</si>
  <si>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</si>
  <si>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</si>
  <si>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</si>
  <si>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</si>
  <si>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</si>
  <si>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</si>
  <si>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</si>
  <si>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</si>
  <si>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</si>
  <si>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</si>
  <si>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</si>
  <si>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</si>
  <si>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</si>
  <si>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</si>
  <si>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</si>
  <si>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</si>
  <si>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</si>
  <si>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</si>
  <si>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</si>
  <si>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</si>
  <si>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</si>
  <si>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</si>
  <si>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</si>
  <si>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</si>
  <si>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</si>
  <si>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</si>
  <si>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</si>
  <si>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</si>
  <si>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</si>
  <si>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</si>
  <si>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</si>
  <si>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</si>
  <si>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</si>
  <si>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</si>
  <si>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</si>
  <si>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</si>
  <si>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</si>
  <si>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</si>
  <si>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</si>
  <si>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</si>
  <si>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</si>
  <si>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</si>
  <si>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</si>
  <si>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</si>
  <si>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</si>
  <si>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</si>
  <si>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</si>
  <si>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</si>
  <si>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</si>
  <si>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</si>
  <si>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</si>
  <si>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</si>
  <si>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</si>
  <si>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</si>
  <si>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</si>
  <si>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</si>
  <si>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</si>
  <si>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</si>
  <si>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</si>
  <si>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</si>
  <si>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</si>
  <si>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</si>
  <si>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</si>
  <si>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</si>
  <si>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</si>
  <si>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</si>
  <si>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</si>
  <si>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</si>
  <si>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</si>
  <si>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</si>
  <si>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</si>
  <si>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</si>
  <si>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</si>
  <si>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</si>
  <si>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</si>
  <si>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</si>
  <si>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</si>
  <si>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</si>
  <si>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</si>
  <si>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</si>
  <si>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</si>
  <si>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</si>
  <si>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</si>
  <si>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</si>
  <si>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</si>
  <si>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</si>
  <si>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</si>
  <si>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</si>
  <si>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</si>
  <si>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</si>
  <si>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</si>
  <si>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</si>
  <si>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</si>
  <si>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</si>
  <si>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</si>
  <si>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</si>
  <si>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</si>
  <si>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</si>
  <si>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</si>
  <si>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</si>
  <si>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</si>
  <si>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</si>
  <si>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</si>
  <si>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</si>
  <si>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</si>
  <si>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</si>
  <si>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</si>
  <si>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</si>
  <si>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</si>
  <si>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</si>
  <si>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</si>
  <si>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</si>
  <si>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</si>
  <si>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</si>
  <si>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</si>
  <si>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</si>
  <si>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</si>
  <si>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</si>
  <si>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</si>
  <si>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</si>
  <si>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</si>
  <si>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</si>
  <si>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</si>
  <si>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</si>
  <si>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</si>
  <si>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</si>
  <si>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</si>
  <si>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</si>
  <si>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</si>
  <si>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</si>
  <si>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</si>
  <si>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</si>
  <si>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</si>
  <si>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</si>
  <si>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</si>
  <si>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</si>
  <si>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</si>
  <si>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</si>
  <si>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</si>
  <si>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</si>
  <si>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</si>
  <si>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</si>
  <si>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</si>
  <si>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</si>
  <si>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</si>
  <si>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</si>
  <si>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</si>
  <si>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</si>
  <si>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</si>
  <si>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</si>
  <si>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</si>
  <si>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</si>
  <si>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</si>
  <si>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</si>
  <si>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</si>
  <si>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</si>
  <si>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</si>
  <si>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</si>
  <si>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</si>
  <si>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</si>
  <si>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</si>
  <si>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</si>
  <si>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</si>
  <si>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</si>
  <si>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</si>
  <si>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</si>
  <si>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</si>
  <si>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</si>
  <si>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</si>
  <si>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</si>
  <si>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</si>
  <si>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</si>
  <si>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</si>
  <si>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</si>
  <si>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</si>
  <si>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</si>
  <si>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</si>
  <si>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</si>
  <si>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</si>
  <si>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</si>
  <si>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</si>
  <si>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</si>
  <si>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</si>
  <si>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</si>
  <si>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</si>
  <si>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</si>
  <si>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</si>
  <si>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</si>
  <si>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</si>
  <si>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</si>
  <si>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</si>
  <si>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</si>
  <si>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</si>
  <si>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</si>
  <si>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</si>
  <si>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</si>
  <si>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</si>
  <si>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</si>
  <si>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</si>
  <si>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</si>
  <si>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</si>
  <si>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</si>
  <si>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</si>
  <si>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</si>
  <si>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</si>
  <si>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</si>
  <si>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</si>
  <si>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</si>
  <si>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</si>
  <si>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</si>
  <si>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</si>
  <si>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</si>
  <si>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</si>
  <si>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</si>
  <si>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</si>
  <si>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</si>
  <si>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</si>
  <si>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</si>
  <si>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</si>
  <si>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</si>
  <si>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</si>
  <si>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</si>
  <si>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</si>
  <si>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</si>
  <si>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</si>
  <si>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</si>
  <si>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</si>
  <si>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</si>
  <si>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</si>
  <si>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</si>
  <si>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</si>
  <si>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</si>
  <si>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</si>
  <si>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</si>
  <si>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</si>
  <si>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</si>
  <si>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</si>
  <si>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</si>
  <si>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</si>
  <si>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</si>
  <si>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</si>
  <si>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</si>
  <si>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</si>
  <si>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</si>
  <si>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</si>
  <si>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</si>
  <si>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</si>
  <si>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</si>
  <si>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</si>
  <si>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</si>
  <si>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</si>
  <si>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</si>
  <si>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</si>
  <si>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</si>
  <si>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</si>
  <si>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</si>
  <si>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</si>
  <si>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</si>
  <si>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</si>
  <si>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</si>
  <si>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</si>
  <si>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</si>
  <si>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</si>
  <si>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</si>
  <si>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</si>
  <si>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</si>
  <si>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</si>
  <si>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</si>
  <si>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</si>
  <si>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</si>
  <si>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</si>
  <si>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</si>
  <si>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</si>
  <si>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</si>
  <si>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</si>
  <si>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</si>
  <si>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</si>
  <si>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</si>
  <si>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</si>
  <si>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</si>
  <si>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</si>
  <si>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</si>
  <si>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</si>
  <si>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</si>
  <si>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</si>
  <si>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</si>
  <si>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</si>
  <si>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</si>
  <si>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</si>
  <si>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</si>
  <si>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</si>
  <si>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</si>
  <si>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</si>
  <si>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</si>
  <si>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</si>
  <si>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</si>
  <si>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</si>
  <si>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</si>
  <si>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</si>
  <si>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</si>
  <si>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</si>
  <si>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</si>
  <si>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</si>
  <si>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</si>
  <si>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</si>
  <si>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</si>
  <si>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</si>
  <si>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</si>
  <si>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</si>
  <si>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</si>
  <si>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</si>
  <si>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</si>
  <si>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</si>
  <si>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</si>
  <si>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</si>
  <si>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</si>
  <si>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</si>
  <si>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</si>
  <si>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</si>
  <si>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</si>
  <si>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</si>
  <si>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</si>
  <si>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</si>
  <si>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</si>
  <si>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</si>
  <si>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</si>
  <si>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</si>
  <si>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</si>
  <si>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</si>
  <si>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</si>
  <si>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</si>
  <si>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</si>
  <si>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</si>
  <si>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</si>
  <si>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</si>
  <si>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</si>
  <si>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</si>
  <si>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</si>
  <si>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</si>
  <si>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</si>
  <si>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</si>
  <si>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</si>
  <si>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</si>
  <si>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</si>
  <si>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</si>
  <si>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</si>
  <si>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</si>
  <si>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</si>
  <si>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</si>
  <si>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</si>
  <si>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</si>
  <si>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</si>
  <si>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</si>
  <si>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</si>
  <si>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</si>
  <si>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</si>
  <si>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</si>
  <si>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</si>
  <si>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</si>
  <si>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</si>
  <si>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</si>
  <si>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</si>
  <si>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</si>
  <si>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</si>
  <si>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</si>
  <si>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</si>
  <si>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</si>
  <si>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</si>
  <si>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</si>
  <si>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</si>
  <si>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</si>
  <si>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</si>
  <si>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</si>
  <si>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</si>
  <si>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</si>
  <si>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</si>
  <si>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</si>
  <si>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</si>
  <si>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</si>
  <si>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</si>
  <si>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</si>
  <si>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</si>
  <si>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</si>
  <si>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</si>
  <si>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</si>
  <si>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</si>
  <si>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</si>
  <si>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</si>
  <si>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</si>
  <si>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</si>
  <si>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</si>
  <si>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</si>
  <si>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</si>
  <si>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</si>
  <si>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</si>
  <si>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</si>
  <si>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</si>
  <si>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</si>
  <si>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</si>
  <si>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</si>
  <si>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</si>
  <si>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</si>
  <si>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</si>
  <si>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</si>
  <si>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</si>
  <si>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</si>
  <si>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</si>
  <si>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</si>
  <si>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</si>
  <si>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</si>
  <si>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</si>
  <si>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</si>
  <si>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</si>
  <si>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</si>
  <si>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</si>
  <si>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</si>
  <si>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</si>
  <si>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</si>
  <si>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</si>
  <si>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</si>
  <si>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</si>
  <si>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</si>
  <si>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</si>
  <si>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</si>
  <si>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</si>
  <si>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</si>
  <si>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</si>
  <si>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</si>
  <si>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</si>
  <si>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</si>
  <si>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</si>
  <si>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</si>
  <si>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</si>
  <si>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</si>
  <si>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</si>
  <si>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</si>
  <si>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</si>
  <si>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</si>
  <si>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</si>
  <si>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</si>
  <si>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</si>
  <si>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</si>
  <si>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</si>
  <si>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</si>
  <si>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</si>
  <si>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</si>
  <si>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</si>
  <si>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</si>
  <si>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</si>
  <si>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</si>
  <si>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</si>
  <si>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</si>
  <si>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140" type="noConversion"/>
  </si>
  <si>
    <t>陈颖</t>
  </si>
  <si>
    <t>叶凌</t>
  </si>
  <si>
    <t>核定资产</t>
  </si>
  <si>
    <t>出让</t>
  </si>
  <si>
    <t>房地产市场价值</t>
  </si>
  <si>
    <t>已注销</t>
  </si>
  <si>
    <t>其他：</t>
  </si>
  <si>
    <t>企业</t>
  </si>
  <si>
    <t>是</t>
  </si>
  <si>
    <t>地上</t>
  </si>
  <si>
    <t>全部缴纳</t>
  </si>
  <si>
    <t>已包含在土地取得成本中</t>
  </si>
  <si>
    <t>成新度</t>
  </si>
  <si>
    <t>押一</t>
  </si>
  <si>
    <t>砖混</t>
  </si>
  <si>
    <t>非生产用房</t>
  </si>
  <si>
    <t>收益法 (元)</t>
  </si>
  <si>
    <t>成本比率</t>
  </si>
  <si>
    <t>楼面单价</t>
  </si>
  <si>
    <t>按租金收入计税</t>
  </si>
  <si>
    <t>成本法</t>
  </si>
  <si>
    <t>收益法</t>
  </si>
  <si>
    <t>钢混</t>
  </si>
  <si>
    <r>
      <rPr>
        <b/>
        <sz val="16"/>
        <color indexed="10"/>
        <rFont val="仿宋_GB2312"/>
        <family val="3"/>
        <charset val="134"/>
      </rPr>
      <t>套用比较法</t>
    </r>
    <phoneticPr fontId="3" type="noConversion"/>
  </si>
  <si>
    <r>
      <rPr>
        <b/>
        <sz val="16"/>
        <rFont val="仿宋_GB2312"/>
        <family val="3"/>
        <charset val="134"/>
      </rPr>
      <t>住宅、综合</t>
    </r>
    <phoneticPr fontId="3"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</si>
  <si>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3" type="noConversion"/>
  </si>
  <si>
    <r>
      <rPr>
        <b/>
        <sz val="12"/>
        <rFont val="仿宋_GB2312"/>
        <family val="3"/>
        <charset val="134"/>
      </rPr>
      <t>总价</t>
    </r>
    <phoneticPr fontId="3" type="noConversion"/>
  </si>
  <si>
    <t>楼面地价</t>
    <phoneticPr fontId="3" type="noConversion"/>
  </si>
  <si>
    <r>
      <rPr>
        <b/>
        <sz val="12"/>
        <rFont val="仿宋_GB2312"/>
        <family val="3"/>
        <charset val="134"/>
      </rPr>
      <t>单位面积地价</t>
    </r>
    <phoneticPr fontId="3"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</si>
  <si>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3"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</si>
  <si>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</si>
  <si>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</si>
  <si>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</si>
  <si>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</si>
  <si>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</si>
  <si>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</si>
  <si>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</si>
  <si>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theme="9" tint="-0.249977111117893"/>
        <rFont val="仿宋_GB2312"/>
        <family val="3"/>
        <charset val="134"/>
      </rPr>
      <t>项目位置</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</si>
  <si>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</si>
  <si>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</si>
  <si>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</si>
  <si>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t>100/</t>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</si>
  <si>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</si>
  <si>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</si>
  <si>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t>正常</t>
  </si>
  <si>
    <r>
      <rPr>
        <sz val="11"/>
        <color indexed="8"/>
        <rFont val="仿宋_GB2312"/>
        <family val="3"/>
        <charset val="134"/>
      </rPr>
      <t>交易情况</t>
    </r>
    <phoneticPr fontId="3" type="noConversion"/>
  </si>
  <si>
    <r>
      <rPr>
        <b/>
        <sz val="11"/>
        <color indexed="8"/>
        <rFont val="仿宋_GB2312"/>
        <family val="3"/>
        <charset val="134"/>
      </rPr>
      <t>用途</t>
    </r>
    <phoneticPr fontId="3" type="noConversion"/>
  </si>
  <si>
    <t>零售商业用地</t>
  </si>
  <si>
    <t>其他商服用地</t>
  </si>
  <si>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</si>
  <si>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</si>
  <si>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</si>
  <si>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</si>
  <si>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3" type="noConversion"/>
  </si>
  <si>
    <t>区域因素</t>
    <phoneticPr fontId="3" type="noConversion"/>
  </si>
  <si>
    <r>
      <rPr>
        <sz val="11"/>
        <color indexed="8"/>
        <rFont val="仿宋_GB2312"/>
        <family val="3"/>
        <charset val="134"/>
      </rPr>
      <t>居住社区成熟度</t>
    </r>
  </si>
  <si>
    <r>
      <rPr>
        <sz val="11"/>
        <rFont val="仿宋_GB2312"/>
        <family val="3"/>
        <charset val="134"/>
      </rPr>
      <t>区位状况</t>
    </r>
    <phoneticPr fontId="3" type="noConversion"/>
  </si>
  <si>
    <t>较好</t>
  </si>
  <si>
    <t>一般</t>
  </si>
  <si>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</si>
  <si>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</si>
  <si>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</si>
  <si>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</si>
  <si>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</si>
  <si>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t>公共配套设施</t>
    <phoneticPr fontId="3" type="noConversion"/>
  </si>
  <si>
    <t>基础设施水平</t>
    <phoneticPr fontId="3" type="noConversion"/>
  </si>
  <si>
    <r>
      <rPr>
        <sz val="11"/>
        <color indexed="8"/>
        <rFont val="仿宋_GB2312"/>
        <family val="3"/>
        <charset val="134"/>
      </rPr>
      <t>临街状况</t>
    </r>
    <phoneticPr fontId="3" type="noConversion"/>
  </si>
  <si>
    <r>
      <rPr>
        <sz val="11"/>
        <color indexed="8"/>
        <rFont val="仿宋_GB2312"/>
        <family val="3"/>
        <charset val="134"/>
      </rPr>
      <t>毗邻道路的类型与等级</t>
    </r>
    <phoneticPr fontId="3" type="noConversion"/>
  </si>
  <si>
    <t>爱丹路</t>
    <phoneticPr fontId="3" type="noConversion"/>
  </si>
  <si>
    <t>人民路</t>
    <phoneticPr fontId="3" type="noConversion"/>
  </si>
  <si>
    <t>朝阳街</t>
    <phoneticPr fontId="3" type="noConversion"/>
  </si>
  <si>
    <t>公园路</t>
    <phoneticPr fontId="3" type="noConversion"/>
  </si>
  <si>
    <t>主干道</t>
  </si>
  <si>
    <t>次干道</t>
  </si>
  <si>
    <r>
      <rPr>
        <sz val="11"/>
        <color indexed="8"/>
        <rFont val="仿宋_GB2312"/>
        <family val="3"/>
        <charset val="134"/>
      </rPr>
      <t>土地级别</t>
    </r>
    <phoneticPr fontId="3" type="noConversion"/>
  </si>
  <si>
    <r>
      <rPr>
        <sz val="11"/>
        <rFont val="仿宋_GB2312"/>
        <family val="3"/>
        <charset val="134"/>
      </rPr>
      <t>实物状况</t>
    </r>
    <phoneticPr fontId="3" type="noConversion"/>
  </si>
  <si>
    <t>个别因素</t>
    <phoneticPr fontId="3"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</si>
  <si>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</si>
  <si>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</si>
  <si>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t>较规则</t>
  </si>
  <si>
    <r>
      <rPr>
        <sz val="11"/>
        <color indexed="8"/>
        <rFont val="仿宋_GB2312"/>
        <family val="3"/>
        <charset val="134"/>
      </rPr>
      <t>临街宽度及深度</t>
    </r>
    <phoneticPr fontId="3" type="noConversion"/>
  </si>
  <si>
    <t>宗地开发程度</t>
    <phoneticPr fontId="3" type="noConversion"/>
  </si>
  <si>
    <r>
      <rPr>
        <sz val="11"/>
        <color indexed="8"/>
        <rFont val="仿宋_GB2312"/>
        <family val="3"/>
        <charset val="134"/>
      </rPr>
      <t>工程地质条件</t>
    </r>
    <phoneticPr fontId="3" type="noConversion"/>
  </si>
  <si>
    <r>
      <rPr>
        <b/>
        <sz val="11"/>
        <rFont val="仿宋_GB2312"/>
        <family val="3"/>
        <charset val="134"/>
      </rPr>
      <t>成交单价</t>
    </r>
    <phoneticPr fontId="3" type="noConversion"/>
  </si>
  <si>
    <t>单位面积地价</t>
  </si>
  <si>
    <t>——</t>
    <phoneticPr fontId="3"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</si>
  <si>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</si>
  <si>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r>
      <rPr>
        <b/>
        <sz val="11"/>
        <rFont val="仿宋_GB2312"/>
        <family val="3"/>
        <charset val="134"/>
      </rPr>
      <t>估价对象</t>
    </r>
    <r>
      <rPr>
        <b/>
        <sz val="11"/>
        <color theme="9" tint="-0.249977111117893"/>
        <rFont val="仿宋_GB2312"/>
        <family val="3"/>
        <charset val="134"/>
      </rPr>
      <t>商业用房的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</si>
  <si>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</si>
  <si>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</si>
  <si>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</si>
  <si>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3" type="noConversion"/>
  </si>
  <si>
    <r>
      <rPr>
        <sz val="11"/>
        <rFont val="仿宋_GB2312"/>
        <family val="3"/>
        <charset val="134"/>
      </rPr>
      <t>修正单价</t>
    </r>
    <phoneticPr fontId="3" type="noConversion"/>
  </si>
  <si>
    <t>北京市系数</t>
  </si>
  <si>
    <t>政府土地出让收益比例</t>
    <phoneticPr fontId="3" type="noConversion"/>
  </si>
  <si>
    <r>
      <rPr>
        <sz val="11"/>
        <rFont val="仿宋_GB2312"/>
        <family val="3"/>
        <charset val="134"/>
      </rPr>
      <t>建筑面积</t>
    </r>
    <phoneticPr fontId="3" type="noConversion"/>
  </si>
  <si>
    <r>
      <rPr>
        <sz val="11"/>
        <rFont val="仿宋_GB2312"/>
        <family val="3"/>
        <charset val="134"/>
      </rPr>
      <t>总价</t>
    </r>
    <phoneticPr fontId="3" type="noConversion"/>
  </si>
  <si>
    <t>对应的地上用途及土地级别（北京市）</t>
    <phoneticPr fontId="3" type="noConversion"/>
  </si>
  <si>
    <t>北京市</t>
    <phoneticPr fontId="3" type="noConversion"/>
  </si>
  <si>
    <t>外省市地下修正系数请自行录入</t>
    <phoneticPr fontId="3" type="noConversion"/>
  </si>
  <si>
    <r>
      <rPr>
        <sz val="10"/>
        <rFont val="仿宋_GB2312"/>
        <family val="3"/>
        <charset val="134"/>
      </rPr>
      <t>地上</t>
    </r>
    <phoneticPr fontId="3" type="noConversion"/>
  </si>
  <si>
    <r>
      <rPr>
        <sz val="10"/>
        <rFont val="仿宋_GB2312"/>
        <family val="3"/>
        <charset val="134"/>
      </rPr>
      <t>地下商业（</t>
    </r>
    <r>
      <rPr>
        <sz val="10"/>
        <rFont val="Arial"/>
        <family val="2"/>
      </rPr>
      <t>-1</t>
    </r>
    <r>
      <rPr>
        <sz val="10"/>
        <rFont val="仿宋_GB2312"/>
        <family val="3"/>
        <charset val="134"/>
      </rPr>
      <t>）</t>
    </r>
    <phoneticPr fontId="3" type="noConversion"/>
  </si>
  <si>
    <t>对应商业级别</t>
    <phoneticPr fontId="3" type="noConversion"/>
  </si>
  <si>
    <r>
      <rPr>
        <sz val="10"/>
        <rFont val="仿宋_GB2312"/>
        <family val="3"/>
        <charset val="134"/>
      </rPr>
      <t>地下商业（</t>
    </r>
    <r>
      <rPr>
        <sz val="10"/>
        <rFont val="Arial"/>
        <family val="2"/>
      </rPr>
      <t>-2</t>
    </r>
    <r>
      <rPr>
        <sz val="10"/>
        <rFont val="仿宋_GB2312"/>
        <family val="3"/>
        <charset val="134"/>
      </rPr>
      <t>）</t>
    </r>
    <phoneticPr fontId="3" type="noConversion"/>
  </si>
  <si>
    <r>
      <rPr>
        <sz val="10"/>
        <rFont val="仿宋_GB2312"/>
        <family val="3"/>
        <charset val="134"/>
      </rPr>
      <t>地下商业（</t>
    </r>
    <r>
      <rPr>
        <sz val="10"/>
        <rFont val="Arial"/>
        <family val="2"/>
      </rPr>
      <t>-3</t>
    </r>
    <r>
      <rPr>
        <sz val="10"/>
        <rFont val="仿宋_GB2312"/>
        <family val="3"/>
        <charset val="134"/>
      </rPr>
      <t>）</t>
    </r>
    <phoneticPr fontId="3" type="noConversion"/>
  </si>
  <si>
    <r>
      <rPr>
        <sz val="10"/>
        <rFont val="仿宋_GB2312"/>
        <family val="3"/>
        <charset val="134"/>
      </rPr>
      <t>地下商业（</t>
    </r>
    <r>
      <rPr>
        <sz val="10"/>
        <rFont val="Arial"/>
        <family val="2"/>
      </rPr>
      <t>-4</t>
    </r>
    <r>
      <rPr>
        <sz val="10"/>
        <rFont val="仿宋_GB2312"/>
        <family val="3"/>
        <charset val="134"/>
      </rPr>
      <t>）</t>
    </r>
    <phoneticPr fontId="3" type="noConversion"/>
  </si>
  <si>
    <t>地下办公（含物业）</t>
    <phoneticPr fontId="3" type="noConversion"/>
  </si>
  <si>
    <t>对应办公级别</t>
    <phoneticPr fontId="3" type="noConversion"/>
  </si>
  <si>
    <r>
      <rPr>
        <sz val="10"/>
        <rFont val="仿宋_GB2312"/>
        <family val="3"/>
        <charset val="134"/>
      </rPr>
      <t>地下仓储</t>
    </r>
    <phoneticPr fontId="3" type="noConversion"/>
  </si>
  <si>
    <r>
      <rPr>
        <sz val="10"/>
        <rFont val="仿宋_GB2312"/>
        <family val="3"/>
        <charset val="134"/>
      </rPr>
      <t>地下车库</t>
    </r>
    <phoneticPr fontId="3" type="noConversion"/>
  </si>
  <si>
    <t>住宅</t>
  </si>
  <si>
    <r>
      <rPr>
        <sz val="10"/>
        <rFont val="仿宋_GB2312"/>
        <family val="3"/>
        <charset val="134"/>
      </rPr>
      <t>地下车库</t>
    </r>
    <r>
      <rPr>
        <sz val="10"/>
        <rFont val="Arial"/>
        <family val="2"/>
      </rPr>
      <t>-</t>
    </r>
    <r>
      <rPr>
        <sz val="10"/>
        <rFont val="仿宋_GB2312"/>
        <family val="3"/>
        <charset val="134"/>
      </rPr>
      <t>商业</t>
    </r>
    <phoneticPr fontId="3" type="noConversion"/>
  </si>
  <si>
    <r>
      <rPr>
        <sz val="10"/>
        <rFont val="仿宋_GB2312"/>
        <family val="3"/>
        <charset val="134"/>
      </rPr>
      <t>地下车库</t>
    </r>
    <r>
      <rPr>
        <sz val="10"/>
        <rFont val="Arial"/>
        <family val="2"/>
      </rPr>
      <t>-</t>
    </r>
    <r>
      <rPr>
        <sz val="10"/>
        <rFont val="仿宋_GB2312"/>
        <family val="3"/>
        <charset val="134"/>
      </rPr>
      <t>办公</t>
    </r>
    <phoneticPr fontId="3" type="noConversion"/>
  </si>
  <si>
    <r>
      <rPr>
        <b/>
        <sz val="10"/>
        <rFont val="仿宋_GB2312"/>
        <family val="3"/>
        <charset val="134"/>
      </rPr>
      <t>土地购买价格</t>
    </r>
    <phoneticPr fontId="3" type="noConversion"/>
  </si>
  <si>
    <t>-</t>
    <phoneticPr fontId="3"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</si>
  <si>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</si>
  <si>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t>交易时间（按季度修正）</t>
    <phoneticPr fontId="3" type="noConversion"/>
  </si>
  <si>
    <t>综合</t>
  </si>
  <si>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</si>
  <si>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</si>
  <si>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phoneticPr fontId="3" type="noConversion"/>
  </si>
  <si>
    <r>
      <rPr>
        <b/>
        <sz val="11"/>
        <rFont val="仿宋_GB2312"/>
        <family val="3"/>
        <charset val="134"/>
      </rPr>
      <t>权益状况</t>
    </r>
    <phoneticPr fontId="3" type="noConversion"/>
  </si>
  <si>
    <r>
      <rPr>
        <sz val="11"/>
        <color indexed="8"/>
        <rFont val="仿宋_GB2312"/>
        <family val="3"/>
        <charset val="134"/>
      </rPr>
      <t>用途</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</si>
  <si>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</si>
  <si>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</si>
  <si>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</si>
  <si>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</si>
  <si>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</si>
  <si>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</si>
  <si>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</si>
  <si>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</si>
  <si>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</si>
  <si>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</si>
  <si>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</si>
  <si>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</si>
  <si>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</si>
  <si>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</si>
  <si>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r>
      <rPr>
        <sz val="11"/>
        <rFont val="仿宋_GB2312"/>
        <family val="3"/>
        <charset val="134"/>
      </rPr>
      <t>多面临街</t>
    </r>
    <phoneticPr fontId="3" type="noConversion"/>
  </si>
  <si>
    <r>
      <rPr>
        <sz val="11"/>
        <rFont val="仿宋_GB2312"/>
        <family val="3"/>
        <charset val="134"/>
      </rPr>
      <t>双面临街</t>
    </r>
    <phoneticPr fontId="3" type="noConversion"/>
  </si>
  <si>
    <r>
      <rPr>
        <sz val="11"/>
        <rFont val="仿宋_GB2312"/>
        <family val="3"/>
        <charset val="134"/>
      </rPr>
      <t>单面临街</t>
    </r>
    <phoneticPr fontId="3" type="noConversion"/>
  </si>
  <si>
    <r>
      <rPr>
        <sz val="11"/>
        <rFont val="仿宋_GB2312"/>
        <family val="3"/>
        <charset val="134"/>
      </rPr>
      <t>不临街</t>
    </r>
    <phoneticPr fontId="3" type="noConversion"/>
  </si>
  <si>
    <t>主干道</t>
    <phoneticPr fontId="3" type="noConversion"/>
  </si>
  <si>
    <t>次干道</t>
    <phoneticPr fontId="3" type="noConversion"/>
  </si>
  <si>
    <r>
      <rPr>
        <b/>
        <sz val="11"/>
        <rFont val="仿宋_GB2312"/>
        <family val="3"/>
        <charset val="134"/>
      </rPr>
      <t>实物状况</t>
    </r>
    <phoneticPr fontId="3" type="noConversion"/>
  </si>
  <si>
    <t>较规则</t>
    <phoneticPr fontId="3" type="noConversion"/>
  </si>
  <si>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</si>
  <si>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</si>
  <si>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</si>
  <si>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</si>
  <si>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</si>
  <si>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</si>
  <si>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</si>
  <si>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</si>
  <si>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</si>
  <si>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</si>
  <si>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</si>
  <si>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</si>
  <si>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</si>
  <si>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r>
      <rPr>
        <sz val="10"/>
        <rFont val="宋体"/>
        <family val="3"/>
        <charset val="134"/>
      </rPr>
      <t>成交楼面价</t>
    </r>
    <r>
      <rPr>
        <sz val="11"/>
        <color theme="1"/>
        <rFont val="宋体"/>
        <family val="3"/>
        <charset val="134"/>
        <scheme val="minor"/>
      </rPr>
      <t>(</t>
    </r>
    <r>
      <rPr>
        <sz val="10"/>
        <rFont val="宋体"/>
        <family val="3"/>
        <charset val="134"/>
      </rPr>
      <t>元</t>
    </r>
    <r>
      <rPr>
        <sz val="11"/>
        <color theme="1"/>
        <rFont val="宋体"/>
        <family val="3"/>
        <charset val="134"/>
        <scheme val="minor"/>
      </rPr>
      <t>/</t>
    </r>
    <r>
      <rPr>
        <sz val="10"/>
        <rFont val="宋体"/>
        <family val="3"/>
        <charset val="134"/>
      </rPr>
      <t>㎡</t>
    </r>
    <r>
      <rPr>
        <sz val="11"/>
        <color theme="1"/>
        <rFont val="宋体"/>
        <family val="3"/>
        <charset val="134"/>
        <scheme val="minor"/>
      </rPr>
      <t>)</t>
    </r>
    <phoneticPr fontId="3" type="noConversion"/>
  </si>
  <si>
    <t>成交地面价(元/㎡)</t>
    <phoneticPr fontId="3" type="noConversion"/>
  </si>
  <si>
    <t>溢价率</t>
  </si>
  <si>
    <t>受让单位</t>
  </si>
  <si>
    <t>土地星级</t>
  </si>
  <si>
    <t>朝阳川镇八道村</t>
  </si>
  <si>
    <t>延边朝鲜族自治州</t>
  </si>
  <si>
    <t>商业/办公用地</t>
  </si>
  <si>
    <t>小于0.3</t>
  </si>
  <si>
    <t>挂牌</t>
  </si>
  <si>
    <t>2020-10-18</t>
  </si>
  <si>
    <t>延吉市晴翠养殖冷水鱼有限公司</t>
  </si>
  <si>
    <t>0星</t>
  </si>
  <si>
    <t>延西街,梨花路北侧</t>
  </si>
  <si>
    <t>其它用地</t>
  </si>
  <si>
    <t>小于0.72</t>
  </si>
  <si>
    <t>公用设施用地</t>
  </si>
  <si>
    <t>2020-06-06</t>
  </si>
  <si>
    <t>国网吉林省电力有限公司延边供电公司</t>
  </si>
  <si>
    <t>北山街,延北路南侧、朝阳街西侧</t>
  </si>
  <si>
    <t>小于0.18</t>
  </si>
  <si>
    <t>2020-04-11</t>
  </si>
  <si>
    <t>吉林省北嘉燃气有限公司</t>
  </si>
  <si>
    <t>3星</t>
  </si>
  <si>
    <t>小营镇理化村</t>
  </si>
  <si>
    <t>小于0.5</t>
  </si>
  <si>
    <t>娱乐用地</t>
  </si>
  <si>
    <t>2020-02-07</t>
  </si>
  <si>
    <t>2020-03-10</t>
  </si>
  <si>
    <t>延边泰德金豆欢乐园房地产开发有限公司</t>
  </si>
  <si>
    <t>4星</t>
  </si>
  <si>
    <t>2020-01-28</t>
  </si>
  <si>
    <t>小营镇,理化村</t>
  </si>
  <si>
    <t>小于1.4</t>
  </si>
  <si>
    <t>延吉市小营镇理化村</t>
  </si>
  <si>
    <t>小营镇东新村,南岗街东侧、延南路北侧</t>
  </si>
  <si>
    <t>大于或等于1并且小于1.11</t>
  </si>
  <si>
    <t>2019-11-28</t>
  </si>
  <si>
    <t>延吉市城市建设投资集团有限公司</t>
  </si>
  <si>
    <t>朝阳街,爱丹路南侧、军分区西侧</t>
  </si>
  <si>
    <t>大于或等于1并且小于2.3</t>
  </si>
  <si>
    <t>2019-11-09</t>
  </si>
  <si>
    <t>延吉市开发区人民路北侧</t>
    <phoneticPr fontId="3" type="noConversion"/>
  </si>
  <si>
    <t>小于0.1</t>
  </si>
  <si>
    <t>2019-07-06</t>
  </si>
  <si>
    <t>龙井众诚能源发展有限公司延吉第四分公司</t>
  </si>
  <si>
    <t>延吉市依兰镇春兴村</t>
  </si>
  <si>
    <t>延吉市梦都美民俗旅游度假村有限公司</t>
  </si>
  <si>
    <t>2019-06-18</t>
  </si>
  <si>
    <t>延吉市乐游旅游开发有限公司</t>
  </si>
  <si>
    <t>1星</t>
  </si>
  <si>
    <t>延吉市依兰镇兴安村、局子街东侧</t>
  </si>
  <si>
    <t>大于或等于1并且小于2.19</t>
  </si>
  <si>
    <t>2019-05-21</t>
  </si>
  <si>
    <t>延吉市小营镇,南山路南侧</t>
  </si>
  <si>
    <t>2019-05-19</t>
  </si>
  <si>
    <t>2019-05-15</t>
  </si>
  <si>
    <r>
      <rPr>
        <sz val="10"/>
        <rFont val="宋体"/>
        <family val="3"/>
        <charset val="134"/>
      </rPr>
      <t>延吉市北山街</t>
    </r>
    <r>
      <rPr>
        <sz val="10"/>
        <rFont val="Arial"/>
        <family val="2"/>
      </rPr>
      <t>,</t>
    </r>
    <r>
      <rPr>
        <sz val="10"/>
        <rFont val="宋体"/>
        <family val="3"/>
        <charset val="134"/>
      </rPr>
      <t>延北路南侧、朝阳街西侧</t>
    </r>
    <phoneticPr fontId="140" type="noConversion"/>
  </si>
  <si>
    <t>小于0.25</t>
  </si>
  <si>
    <t>2019-05-14</t>
  </si>
  <si>
    <t>吉林省中田石油有限公司</t>
  </si>
  <si>
    <t>延吉市朝阳川镇仲坪村,兴工路南侧</t>
  </si>
  <si>
    <t>小于0.6</t>
  </si>
  <si>
    <t>2019-02-15</t>
  </si>
  <si>
    <t>李香兰</t>
  </si>
  <si>
    <t>延吉市小营镇东新村,南岗街东侧、延南路北侧</t>
  </si>
  <si>
    <t>大于1并且小于1.85</t>
  </si>
  <si>
    <t>2019-01-12</t>
  </si>
  <si>
    <t>延吉市开发区,光进街东侧</t>
  </si>
  <si>
    <t>小于1.11</t>
  </si>
  <si>
    <t>2018-11-22</t>
  </si>
  <si>
    <t>常殿选</t>
  </si>
  <si>
    <t>延吉市朝阳川镇,延朝路南侧、川盛街东侧</t>
  </si>
  <si>
    <t>小于1.06</t>
  </si>
  <si>
    <t>2018-11-16</t>
  </si>
  <si>
    <t>延边常达二手车交易有限公司</t>
  </si>
  <si>
    <t>小于0.85</t>
  </si>
  <si>
    <t>2018-11-11</t>
  </si>
  <si>
    <t>延边东部实业发展有限公司</t>
  </si>
  <si>
    <t>延吉市朝阳川镇光石村,公园路南侧、玫瑰东街西侧</t>
  </si>
  <si>
    <t>小于4.5</t>
  </si>
  <si>
    <t>2018-11-10</t>
  </si>
  <si>
    <t>延边杉港金阙房地产开发有限公司</t>
  </si>
  <si>
    <t>2星</t>
  </si>
  <si>
    <t>延吉市延西街,梨花路北侧、文化西街西侧</t>
  </si>
  <si>
    <t>小于或等于1</t>
  </si>
  <si>
    <t>2018-09-06</t>
  </si>
  <si>
    <t>吉林省鑫泉房地产开发有限公司</t>
  </si>
  <si>
    <r>
      <rPr>
        <sz val="10"/>
        <rFont val="宋体"/>
        <family val="3"/>
        <charset val="134"/>
      </rPr>
      <t>延吉市小营镇民主村</t>
    </r>
    <r>
      <rPr>
        <sz val="10"/>
        <rFont val="Arial"/>
        <family val="2"/>
      </rPr>
      <t>,</t>
    </r>
    <r>
      <rPr>
        <sz val="10"/>
        <rFont val="宋体"/>
        <family val="3"/>
        <charset val="134"/>
      </rPr>
      <t>公园路北侧</t>
    </r>
    <r>
      <rPr>
        <sz val="10"/>
        <rFont val="Arial"/>
        <family val="2"/>
      </rPr>
      <t>(</t>
    </r>
    <r>
      <rPr>
        <sz val="10"/>
        <rFont val="宋体"/>
        <family val="3"/>
        <charset val="134"/>
      </rPr>
      <t>高铁变电所东侧</t>
    </r>
    <r>
      <rPr>
        <sz val="10"/>
        <rFont val="Arial"/>
        <family val="2"/>
      </rPr>
      <t>)</t>
    </r>
    <phoneticPr fontId="140" type="noConversion"/>
  </si>
  <si>
    <t>小于0.36</t>
  </si>
  <si>
    <t>2018-09-05</t>
  </si>
  <si>
    <t>延吉市中城石油有限公司</t>
  </si>
  <si>
    <t>新兴街,光明街西侧、海兰路南侧</t>
  </si>
  <si>
    <t>大于1并且小于5.85</t>
  </si>
  <si>
    <t>2018-06-22</t>
  </si>
  <si>
    <t>延边龙盛房地产开发有限公司</t>
  </si>
  <si>
    <t>延北路北侧,烟集街西侧</t>
  </si>
  <si>
    <t>小于1.02</t>
  </si>
  <si>
    <t>2018-06-17</t>
  </si>
  <si>
    <t>延边吴宗房地产开发有限公司</t>
  </si>
  <si>
    <t>延吉市依兰镇,兴农村、局子街东侧</t>
  </si>
  <si>
    <t>小于1.62</t>
  </si>
  <si>
    <t>2018-04-28</t>
  </si>
  <si>
    <t>延边杨华龙实业有限公司</t>
  </si>
  <si>
    <t>延吉市新兴街,菊花路南侧</t>
  </si>
  <si>
    <t>大于1并且小于2.56</t>
  </si>
  <si>
    <t>2018-02-21</t>
  </si>
  <si>
    <t>延边大成房地产开发有限公司</t>
  </si>
  <si>
    <t>仁坪村,长白山西路南侧,仁川街东侧</t>
  </si>
  <si>
    <t>批发零售用地</t>
  </si>
  <si>
    <t>2018-01-19</t>
  </si>
  <si>
    <t>延吉吉星天然气有限公司</t>
  </si>
  <si>
    <t>朝阳川镇光石村,公园路北侧、高铁站东侧</t>
  </si>
  <si>
    <t>小于或等于2.75</t>
  </si>
  <si>
    <t>2017-10-13</t>
  </si>
  <si>
    <t>延边鹏程人参交易市场有限公司</t>
  </si>
  <si>
    <t>朝阳川镇太兴村</t>
  </si>
  <si>
    <t>小于0.9</t>
  </si>
  <si>
    <t>2017-09-09</t>
  </si>
  <si>
    <t>延边华盛投资有限公司</t>
  </si>
  <si>
    <t>小营镇仁坪村,长白山路南侧、延川街东侧</t>
  </si>
  <si>
    <t>大于或等于1</t>
  </si>
  <si>
    <t>2017-04-04</t>
  </si>
  <si>
    <t>中国石油天然气股份有限公司吉林延边销售分公司</t>
  </si>
  <si>
    <t>新兴街,参花街东侧、解放路南侧</t>
  </si>
  <si>
    <t>小于或等于5.5</t>
  </si>
  <si>
    <t>2016-08-13</t>
  </si>
  <si>
    <t>延吉市市场投资建设开发有限公司</t>
  </si>
  <si>
    <t>延吉市延南街延南路北侧</t>
  </si>
  <si>
    <t>大于或等于1并且小于或等于2.4</t>
  </si>
  <si>
    <t>住宿餐饮用地</t>
  </si>
  <si>
    <t>2016-05-05</t>
  </si>
  <si>
    <t>延边春林房地产开发有限公司</t>
  </si>
  <si>
    <t>大于或等于1并且小于或等于1.14</t>
  </si>
  <si>
    <t>2016-04-01</t>
  </si>
  <si>
    <t>延吉市烟集南街西侧</t>
  </si>
  <si>
    <t>小于或等于3.84</t>
  </si>
  <si>
    <t>2016-01-08</t>
  </si>
  <si>
    <t>延吉市华益房地产开发有限公司</t>
  </si>
  <si>
    <t>2015-09-21</t>
  </si>
  <si>
    <t>延吉高新技术产业开发区,人民路东段北侧</t>
  </si>
  <si>
    <t>大于或等于0.2并且小于或等于0.2</t>
  </si>
  <si>
    <t>2015-05-01</t>
  </si>
  <si>
    <t>依兰镇,春兴村</t>
  </si>
  <si>
    <t>大于或等于1并且小于或等于1.49</t>
  </si>
  <si>
    <t>2015-04-20</t>
  </si>
  <si>
    <t>延吉市北山街,局子街东侧新村路南侧</t>
  </si>
  <si>
    <t>大于或等于1并且小于或等于2.93</t>
  </si>
  <si>
    <t>2015-04-04</t>
  </si>
  <si>
    <t>2015-03-11</t>
  </si>
  <si>
    <t>延吉市公园街,烟集北街西侧</t>
  </si>
  <si>
    <t>大于或等于0.09并且小于或等于0.1</t>
  </si>
  <si>
    <t>2015-01-02</t>
  </si>
  <si>
    <t>北山街,局子街东街,军民路南侧</t>
  </si>
  <si>
    <t>大于或等于1并且小于或等于3.4</t>
  </si>
  <si>
    <t>2013-11-13</t>
  </si>
  <si>
    <t>延边福龙房地产开发有限公司</t>
  </si>
  <si>
    <t>朝阳川镇,延朝路南侧、德新街东侧</t>
  </si>
  <si>
    <t>大于或等于0.1并且小于或等于0.2</t>
  </si>
  <si>
    <t>2013-10-14</t>
  </si>
  <si>
    <t>长春燃气(延吉)有限公司</t>
  </si>
  <si>
    <t>延吉市铁南、南山路南侧</t>
  </si>
  <si>
    <t>小于或等于0.2</t>
  </si>
  <si>
    <t>公共设施用地</t>
  </si>
  <si>
    <t>2013-09-30</t>
  </si>
  <si>
    <t>延吉铁南供热公司</t>
  </si>
  <si>
    <t>延吉市铁南供热公司</t>
  </si>
  <si>
    <t>依兰镇新光村</t>
  </si>
  <si>
    <t>大于或等于1并且小于或等于2</t>
  </si>
  <si>
    <t>2013-05-10</t>
  </si>
  <si>
    <t>依兰镇兴农村,局子街东侧</t>
  </si>
  <si>
    <t>大于或等于1并且小于或等于1.9</t>
  </si>
  <si>
    <t>2013-05-06</t>
  </si>
  <si>
    <t>刘军</t>
  </si>
  <si>
    <t>北山街,局子街东侧</t>
  </si>
  <si>
    <t>大于或等于1并且小于或等于1.1</t>
  </si>
  <si>
    <t>2013-01-28</t>
  </si>
  <si>
    <t>延边庄园机电贸易有限公司</t>
  </si>
  <si>
    <t>进学街,人民路南侧、局子街西侧</t>
  </si>
  <si>
    <t>大于或等于4并且小于或等于5.9</t>
  </si>
  <si>
    <t>2012-10-15</t>
  </si>
  <si>
    <t>延吉百利置业股份有限公司、延吉服务大楼饮食有限公司、延吉中顺商贸有限公司</t>
  </si>
  <si>
    <r>
      <t>9</t>
    </r>
    <r>
      <rPr>
        <sz val="11"/>
        <color theme="1"/>
        <rFont val="宋体"/>
        <family val="3"/>
        <charset val="134"/>
        <scheme val="minor"/>
      </rPr>
      <t>2#历年价格</t>
    </r>
    <phoneticPr fontId="140" type="noConversion"/>
  </si>
  <si>
    <t>https://www.icauto.com.cn/baike/70/704051.html</t>
  </si>
  <si>
    <t>延边89#汽油价格</t>
  </si>
  <si>
    <t>0元/升</t>
  </si>
  <si>
    <t>延边92#汽油价格</t>
  </si>
  <si>
    <t>7.52元/升</t>
  </si>
  <si>
    <t>延边95#汽油价格</t>
  </si>
  <si>
    <t>8.11元/升</t>
  </si>
  <si>
    <t>延边0#柴油价格</t>
  </si>
  <si>
    <t>7.13元/升</t>
  </si>
  <si>
    <t>型号</t>
    <phoneticPr fontId="140" type="noConversion"/>
  </si>
  <si>
    <t>柴油</t>
    <phoneticPr fontId="140" type="noConversion"/>
  </si>
  <si>
    <r>
      <t>2</t>
    </r>
    <r>
      <rPr>
        <sz val="11"/>
        <color theme="1"/>
        <rFont val="宋体"/>
        <family val="3"/>
        <charset val="134"/>
        <scheme val="minor"/>
      </rPr>
      <t>019年销量</t>
    </r>
    <phoneticPr fontId="140" type="noConversion"/>
  </si>
  <si>
    <t>2019年进价（元/吨）</t>
    <phoneticPr fontId="140" type="noConversion"/>
  </si>
  <si>
    <r>
      <t>2</t>
    </r>
    <r>
      <rPr>
        <sz val="11"/>
        <color theme="1"/>
        <rFont val="宋体"/>
        <family val="3"/>
        <charset val="134"/>
        <scheme val="minor"/>
      </rPr>
      <t>020年销量</t>
    </r>
    <phoneticPr fontId="140" type="noConversion"/>
  </si>
  <si>
    <t>2020年进价（元/吨）</t>
    <phoneticPr fontId="140" type="noConversion"/>
  </si>
  <si>
    <t>2019年售价（元/升）</t>
    <phoneticPr fontId="140" type="noConversion"/>
  </si>
  <si>
    <t>2020年售价（元/升）</t>
    <phoneticPr fontId="140" type="noConversion"/>
  </si>
  <si>
    <t>2019年售价（元/吨）</t>
    <phoneticPr fontId="140" type="noConversion"/>
  </si>
  <si>
    <t>2020年售价（元/吨）</t>
    <phoneticPr fontId="140" type="noConversion"/>
  </si>
  <si>
    <t xml:space="preserve"> </t>
    <phoneticPr fontId="140" type="noConversion"/>
  </si>
  <si>
    <t>2019年利润</t>
    <phoneticPr fontId="140" type="noConversion"/>
  </si>
  <si>
    <t>2020年利润</t>
    <phoneticPr fontId="140" type="noConversion"/>
  </si>
  <si>
    <t>小计</t>
    <phoneticPr fontId="140" type="noConversion"/>
  </si>
  <si>
    <t>2019-2020</t>
    <phoneticPr fontId="140" type="noConversion"/>
  </si>
  <si>
    <t>特许经营权</t>
    <phoneticPr fontId="140" type="noConversion"/>
  </si>
  <si>
    <t>利润</t>
    <phoneticPr fontId="140"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</si>
  <si>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</si>
  <si>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</si>
  <si>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</si>
  <si>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</si>
  <si>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</si>
  <si>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</si>
  <si>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</si>
  <si>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</si>
  <si>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</si>
  <si>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</si>
  <si>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</si>
  <si>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b/>
        <sz val="10"/>
        <rFont val="宋体"/>
        <family val="3"/>
        <charset val="134"/>
      </rPr>
      <t>建筑面积</t>
    </r>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</si>
  <si>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</si>
  <si>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</si>
  <si>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</si>
  <si>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</si>
  <si>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</si>
  <si>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</si>
  <si>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</si>
  <si>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</si>
  <si>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</si>
  <si>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</si>
  <si>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</si>
  <si>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</si>
  <si>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</si>
  <si>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</si>
  <si>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</si>
  <si>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周边办公租金</t>
    </r>
    <phoneticPr fontId="3" type="noConversion"/>
  </si>
  <si>
    <r>
      <rPr>
        <sz val="10"/>
        <rFont val="宋体"/>
        <family val="3"/>
        <charset val="134"/>
      </rPr>
      <t>周边商业租金</t>
    </r>
    <phoneticPr fontId="3" type="noConversion"/>
  </si>
  <si>
    <t>房屋原值（万元）</t>
    <phoneticPr fontId="3" type="noConversion"/>
  </si>
  <si>
    <r>
      <rPr>
        <b/>
        <sz val="10"/>
        <rFont val="宋体"/>
        <family val="3"/>
        <charset val="134"/>
      </rPr>
      <t>小计</t>
    </r>
    <phoneticPr fontId="3" type="noConversion"/>
  </si>
  <si>
    <r>
      <rPr>
        <sz val="10"/>
        <rFont val="宋体"/>
        <family val="3"/>
        <charset val="134"/>
      </rPr>
      <t>按比例</t>
    </r>
  </si>
  <si>
    <r>
      <rPr>
        <b/>
        <sz val="10"/>
        <rFont val="宋体"/>
        <family val="3"/>
        <charset val="134"/>
      </rPr>
      <t>会议中心</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</si>
  <si>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</si>
  <si>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</si>
  <si>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</si>
  <si>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</si>
  <si>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</si>
  <si>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</si>
  <si>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</si>
  <si>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</si>
  <si>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</si>
  <si>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</si>
  <si>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</si>
  <si>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</si>
  <si>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押一</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</si>
  <si>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</si>
  <si>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</si>
  <si>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</si>
  <si>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</si>
  <si>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</si>
  <si>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</si>
  <si>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</si>
  <si>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</si>
  <si>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</si>
  <si>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</si>
  <si>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</si>
  <si>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加油</t>
    <phoneticPr fontId="140" type="noConversion"/>
  </si>
  <si>
    <r>
      <rPr>
        <b/>
        <sz val="9"/>
        <rFont val="宋体"/>
        <family val="3"/>
        <charset val="134"/>
      </rPr>
      <t>序号</t>
    </r>
    <phoneticPr fontId="3" type="noConversion"/>
  </si>
  <si>
    <r>
      <rPr>
        <b/>
        <sz val="9"/>
        <rFont val="宋体"/>
        <family val="3"/>
        <charset val="134"/>
      </rPr>
      <t>项目名称</t>
    </r>
    <phoneticPr fontId="3" type="noConversion"/>
  </si>
  <si>
    <r>
      <rPr>
        <b/>
        <sz val="9"/>
        <rFont val="宋体"/>
        <family val="3"/>
        <charset val="134"/>
      </rPr>
      <t>总额</t>
    </r>
    <phoneticPr fontId="3" type="noConversion"/>
  </si>
  <si>
    <r>
      <rPr>
        <b/>
        <sz val="9"/>
        <rFont val="宋体"/>
        <family val="3"/>
        <charset val="134"/>
      </rPr>
      <t>相关系数</t>
    </r>
    <phoneticPr fontId="3" type="noConversion"/>
  </si>
  <si>
    <r>
      <rPr>
        <b/>
        <sz val="9"/>
        <rFont val="宋体"/>
        <family val="3"/>
        <charset val="134"/>
      </rPr>
      <t>备注</t>
    </r>
    <phoneticPr fontId="3" type="noConversion"/>
  </si>
  <si>
    <r>
      <rPr>
        <sz val="9"/>
        <rFont val="宋体"/>
        <family val="3"/>
        <charset val="134"/>
      </rPr>
      <t>周边商业租金</t>
    </r>
    <phoneticPr fontId="3" type="noConversion"/>
  </si>
  <si>
    <r>
      <rPr>
        <b/>
        <sz val="9"/>
        <rFont val="宋体"/>
        <family val="3"/>
        <charset val="134"/>
      </rPr>
      <t>经营成本</t>
    </r>
    <phoneticPr fontId="3" type="noConversion"/>
  </si>
  <si>
    <r>
      <rPr>
        <b/>
        <sz val="9"/>
        <rFont val="宋体"/>
        <family val="3"/>
        <charset val="134"/>
      </rPr>
      <t>耗用物品以及原材料等，以年总收入为基数计算</t>
    </r>
    <phoneticPr fontId="3" type="noConversion"/>
  </si>
  <si>
    <r>
      <rPr>
        <b/>
        <sz val="9"/>
        <rFont val="宋体"/>
        <family val="3"/>
        <charset val="134"/>
      </rPr>
      <t>经营费用</t>
    </r>
    <phoneticPr fontId="3" type="noConversion"/>
  </si>
  <si>
    <r>
      <rPr>
        <b/>
        <sz val="9"/>
        <rFont val="宋体"/>
        <family val="3"/>
        <charset val="134"/>
      </rPr>
      <t>工资、水电费、保险费、宣传费、差旅费、装修折旧等，以年总收入为基数计算</t>
    </r>
    <phoneticPr fontId="3" type="noConversion"/>
  </si>
  <si>
    <r>
      <rPr>
        <b/>
        <sz val="9"/>
        <rFont val="宋体"/>
        <family val="3"/>
        <charset val="134"/>
      </rPr>
      <t>税费</t>
    </r>
    <phoneticPr fontId="3" type="noConversion"/>
  </si>
  <si>
    <r>
      <rPr>
        <sz val="9"/>
        <rFont val="宋体"/>
        <family val="3"/>
        <charset val="134"/>
      </rPr>
      <t>（</t>
    </r>
    <r>
      <rPr>
        <sz val="9"/>
        <rFont val="Arial"/>
        <family val="2"/>
      </rPr>
      <t>1</t>
    </r>
    <r>
      <rPr>
        <sz val="9"/>
        <rFont val="宋体"/>
        <family val="3"/>
        <charset val="134"/>
      </rPr>
      <t>）</t>
    </r>
    <phoneticPr fontId="3" type="noConversion"/>
  </si>
  <si>
    <r>
      <rPr>
        <sz val="9"/>
        <rFont val="宋体"/>
        <family val="3"/>
        <charset val="134"/>
      </rPr>
      <t>房产税</t>
    </r>
    <phoneticPr fontId="3" type="noConversion"/>
  </si>
  <si>
    <r>
      <rPr>
        <b/>
        <sz val="9"/>
        <rFont val="宋体"/>
        <family val="3"/>
        <charset val="134"/>
      </rPr>
      <t>房屋原值</t>
    </r>
    <r>
      <rPr>
        <b/>
        <sz val="9"/>
        <rFont val="Arial"/>
        <family val="2"/>
      </rPr>
      <t>×70</t>
    </r>
    <r>
      <rPr>
        <b/>
        <sz val="9"/>
        <rFont val="宋体"/>
        <family val="3"/>
        <charset val="134"/>
      </rPr>
      <t>％</t>
    </r>
    <r>
      <rPr>
        <b/>
        <sz val="9"/>
        <rFont val="Arial"/>
        <family val="2"/>
      </rPr>
      <t>×1.2</t>
    </r>
    <r>
      <rPr>
        <b/>
        <sz val="9"/>
        <rFont val="宋体"/>
        <family val="3"/>
        <charset val="134"/>
      </rPr>
      <t>％</t>
    </r>
    <phoneticPr fontId="3" type="noConversion"/>
  </si>
  <si>
    <r>
      <rPr>
        <sz val="9"/>
        <rFont val="宋体"/>
        <family val="3"/>
        <charset val="134"/>
      </rPr>
      <t>（</t>
    </r>
    <r>
      <rPr>
        <sz val="9"/>
        <rFont val="Arial"/>
        <family val="2"/>
      </rPr>
      <t>2</t>
    </r>
    <r>
      <rPr>
        <sz val="9"/>
        <rFont val="宋体"/>
        <family val="3"/>
        <charset val="134"/>
      </rPr>
      <t>）</t>
    </r>
    <phoneticPr fontId="3" type="noConversion"/>
  </si>
  <si>
    <r>
      <rPr>
        <sz val="9"/>
        <rFont val="宋体"/>
        <family val="3"/>
        <charset val="134"/>
      </rPr>
      <t>城镇土地使用税</t>
    </r>
    <phoneticPr fontId="3" type="noConversion"/>
  </si>
  <si>
    <r>
      <rPr>
        <b/>
        <sz val="9"/>
        <rFont val="宋体"/>
        <family val="3"/>
        <charset val="134"/>
      </rPr>
      <t>土地面积</t>
    </r>
    <r>
      <rPr>
        <b/>
        <sz val="9"/>
        <rFont val="Arial"/>
        <family val="2"/>
      </rPr>
      <t>×</t>
    </r>
    <r>
      <rPr>
        <b/>
        <sz val="9"/>
        <rFont val="宋体"/>
        <family val="3"/>
        <charset val="134"/>
      </rPr>
      <t>标准</t>
    </r>
    <phoneticPr fontId="3" type="noConversion"/>
  </si>
  <si>
    <r>
      <rPr>
        <b/>
        <sz val="9"/>
        <rFont val="宋体"/>
        <family val="3"/>
        <charset val="134"/>
      </rPr>
      <t>小计</t>
    </r>
    <phoneticPr fontId="3" type="noConversion"/>
  </si>
  <si>
    <r>
      <rPr>
        <sz val="9"/>
        <rFont val="宋体"/>
        <family val="3"/>
        <charset val="134"/>
      </rPr>
      <t>（</t>
    </r>
    <r>
      <rPr>
        <sz val="9"/>
        <rFont val="Arial"/>
        <family val="2"/>
      </rPr>
      <t>3</t>
    </r>
    <r>
      <rPr>
        <sz val="9"/>
        <rFont val="宋体"/>
        <family val="3"/>
        <charset val="134"/>
      </rPr>
      <t>）</t>
    </r>
    <phoneticPr fontId="3" type="noConversion"/>
  </si>
  <si>
    <r>
      <rPr>
        <sz val="9"/>
        <rFont val="宋体"/>
        <family val="3"/>
        <charset val="134"/>
      </rPr>
      <t>营业及附加</t>
    </r>
    <phoneticPr fontId="3" type="noConversion"/>
  </si>
  <si>
    <r>
      <rPr>
        <b/>
        <sz val="9"/>
        <rFont val="宋体"/>
        <family val="3"/>
        <charset val="134"/>
      </rPr>
      <t>年总收入</t>
    </r>
    <r>
      <rPr>
        <b/>
        <sz val="9"/>
        <rFont val="Arial"/>
        <family val="2"/>
      </rPr>
      <t>×</t>
    </r>
    <r>
      <rPr>
        <b/>
        <sz val="9"/>
        <rFont val="宋体"/>
        <family val="3"/>
        <charset val="134"/>
      </rPr>
      <t>费率</t>
    </r>
    <phoneticPr fontId="3" type="noConversion"/>
  </si>
  <si>
    <r>
      <rPr>
        <b/>
        <sz val="9"/>
        <rFont val="宋体"/>
        <family val="3"/>
        <charset val="134"/>
      </rPr>
      <t>餐厅</t>
    </r>
    <phoneticPr fontId="3" type="noConversion"/>
  </si>
  <si>
    <r>
      <rPr>
        <sz val="9"/>
        <rFont val="宋体"/>
        <family val="3"/>
        <charset val="134"/>
      </rPr>
      <t>餐厅</t>
    </r>
    <phoneticPr fontId="3" type="noConversion"/>
  </si>
  <si>
    <r>
      <rPr>
        <sz val="9"/>
        <color indexed="8"/>
        <rFont val="宋体"/>
        <family val="3"/>
        <charset val="134"/>
      </rPr>
      <t>人均消费</t>
    </r>
    <phoneticPr fontId="3" type="noConversion"/>
  </si>
  <si>
    <r>
      <rPr>
        <sz val="9"/>
        <color indexed="8"/>
        <rFont val="宋体"/>
        <family val="3"/>
        <charset val="134"/>
      </rPr>
      <t>座位数</t>
    </r>
    <phoneticPr fontId="3" type="noConversion"/>
  </si>
  <si>
    <r>
      <rPr>
        <sz val="9"/>
        <rFont val="宋体"/>
        <family val="3"/>
        <charset val="134"/>
      </rPr>
      <t>上座率</t>
    </r>
    <phoneticPr fontId="3" type="noConversion"/>
  </si>
  <si>
    <r>
      <rPr>
        <sz val="9"/>
        <rFont val="宋体"/>
        <family val="3"/>
        <charset val="134"/>
      </rPr>
      <t>天数</t>
    </r>
    <phoneticPr fontId="3" type="noConversion"/>
  </si>
  <si>
    <r>
      <rPr>
        <sz val="9"/>
        <rFont val="宋体"/>
        <family val="3"/>
        <charset val="134"/>
      </rPr>
      <t>年收入</t>
    </r>
    <phoneticPr fontId="3" type="noConversion"/>
  </si>
  <si>
    <r>
      <rPr>
        <sz val="9"/>
        <rFont val="宋体"/>
        <family val="3"/>
        <charset val="134"/>
      </rPr>
      <t>（</t>
    </r>
    <r>
      <rPr>
        <sz val="9"/>
        <rFont val="Arial"/>
        <family val="2"/>
      </rPr>
      <t>4</t>
    </r>
    <r>
      <rPr>
        <sz val="9"/>
        <rFont val="宋体"/>
        <family val="3"/>
        <charset val="134"/>
      </rPr>
      <t>）</t>
    </r>
    <phoneticPr fontId="3" type="noConversion"/>
  </si>
  <si>
    <r>
      <rPr>
        <sz val="9"/>
        <rFont val="宋体"/>
        <family val="3"/>
        <charset val="134"/>
      </rPr>
      <t>其他税费</t>
    </r>
    <phoneticPr fontId="3" type="noConversion"/>
  </si>
  <si>
    <r>
      <rPr>
        <b/>
        <sz val="9"/>
        <rFont val="宋体"/>
        <family val="3"/>
        <charset val="134"/>
      </rPr>
      <t>按当地政策需要缴纳的税费、特殊行业需要缴纳的税费</t>
    </r>
    <phoneticPr fontId="3" type="noConversion"/>
  </si>
  <si>
    <r>
      <rPr>
        <sz val="9"/>
        <rFont val="宋体"/>
        <family val="3"/>
        <charset val="134"/>
      </rPr>
      <t>中餐厅</t>
    </r>
    <phoneticPr fontId="3" type="noConversion"/>
  </si>
  <si>
    <r>
      <rPr>
        <b/>
        <sz val="9"/>
        <rFont val="宋体"/>
        <family val="3"/>
        <charset val="134"/>
      </rPr>
      <t>管理以及财务费用</t>
    </r>
    <phoneticPr fontId="3" type="noConversion"/>
  </si>
  <si>
    <r>
      <rPr>
        <b/>
        <sz val="9"/>
        <rFont val="宋体"/>
        <family val="3"/>
        <charset val="134"/>
      </rPr>
      <t>公司经费、审计费、咨询费、修理费、银行手续费等，以年总收入为基数计算</t>
    </r>
    <phoneticPr fontId="3" type="noConversion"/>
  </si>
  <si>
    <r>
      <rPr>
        <sz val="9"/>
        <rFont val="宋体"/>
        <family val="3"/>
        <charset val="134"/>
      </rPr>
      <t>西餐厅</t>
    </r>
    <phoneticPr fontId="3" type="noConversion"/>
  </si>
  <si>
    <r>
      <rPr>
        <b/>
        <sz val="9"/>
        <rFont val="宋体"/>
        <family val="3"/>
        <charset val="134"/>
      </rPr>
      <t>（三）行业利润</t>
    </r>
    <phoneticPr fontId="3" type="noConversion"/>
  </si>
  <si>
    <r>
      <rPr>
        <b/>
        <sz val="9"/>
        <rFont val="宋体"/>
        <family val="3"/>
        <charset val="134"/>
      </rPr>
      <t>应归属于商服经营者的利润，以年总收入为基数计算</t>
    </r>
    <phoneticPr fontId="3" type="noConversion"/>
  </si>
  <si>
    <r>
      <rPr>
        <sz val="9"/>
        <rFont val="宋体"/>
        <family val="3"/>
        <charset val="134"/>
      </rPr>
      <t>其他</t>
    </r>
    <phoneticPr fontId="3" type="noConversion"/>
  </si>
  <si>
    <r>
      <rPr>
        <b/>
        <sz val="9"/>
        <rFont val="宋体"/>
        <family val="3"/>
        <charset val="134"/>
      </rPr>
      <t>（四）房地产价值</t>
    </r>
    <phoneticPr fontId="3" type="noConversion"/>
  </si>
  <si>
    <r>
      <rPr>
        <sz val="9"/>
        <rFont val="宋体"/>
        <family val="3"/>
        <charset val="134"/>
      </rPr>
      <t>按比例</t>
    </r>
  </si>
  <si>
    <r>
      <rPr>
        <sz val="9"/>
        <rFont val="宋体"/>
        <family val="3"/>
        <charset val="134"/>
      </rPr>
      <t>会议室</t>
    </r>
    <phoneticPr fontId="3" type="noConversion"/>
  </si>
  <si>
    <r>
      <rPr>
        <sz val="9"/>
        <color indexed="8"/>
        <rFont val="宋体"/>
        <family val="3"/>
        <charset val="134"/>
      </rPr>
      <t>间数</t>
    </r>
    <phoneticPr fontId="3" type="noConversion"/>
  </si>
  <si>
    <r>
      <rPr>
        <sz val="9"/>
        <color indexed="8"/>
        <rFont val="宋体"/>
        <family val="3"/>
        <charset val="134"/>
      </rPr>
      <t>收费（元</t>
    </r>
    <r>
      <rPr>
        <sz val="9"/>
        <color indexed="8"/>
        <rFont val="Arial"/>
        <family val="2"/>
      </rPr>
      <t>/</t>
    </r>
    <r>
      <rPr>
        <sz val="9"/>
        <color indexed="8"/>
        <rFont val="宋体"/>
        <family val="3"/>
        <charset val="134"/>
      </rPr>
      <t>间</t>
    </r>
    <r>
      <rPr>
        <sz val="9"/>
        <color indexed="8"/>
        <rFont val="Arial"/>
        <family val="2"/>
      </rPr>
      <t>.</t>
    </r>
    <r>
      <rPr>
        <sz val="9"/>
        <color indexed="8"/>
        <rFont val="宋体"/>
        <family val="3"/>
        <charset val="134"/>
      </rPr>
      <t>天）</t>
    </r>
    <phoneticPr fontId="3" type="noConversion"/>
  </si>
  <si>
    <r>
      <rPr>
        <sz val="9"/>
        <rFont val="宋体"/>
        <family val="3"/>
        <charset val="134"/>
      </rPr>
      <t>平均使用率</t>
    </r>
    <phoneticPr fontId="3" type="noConversion"/>
  </si>
  <si>
    <r>
      <rPr>
        <b/>
        <sz val="9"/>
        <rFont val="宋体"/>
        <family val="3"/>
        <charset val="134"/>
      </rPr>
      <t>收益期</t>
    </r>
    <r>
      <rPr>
        <b/>
        <sz val="9"/>
        <rFont val="Arial"/>
        <family val="2"/>
      </rPr>
      <t>1</t>
    </r>
    <phoneticPr fontId="3" type="noConversion"/>
  </si>
  <si>
    <r>
      <rPr>
        <b/>
        <sz val="9"/>
        <rFont val="宋体"/>
        <family val="3"/>
        <charset val="134"/>
      </rPr>
      <t>收益期</t>
    </r>
    <r>
      <rPr>
        <b/>
        <sz val="9"/>
        <rFont val="Arial"/>
        <family val="2"/>
      </rPr>
      <t>2</t>
    </r>
    <phoneticPr fontId="3" type="noConversion"/>
  </si>
  <si>
    <r>
      <rPr>
        <b/>
        <sz val="9"/>
        <rFont val="宋体"/>
        <family val="3"/>
        <charset val="134"/>
      </rPr>
      <t>收益期</t>
    </r>
    <r>
      <rPr>
        <b/>
        <sz val="9"/>
        <rFont val="Arial"/>
        <family val="2"/>
      </rPr>
      <t>3</t>
    </r>
    <phoneticPr fontId="3" type="noConversion"/>
  </si>
  <si>
    <r>
      <rPr>
        <sz val="9"/>
        <rFont val="宋体"/>
        <family val="3"/>
        <charset val="134"/>
      </rPr>
      <t>大</t>
    </r>
    <phoneticPr fontId="3" type="noConversion"/>
  </si>
  <si>
    <r>
      <rPr>
        <b/>
        <sz val="9"/>
        <color indexed="53"/>
        <rFont val="宋体"/>
        <family val="3"/>
        <charset val="134"/>
      </rPr>
      <t>起步期</t>
    </r>
    <phoneticPr fontId="3" type="noConversion"/>
  </si>
  <si>
    <r>
      <rPr>
        <b/>
        <sz val="9"/>
        <color indexed="53"/>
        <rFont val="宋体"/>
        <family val="3"/>
        <charset val="134"/>
      </rPr>
      <t>发展期</t>
    </r>
    <phoneticPr fontId="3" type="noConversion"/>
  </si>
  <si>
    <r>
      <rPr>
        <b/>
        <sz val="9"/>
        <color indexed="53"/>
        <rFont val="宋体"/>
        <family val="3"/>
        <charset val="134"/>
      </rPr>
      <t>稳定期</t>
    </r>
    <phoneticPr fontId="3" type="noConversion"/>
  </si>
  <si>
    <r>
      <rPr>
        <sz val="9"/>
        <rFont val="宋体"/>
        <family val="3"/>
        <charset val="134"/>
      </rPr>
      <t>中</t>
    </r>
    <phoneticPr fontId="3" type="noConversion"/>
  </si>
  <si>
    <r>
      <rPr>
        <sz val="9"/>
        <rFont val="宋体"/>
        <family val="3"/>
        <charset val="134"/>
      </rPr>
      <t>年总收入</t>
    </r>
    <phoneticPr fontId="3" type="noConversion"/>
  </si>
  <si>
    <r>
      <rPr>
        <sz val="9"/>
        <rFont val="宋体"/>
        <family val="3"/>
        <charset val="134"/>
      </rPr>
      <t>小</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</si>
</sst>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8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b/>
      <sz val="16"/>
      <color indexed="10"/>
      <name val="仿宋_GB2312"/>
      <family val="3"/>
      <charset val="134"/>
    </font>
    <font>
      <b/>
      <sz val="16"/>
      <name val="仿宋_GB2312"/>
      <family val="3"/>
      <charset val="134"/>
    </font>
    <font>
      <b/>
      <sz val="14"/>
      <color indexed="10"/>
      <name val="Arial"/>
      <family val="2"/>
    </font>
    <font>
      <b/>
      <sz val="14"/>
      <color indexed="10"/>
      <name val="仿宋_GB2312"/>
      <family val="3"/>
      <charset val="134"/>
    </font>
    <font>
      <b/>
      <sz val="11"/>
      <name val="仿宋_GB2312"/>
      <family val="3"/>
      <charset val="134"/>
    </font>
    <font>
      <sz val="11"/>
      <name val="仿宋_GB2312"/>
      <family val="3"/>
      <charset val="134"/>
    </font>
    <font>
      <b/>
      <sz val="12"/>
      <color indexed="8"/>
      <name val="仿宋_GB2312"/>
      <family val="3"/>
      <charset val="134"/>
    </font>
    <font>
      <sz val="11"/>
      <color indexed="8"/>
      <name val="仿宋_GB2312"/>
      <family val="3"/>
      <charset val="134"/>
    </font>
    <font>
      <sz val="11"/>
      <color theme="9" tint="-0.249977111117893"/>
      <name val="仿宋_GB2312"/>
      <family val="3"/>
      <charset val="134"/>
    </font>
    <font>
      <b/>
      <sz val="11"/>
      <color indexed="8"/>
      <name val="仿宋_GB2312"/>
      <family val="3"/>
      <charset val="134"/>
    </font>
    <font>
      <b/>
      <sz val="11"/>
      <color theme="9" tint="-0.249977111117893"/>
      <name val="仿宋_GB2312"/>
      <family val="3"/>
      <charset val="134"/>
    </font>
    <font>
      <sz val="11"/>
      <name val="楷体_GB2312"/>
      <family val="3"/>
      <charset val="134"/>
    </font>
    <font>
      <b/>
      <sz val="10"/>
      <name val="仿宋_GB2312"/>
      <family val="3"/>
      <charset val="134"/>
    </font>
    <font>
      <b/>
      <sz val="16"/>
      <color indexed="8"/>
      <name val="仿宋_GB2312"/>
      <family val="3"/>
      <charset val="134"/>
    </font>
    <font>
      <sz val="12"/>
      <name val="仿宋_GB2312"/>
      <family val="3"/>
      <charset val="134"/>
    </font>
    <font>
      <sz val="9"/>
      <color rgb="FF000000"/>
      <name val="宋体"/>
      <family val="3"/>
      <charset val="134"/>
      <scheme val="minor"/>
    </font>
    <font>
      <sz val="9"/>
      <color rgb="FFFF0000"/>
      <name val="宋体"/>
      <family val="3"/>
      <charset val="134"/>
      <scheme val="minor"/>
    </font>
    <font>
      <b/>
      <sz val="9"/>
      <color rgb="FF000000"/>
      <name val="宋体"/>
      <family val="3"/>
      <charset val="134"/>
    </font>
    <font>
      <sz val="9"/>
      <color rgb="FF000000"/>
      <name val="宋体"/>
      <family val="3"/>
      <charset val="134"/>
    </font>
    <font>
      <sz val="9"/>
      <name val="Arial"/>
      <family val="2"/>
    </font>
    <font>
      <b/>
      <sz val="9"/>
      <name val="Arial"/>
      <family val="2"/>
    </font>
    <font>
      <b/>
      <sz val="9"/>
      <name val="宋体"/>
      <family val="3"/>
      <charset val="134"/>
    </font>
    <font>
      <sz val="9"/>
      <color theme="1"/>
      <name val="Arial"/>
      <family val="2"/>
    </font>
    <font>
      <b/>
      <sz val="9"/>
      <color theme="1"/>
      <name val="Arial"/>
      <family val="2"/>
    </font>
    <font>
      <b/>
      <sz val="9"/>
      <color theme="9" tint="-0.249977111117893"/>
      <name val="Arial"/>
      <family val="2"/>
    </font>
    <font>
      <b/>
      <sz val="9"/>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2F7FC"/>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406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05" fillId="6" borderId="46" xfId="10" applyFont="1" applyFill="1" applyBorder="1" applyAlignment="1" applyProtection="1">
      <alignment vertical="center"/>
    </xf>
    <xf numFmtId="0" fontId="64" fillId="6" borderId="36" xfId="10" applyFont="1" applyFill="1" applyBorder="1" applyAlignment="1" applyProtection="1">
      <alignment horizontal="right" vertical="center"/>
    </xf>
    <xf numFmtId="0" fontId="64" fillId="6" borderId="0" xfId="10" applyFont="1" applyFill="1" applyAlignment="1" applyProtection="1">
      <alignment horizontal="center" vertical="center"/>
    </xf>
    <xf numFmtId="0" fontId="256" fillId="6" borderId="36" xfId="10" applyFont="1" applyFill="1" applyBorder="1" applyAlignment="1" applyProtection="1">
      <alignment vertical="center"/>
    </xf>
    <xf numFmtId="0" fontId="64" fillId="6" borderId="36" xfId="10" applyFont="1" applyFill="1" applyBorder="1" applyAlignment="1" applyProtection="1">
      <alignment vertical="center"/>
    </xf>
    <xf numFmtId="0" fontId="65" fillId="6" borderId="0" xfId="10" applyFont="1" applyFill="1" applyAlignment="1" applyProtection="1">
      <alignment horizontal="center" vertical="center"/>
    </xf>
    <xf numFmtId="189" fontId="64" fillId="6" borderId="36" xfId="10" applyNumberFormat="1" applyFont="1" applyFill="1" applyBorder="1" applyAlignment="1" applyProtection="1">
      <alignment horizontal="center" vertical="center"/>
    </xf>
    <xf numFmtId="181" fontId="64" fillId="6" borderId="36" xfId="10" applyNumberFormat="1" applyFont="1" applyFill="1" applyBorder="1" applyAlignment="1" applyProtection="1">
      <alignment vertical="center"/>
      <protection locked="0"/>
    </xf>
    <xf numFmtId="0" fontId="64" fillId="6" borderId="36" xfId="10" applyFont="1" applyFill="1" applyBorder="1" applyAlignment="1" applyProtection="1">
      <alignment horizontal="center" vertical="center"/>
      <protection locked="0"/>
    </xf>
    <xf numFmtId="0" fontId="64" fillId="6" borderId="0" xfId="10" applyFont="1" applyFill="1" applyBorder="1" applyAlignment="1" applyProtection="1">
      <alignment horizontal="center" vertical="center"/>
      <protection locked="0"/>
    </xf>
    <xf numFmtId="0" fontId="65" fillId="6" borderId="0" xfId="10" applyFont="1" applyFill="1" applyBorder="1" applyAlignment="1" applyProtection="1">
      <alignment horizontal="center" vertical="center"/>
      <protection locked="0"/>
    </xf>
    <xf numFmtId="0" fontId="65" fillId="0" borderId="0" xfId="10" applyFont="1" applyFill="1" applyBorder="1" applyAlignment="1" applyProtection="1">
      <alignment horizontal="center" vertical="center"/>
    </xf>
    <xf numFmtId="0" fontId="65" fillId="0" borderId="0" xfId="10" applyFont="1" applyFill="1" applyAlignment="1" applyProtection="1">
      <alignment horizontal="center" vertical="center"/>
    </xf>
    <xf numFmtId="177" fontId="59" fillId="6" borderId="1" xfId="10" applyNumberFormat="1" applyFont="1" applyFill="1" applyBorder="1" applyAlignment="1" applyProtection="1">
      <alignment horizontal="right" vertical="center"/>
    </xf>
    <xf numFmtId="0" fontId="59" fillId="13" borderId="0" xfId="10" applyFont="1" applyFill="1" applyBorder="1" applyAlignment="1" applyProtection="1">
      <alignment vertical="center"/>
      <protection locked="0"/>
    </xf>
    <xf numFmtId="0" fontId="64" fillId="13" borderId="0" xfId="10" applyFont="1" applyFill="1" applyBorder="1" applyAlignment="1" applyProtection="1">
      <alignment vertical="center"/>
      <protection locked="0"/>
    </xf>
    <xf numFmtId="0" fontId="67" fillId="13" borderId="0" xfId="10" applyFont="1" applyFill="1" applyBorder="1" applyAlignment="1" applyProtection="1">
      <alignment vertical="center"/>
      <protection locked="0"/>
    </xf>
    <xf numFmtId="189" fontId="64" fillId="13" borderId="0" xfId="10" applyNumberFormat="1" applyFont="1" applyFill="1" applyBorder="1" applyAlignment="1" applyProtection="1">
      <alignment horizontal="center" vertical="center"/>
      <protection locked="0"/>
    </xf>
    <xf numFmtId="181" fontId="64" fillId="6" borderId="0" xfId="10" applyNumberFormat="1" applyFont="1" applyFill="1" applyBorder="1" applyAlignment="1" applyProtection="1">
      <alignment vertical="center"/>
      <protection locked="0"/>
    </xf>
    <xf numFmtId="0" fontId="258" fillId="6" borderId="13" xfId="1" applyFont="1" applyFill="1" applyBorder="1" applyAlignment="1" applyProtection="1">
      <alignment vertical="center"/>
    </xf>
    <xf numFmtId="186" fontId="59" fillId="6" borderId="13" xfId="10" applyNumberFormat="1" applyFont="1" applyFill="1" applyBorder="1" applyAlignment="1" applyProtection="1">
      <alignment horizontal="right" vertical="center"/>
    </xf>
    <xf numFmtId="0" fontId="65" fillId="13" borderId="0" xfId="10" applyFont="1" applyFill="1" applyAlignment="1" applyProtection="1">
      <alignment horizontal="center" vertical="center"/>
      <protection locked="0"/>
    </xf>
    <xf numFmtId="0" fontId="259" fillId="13" borderId="0" xfId="10" applyFont="1" applyFill="1" applyAlignment="1" applyProtection="1">
      <alignment horizontal="center" vertical="center"/>
      <protection locked="0"/>
    </xf>
    <xf numFmtId="0" fontId="64" fillId="6" borderId="60" xfId="10" applyFont="1" applyFill="1" applyBorder="1" applyAlignment="1" applyProtection="1">
      <alignment horizontal="center" vertical="center"/>
      <protection locked="0"/>
    </xf>
    <xf numFmtId="0" fontId="65" fillId="6" borderId="0" xfId="10" applyFont="1" applyFill="1" applyAlignment="1" applyProtection="1">
      <alignment horizontal="center" vertical="center"/>
      <protection locked="0"/>
    </xf>
    <xf numFmtId="0" fontId="59" fillId="6" borderId="13" xfId="10" applyFont="1" applyFill="1" applyBorder="1" applyAlignment="1" applyProtection="1">
      <alignment vertical="center"/>
    </xf>
    <xf numFmtId="0" fontId="59" fillId="6" borderId="1" xfId="10" applyFont="1" applyFill="1" applyBorder="1" applyAlignment="1" applyProtection="1">
      <alignment vertical="center"/>
    </xf>
    <xf numFmtId="0" fontId="59" fillId="6" borderId="46" xfId="10" applyFont="1" applyFill="1" applyBorder="1" applyAlignment="1" applyProtection="1">
      <alignment vertical="center"/>
    </xf>
    <xf numFmtId="0" fontId="130" fillId="6" borderId="22" xfId="10" applyFont="1" applyFill="1" applyBorder="1" applyAlignment="1" applyProtection="1">
      <alignment horizontal="left" vertical="center"/>
    </xf>
    <xf numFmtId="0" fontId="52" fillId="6" borderId="16" xfId="10" applyFont="1" applyFill="1" applyBorder="1" applyAlignment="1" applyProtection="1">
      <alignment vertical="center" wrapText="1"/>
    </xf>
    <xf numFmtId="0" fontId="52" fillId="6" borderId="19" xfId="10" applyFont="1" applyFill="1" applyBorder="1" applyAlignment="1" applyProtection="1">
      <alignment vertical="center" wrapText="1"/>
    </xf>
    <xf numFmtId="189" fontId="46" fillId="6" borderId="3" xfId="10" applyNumberFormat="1" applyFont="1" applyFill="1" applyBorder="1" applyAlignment="1" applyProtection="1">
      <alignment horizontal="center" vertical="center" wrapText="1"/>
    </xf>
    <xf numFmtId="181" fontId="46" fillId="6" borderId="0" xfId="10" applyNumberFormat="1" applyFont="1" applyFill="1" applyBorder="1" applyAlignment="1" applyProtection="1">
      <alignment vertical="center" wrapText="1"/>
      <protection locked="0"/>
    </xf>
    <xf numFmtId="0" fontId="53" fillId="6" borderId="0" xfId="10" applyFont="1" applyFill="1" applyBorder="1" applyAlignment="1" applyProtection="1">
      <alignment horizontal="center" vertical="center"/>
      <protection locked="0"/>
    </xf>
    <xf numFmtId="0" fontId="53" fillId="6" borderId="15" xfId="10" applyFont="1" applyFill="1" applyBorder="1" applyAlignment="1" applyProtection="1">
      <alignment horizontal="center" vertical="center"/>
    </xf>
    <xf numFmtId="0" fontId="53" fillId="0" borderId="0" xfId="10" applyFont="1" applyFill="1" applyAlignment="1" applyProtection="1">
      <alignment horizontal="center" vertical="center"/>
    </xf>
    <xf numFmtId="0" fontId="52" fillId="6" borderId="18" xfId="10" applyFont="1" applyFill="1" applyBorder="1" applyAlignment="1" applyProtection="1">
      <alignment vertical="center" wrapText="1"/>
    </xf>
    <xf numFmtId="0" fontId="52" fillId="6" borderId="0" xfId="10" applyFont="1" applyFill="1" applyBorder="1" applyAlignment="1" applyProtection="1">
      <alignment vertical="center" wrapText="1"/>
    </xf>
    <xf numFmtId="0" fontId="48" fillId="6" borderId="51" xfId="10" applyFont="1" applyFill="1" applyBorder="1" applyAlignment="1" applyProtection="1">
      <alignment vertical="center" wrapText="1"/>
    </xf>
    <xf numFmtId="0" fontId="48" fillId="6" borderId="21" xfId="10" applyFont="1" applyFill="1" applyBorder="1" applyAlignment="1" applyProtection="1">
      <alignment horizontal="left" vertical="center" wrapText="1"/>
    </xf>
    <xf numFmtId="184" fontId="46" fillId="6" borderId="70" xfId="10" applyNumberFormat="1" applyFont="1" applyFill="1" applyBorder="1" applyAlignment="1" applyProtection="1">
      <alignment horizontal="center" vertical="center" wrapText="1"/>
    </xf>
    <xf numFmtId="0" fontId="46" fillId="6" borderId="67" xfId="10" applyNumberFormat="1" applyFont="1" applyFill="1" applyBorder="1" applyAlignment="1" applyProtection="1">
      <alignment horizontal="center" vertical="center" wrapText="1"/>
    </xf>
    <xf numFmtId="184" fontId="46" fillId="0" borderId="70" xfId="10" applyNumberFormat="1" applyFont="1" applyFill="1" applyBorder="1" applyAlignment="1" applyProtection="1">
      <alignment horizontal="center" vertical="center" wrapText="1"/>
      <protection locked="0"/>
    </xf>
    <xf numFmtId="0" fontId="46" fillId="6" borderId="34" xfId="10" applyNumberFormat="1" applyFont="1" applyFill="1" applyBorder="1" applyAlignment="1" applyProtection="1">
      <alignment horizontal="center" vertical="center" wrapText="1"/>
    </xf>
    <xf numFmtId="184" fontId="46" fillId="0" borderId="26" xfId="10" applyNumberFormat="1" applyFont="1" applyFill="1" applyBorder="1" applyAlignment="1" applyProtection="1">
      <alignment horizontal="center" vertical="center" wrapText="1"/>
      <protection locked="0"/>
    </xf>
    <xf numFmtId="0" fontId="46" fillId="6" borderId="3" xfId="10" applyNumberFormat="1" applyFont="1" applyFill="1" applyBorder="1" applyAlignment="1" applyProtection="1">
      <alignment horizontal="center" vertical="center" wrapText="1"/>
    </xf>
    <xf numFmtId="181" fontId="46" fillId="6" borderId="0" xfId="10" applyNumberFormat="1" applyFont="1" applyFill="1" applyBorder="1" applyAlignment="1" applyProtection="1">
      <alignment horizontal="center" vertical="center" wrapText="1"/>
      <protection locked="0"/>
    </xf>
    <xf numFmtId="0" fontId="46" fillId="6" borderId="0" xfId="10" applyFont="1" applyFill="1" applyBorder="1" applyAlignment="1" applyProtection="1">
      <alignment horizontal="center" vertical="center"/>
      <protection locked="0"/>
    </xf>
    <xf numFmtId="188" fontId="46" fillId="6" borderId="5" xfId="10" applyNumberFormat="1" applyFont="1" applyFill="1" applyBorder="1" applyAlignment="1" applyProtection="1">
      <alignment horizontal="center" vertical="center"/>
    </xf>
    <xf numFmtId="49" fontId="46" fillId="6" borderId="3" xfId="10" applyNumberFormat="1" applyFont="1" applyFill="1" applyBorder="1" applyAlignment="1" applyProtection="1">
      <alignment horizontal="center" vertical="center"/>
    </xf>
    <xf numFmtId="0" fontId="46" fillId="6" borderId="15" xfId="10" applyFont="1" applyFill="1" applyBorder="1" applyAlignment="1" applyProtection="1">
      <alignment horizontal="center" vertical="center"/>
    </xf>
    <xf numFmtId="0" fontId="46" fillId="6" borderId="1" xfId="10" applyNumberFormat="1" applyFont="1" applyFill="1" applyBorder="1" applyAlignment="1" applyProtection="1">
      <alignment horizontal="center" vertical="center"/>
    </xf>
    <xf numFmtId="0" fontId="46" fillId="0" borderId="0" xfId="10" applyFont="1" applyFill="1" applyAlignment="1" applyProtection="1">
      <alignment horizontal="center" vertical="center"/>
    </xf>
    <xf numFmtId="0" fontId="48" fillId="6" borderId="37" xfId="10" applyFont="1" applyFill="1" applyBorder="1" applyAlignment="1" applyProtection="1">
      <alignment vertical="center" wrapText="1"/>
    </xf>
    <xf numFmtId="0" fontId="48" fillId="6" borderId="48" xfId="10" applyFont="1" applyFill="1" applyBorder="1" applyAlignment="1" applyProtection="1">
      <alignment horizontal="left" vertical="center" wrapText="1"/>
    </xf>
    <xf numFmtId="49" fontId="46" fillId="2" borderId="70" xfId="10" applyNumberFormat="1" applyFont="1" applyFill="1" applyBorder="1" applyAlignment="1" applyProtection="1">
      <alignment horizontal="center" vertical="center" wrapText="1"/>
      <protection locked="0"/>
    </xf>
    <xf numFmtId="49" fontId="46" fillId="2" borderId="26" xfId="10" applyNumberFormat="1" applyFont="1" applyFill="1" applyBorder="1" applyAlignment="1" applyProtection="1">
      <alignment horizontal="center" vertical="center" wrapText="1"/>
      <protection locked="0"/>
    </xf>
    <xf numFmtId="0" fontId="48" fillId="6" borderId="69" xfId="10" applyFont="1" applyFill="1" applyBorder="1" applyAlignment="1" applyProtection="1">
      <alignment vertical="center" wrapText="1"/>
    </xf>
    <xf numFmtId="0" fontId="48" fillId="6" borderId="71" xfId="10" applyFont="1" applyFill="1" applyBorder="1" applyAlignment="1" applyProtection="1">
      <alignment horizontal="left" vertical="center" wrapText="1"/>
    </xf>
    <xf numFmtId="0" fontId="46" fillId="2" borderId="20" xfId="10" applyNumberFormat="1" applyFont="1" applyFill="1" applyBorder="1" applyAlignment="1" applyProtection="1">
      <alignment horizontal="center" vertical="center" wrapText="1"/>
      <protection locked="0"/>
    </xf>
    <xf numFmtId="0" fontId="46" fillId="6" borderId="10" xfId="10" applyNumberFormat="1" applyFont="1" applyFill="1" applyBorder="1" applyAlignment="1" applyProtection="1">
      <alignment horizontal="center" vertical="center" wrapText="1"/>
    </xf>
    <xf numFmtId="0" fontId="46" fillId="2" borderId="51" xfId="10" applyNumberFormat="1" applyFont="1" applyFill="1" applyBorder="1" applyAlignment="1" applyProtection="1">
      <alignment horizontal="center" vertical="center" wrapText="1"/>
      <protection locked="0"/>
    </xf>
    <xf numFmtId="0" fontId="46" fillId="6" borderId="35" xfId="10" applyFont="1" applyFill="1" applyBorder="1" applyAlignment="1" applyProtection="1">
      <alignment horizontal="center" vertical="center"/>
      <protection locked="0"/>
    </xf>
    <xf numFmtId="0" fontId="46" fillId="6" borderId="1" xfId="10" applyFont="1" applyFill="1" applyBorder="1" applyAlignment="1" applyProtection="1">
      <alignment horizontal="center" vertical="center" wrapText="1"/>
    </xf>
    <xf numFmtId="0" fontId="46" fillId="6" borderId="1" xfId="10" applyFont="1" applyFill="1" applyBorder="1" applyAlignment="1" applyProtection="1">
      <alignment horizontal="center" vertical="center"/>
    </xf>
    <xf numFmtId="0" fontId="68" fillId="6" borderId="37" xfId="10" applyFont="1" applyFill="1" applyBorder="1" applyAlignment="1" applyProtection="1">
      <alignment vertical="center" wrapText="1"/>
    </xf>
    <xf numFmtId="0" fontId="46" fillId="0" borderId="7" xfId="10" applyNumberFormat="1" applyFont="1" applyFill="1" applyBorder="1" applyAlignment="1" applyProtection="1">
      <alignment horizontal="center" vertical="center" wrapText="1"/>
      <protection locked="0"/>
    </xf>
    <xf numFmtId="0" fontId="46" fillId="6" borderId="24" xfId="10" applyNumberFormat="1" applyFont="1" applyFill="1" applyBorder="1" applyAlignment="1" applyProtection="1">
      <alignment horizontal="center" vertical="center" wrapText="1"/>
    </xf>
    <xf numFmtId="49" fontId="46" fillId="0" borderId="41" xfId="10" applyNumberFormat="1" applyFont="1" applyFill="1" applyBorder="1" applyAlignment="1" applyProtection="1">
      <alignment horizontal="center" vertical="center" wrapText="1"/>
      <protection locked="0"/>
    </xf>
    <xf numFmtId="49" fontId="46" fillId="0" borderId="7" xfId="10" applyNumberFormat="1" applyFont="1" applyFill="1" applyBorder="1" applyAlignment="1" applyProtection="1">
      <alignment horizontal="center" vertical="center" wrapText="1"/>
      <protection locked="0"/>
    </xf>
    <xf numFmtId="0" fontId="63" fillId="6" borderId="3" xfId="10" applyNumberFormat="1" applyFont="1" applyFill="1" applyBorder="1" applyAlignment="1" applyProtection="1">
      <alignment horizontal="center" vertical="center" wrapText="1"/>
    </xf>
    <xf numFmtId="181" fontId="69" fillId="6" borderId="0" xfId="10" applyNumberFormat="1" applyFont="1" applyFill="1" applyBorder="1" applyAlignment="1" applyProtection="1">
      <alignment horizontal="center" vertical="center" wrapText="1"/>
      <protection locked="0"/>
    </xf>
    <xf numFmtId="0" fontId="69" fillId="6" borderId="35" xfId="10" applyFont="1" applyFill="1" applyBorder="1" applyAlignment="1" applyProtection="1">
      <alignment horizontal="center" vertical="center"/>
      <protection locked="0"/>
    </xf>
    <xf numFmtId="0" fontId="69" fillId="0" borderId="0" xfId="10" applyFont="1" applyFill="1" applyAlignment="1" applyProtection="1">
      <alignment horizontal="center" vertical="center"/>
    </xf>
    <xf numFmtId="0" fontId="52" fillId="6" borderId="37" xfId="10" applyFont="1" applyFill="1" applyBorder="1" applyAlignment="1" applyProtection="1">
      <alignment vertical="center" wrapText="1"/>
    </xf>
    <xf numFmtId="0" fontId="46" fillId="0" borderId="3" xfId="10" applyNumberFormat="1" applyFont="1" applyFill="1" applyBorder="1" applyAlignment="1" applyProtection="1">
      <alignment horizontal="center" vertical="center" wrapText="1"/>
      <protection locked="0"/>
    </xf>
    <xf numFmtId="0" fontId="46" fillId="0" borderId="23" xfId="10" applyNumberFormat="1" applyFont="1" applyFill="1" applyBorder="1" applyAlignment="1" applyProtection="1">
      <alignment horizontal="center" vertical="center" wrapText="1"/>
      <protection locked="0"/>
    </xf>
    <xf numFmtId="0" fontId="63" fillId="0" borderId="3" xfId="10" applyNumberFormat="1" applyFont="1" applyFill="1" applyBorder="1" applyAlignment="1" applyProtection="1">
      <alignment horizontal="center" vertical="center" wrapText="1"/>
      <protection locked="0"/>
    </xf>
    <xf numFmtId="181" fontId="51" fillId="6" borderId="0" xfId="10" applyNumberFormat="1" applyFont="1" applyFill="1" applyBorder="1" applyAlignment="1" applyProtection="1">
      <alignment horizontal="center" vertical="center" wrapText="1"/>
      <protection locked="0"/>
    </xf>
    <xf numFmtId="0" fontId="53" fillId="6" borderId="35" xfId="10" applyFont="1" applyFill="1" applyBorder="1" applyAlignment="1" applyProtection="1">
      <alignment horizontal="center" vertical="center"/>
      <protection locked="0"/>
    </xf>
    <xf numFmtId="0" fontId="48" fillId="6" borderId="48" xfId="10" applyFont="1" applyFill="1" applyBorder="1" applyAlignment="1" applyProtection="1">
      <alignment horizontal="left" vertical="center" wrapText="1"/>
      <protection locked="0"/>
    </xf>
    <xf numFmtId="0" fontId="261" fillId="0" borderId="7" xfId="10" applyNumberFormat="1" applyFont="1" applyFill="1" applyBorder="1" applyAlignment="1" applyProtection="1">
      <alignment horizontal="center" vertical="center" wrapText="1"/>
      <protection locked="0"/>
    </xf>
    <xf numFmtId="0" fontId="46" fillId="6" borderId="71" xfId="10" applyNumberFormat="1" applyFont="1" applyFill="1" applyBorder="1" applyAlignment="1" applyProtection="1">
      <alignment horizontal="center" vertical="center" wrapText="1"/>
    </xf>
    <xf numFmtId="49" fontId="261" fillId="0" borderId="41" xfId="10" applyNumberFormat="1" applyFont="1" applyFill="1" applyBorder="1" applyAlignment="1" applyProtection="1">
      <alignment horizontal="center" vertical="center" wrapText="1"/>
      <protection locked="0"/>
    </xf>
    <xf numFmtId="0" fontId="52" fillId="7" borderId="69" xfId="10" applyFont="1" applyFill="1" applyBorder="1" applyAlignment="1" applyProtection="1">
      <alignment vertical="center" wrapText="1"/>
    </xf>
    <xf numFmtId="0" fontId="48" fillId="7" borderId="71" xfId="10" applyFont="1" applyFill="1" applyBorder="1" applyAlignment="1" applyProtection="1">
      <alignment horizontal="left" vertical="center" wrapText="1"/>
      <protection locked="0"/>
    </xf>
    <xf numFmtId="0" fontId="53" fillId="0" borderId="54" xfId="10" applyNumberFormat="1" applyFont="1" applyFill="1" applyBorder="1" applyAlignment="1" applyProtection="1">
      <alignment horizontal="center" vertical="center" wrapText="1"/>
      <protection locked="0"/>
    </xf>
    <xf numFmtId="0" fontId="53" fillId="6" borderId="24" xfId="10" applyNumberFormat="1" applyFont="1" applyFill="1" applyBorder="1" applyAlignment="1" applyProtection="1">
      <alignment horizontal="center" vertical="center" wrapText="1"/>
    </xf>
    <xf numFmtId="0" fontId="53" fillId="0" borderId="1" xfId="10" applyNumberFormat="1" applyFont="1" applyFill="1" applyBorder="1" applyAlignment="1" applyProtection="1">
      <alignment horizontal="center" vertical="center" wrapText="1"/>
      <protection locked="0"/>
    </xf>
    <xf numFmtId="0" fontId="53" fillId="0" borderId="23" xfId="10" applyNumberFormat="1" applyFont="1" applyFill="1" applyBorder="1" applyAlignment="1" applyProtection="1">
      <alignment horizontal="center" vertical="center" wrapText="1"/>
      <protection locked="0"/>
    </xf>
    <xf numFmtId="181" fontId="70" fillId="6" borderId="0" xfId="10" applyNumberFormat="1" applyFont="1" applyFill="1" applyBorder="1" applyAlignment="1" applyProtection="1">
      <alignment horizontal="center" vertical="center" wrapText="1"/>
      <protection locked="0"/>
    </xf>
    <xf numFmtId="0" fontId="52" fillId="7" borderId="42" xfId="10" applyFont="1" applyFill="1" applyBorder="1" applyAlignment="1" applyProtection="1">
      <alignment vertical="center" wrapText="1"/>
    </xf>
    <xf numFmtId="0" fontId="48" fillId="7" borderId="43" xfId="10" applyFont="1" applyFill="1" applyBorder="1" applyAlignment="1" applyProtection="1">
      <alignment horizontal="left" vertical="center" wrapText="1"/>
      <protection locked="0"/>
    </xf>
    <xf numFmtId="0" fontId="53" fillId="0" borderId="52" xfId="10" applyNumberFormat="1" applyFont="1" applyFill="1" applyBorder="1" applyAlignment="1" applyProtection="1">
      <alignment horizontal="center" vertical="center" wrapText="1"/>
      <protection locked="0"/>
    </xf>
    <xf numFmtId="0" fontId="53" fillId="6" borderId="49" xfId="10" applyNumberFormat="1" applyFont="1" applyFill="1" applyBorder="1" applyAlignment="1" applyProtection="1">
      <alignment horizontal="center" vertical="center" wrapText="1"/>
    </xf>
    <xf numFmtId="0" fontId="197" fillId="6" borderId="14" xfId="10" applyFont="1" applyFill="1" applyBorder="1" applyAlignment="1" applyProtection="1">
      <alignment vertical="center" wrapText="1"/>
    </xf>
    <xf numFmtId="0" fontId="46" fillId="6" borderId="53" xfId="10" applyFont="1" applyFill="1" applyBorder="1" applyAlignment="1" applyProtection="1">
      <alignment horizontal="center" vertical="center" wrapText="1"/>
    </xf>
    <xf numFmtId="49" fontId="53" fillId="6" borderId="39" xfId="10" applyNumberFormat="1" applyFont="1" applyFill="1" applyBorder="1" applyAlignment="1" applyProtection="1">
      <alignment horizontal="center" vertical="center" wrapText="1"/>
    </xf>
    <xf numFmtId="0" fontId="53" fillId="6" borderId="29" xfId="10" applyNumberFormat="1" applyFont="1" applyFill="1" applyBorder="1" applyAlignment="1" applyProtection="1">
      <alignment horizontal="center" vertical="center" wrapText="1"/>
    </xf>
    <xf numFmtId="49" fontId="53" fillId="0" borderId="40" xfId="10" applyNumberFormat="1" applyFont="1" applyFill="1" applyBorder="1" applyAlignment="1" applyProtection="1">
      <alignment horizontal="center" vertical="center" wrapText="1"/>
      <protection locked="0"/>
    </xf>
    <xf numFmtId="0" fontId="53" fillId="6" borderId="62" xfId="10" applyNumberFormat="1" applyFont="1" applyFill="1" applyBorder="1" applyAlignment="1" applyProtection="1">
      <alignment horizontal="center" vertical="center" wrapText="1"/>
    </xf>
    <xf numFmtId="49" fontId="53" fillId="0" borderId="39" xfId="10" applyNumberFormat="1" applyFont="1" applyFill="1" applyBorder="1" applyAlignment="1" applyProtection="1">
      <alignment horizontal="center" vertical="center" wrapText="1"/>
      <protection locked="0"/>
    </xf>
    <xf numFmtId="0" fontId="53" fillId="6" borderId="1" xfId="10" applyFont="1" applyFill="1" applyBorder="1" applyAlignment="1" applyProtection="1">
      <alignment horizontal="center" vertical="center" wrapText="1"/>
    </xf>
    <xf numFmtId="188" fontId="53" fillId="6" borderId="5" xfId="10" applyNumberFormat="1" applyFont="1" applyFill="1" applyBorder="1" applyAlignment="1" applyProtection="1">
      <alignment horizontal="center" vertical="center"/>
    </xf>
    <xf numFmtId="49" fontId="53" fillId="6" borderId="3" xfId="10" applyNumberFormat="1" applyFont="1" applyFill="1" applyBorder="1" applyAlignment="1" applyProtection="1">
      <alignment horizontal="center" vertical="center"/>
    </xf>
    <xf numFmtId="0" fontId="53" fillId="6" borderId="1" xfId="10" applyFont="1" applyFill="1" applyBorder="1" applyAlignment="1" applyProtection="1">
      <alignment horizontal="center" vertical="center"/>
    </xf>
    <xf numFmtId="0" fontId="53" fillId="6" borderId="1" xfId="10" applyNumberFormat="1" applyFont="1" applyFill="1" applyBorder="1" applyAlignment="1" applyProtection="1">
      <alignment horizontal="center" vertical="center"/>
    </xf>
    <xf numFmtId="0" fontId="52" fillId="6" borderId="14" xfId="10" applyFont="1" applyFill="1" applyBorder="1" applyAlignment="1" applyProtection="1">
      <alignment vertical="center" wrapText="1"/>
    </xf>
    <xf numFmtId="0" fontId="53" fillId="6" borderId="56" xfId="10" applyFont="1" applyFill="1" applyBorder="1" applyAlignment="1" applyProtection="1">
      <alignment horizontal="center" vertical="center"/>
    </xf>
    <xf numFmtId="0" fontId="53" fillId="2" borderId="7" xfId="10" applyNumberFormat="1" applyFont="1" applyFill="1" applyBorder="1" applyAlignment="1" applyProtection="1">
      <alignment horizontal="center" vertical="center" wrapText="1"/>
      <protection locked="0"/>
    </xf>
    <xf numFmtId="0" fontId="53" fillId="6" borderId="4" xfId="10" applyNumberFormat="1" applyFont="1" applyFill="1" applyBorder="1" applyAlignment="1" applyProtection="1">
      <alignment horizontal="center" vertical="center" wrapText="1"/>
    </xf>
    <xf numFmtId="49" fontId="53" fillId="2" borderId="41" xfId="10" applyNumberFormat="1" applyFont="1" applyFill="1" applyBorder="1" applyAlignment="1" applyProtection="1">
      <alignment horizontal="center" vertical="center" wrapText="1"/>
      <protection locked="0"/>
    </xf>
    <xf numFmtId="0" fontId="53" fillId="6" borderId="8" xfId="10" applyNumberFormat="1" applyFont="1" applyFill="1" applyBorder="1" applyAlignment="1" applyProtection="1">
      <alignment horizontal="center" vertical="center" wrapText="1"/>
    </xf>
    <xf numFmtId="49" fontId="53" fillId="2" borderId="7" xfId="10" applyNumberFormat="1" applyFont="1" applyFill="1" applyBorder="1" applyAlignment="1" applyProtection="1">
      <alignment horizontal="center" vertical="center" wrapText="1"/>
      <protection locked="0"/>
    </xf>
    <xf numFmtId="0" fontId="53" fillId="6" borderId="53" xfId="10" applyNumberFormat="1" applyFont="1" applyFill="1" applyBorder="1" applyAlignment="1" applyProtection="1">
      <alignment horizontal="center" vertical="center" wrapText="1"/>
    </xf>
    <xf numFmtId="0" fontId="46" fillId="6" borderId="61" xfId="10" applyFont="1" applyFill="1" applyBorder="1" applyAlignment="1" applyProtection="1">
      <alignment horizontal="center" vertical="center" wrapText="1"/>
    </xf>
    <xf numFmtId="49" fontId="53" fillId="6" borderId="22" xfId="10" applyNumberFormat="1" applyFont="1" applyFill="1" applyBorder="1" applyAlignment="1" applyProtection="1">
      <alignment horizontal="center" vertical="center" wrapText="1"/>
    </xf>
    <xf numFmtId="0" fontId="53" fillId="6" borderId="58" xfId="10" applyNumberFormat="1" applyFont="1" applyFill="1" applyBorder="1" applyAlignment="1" applyProtection="1">
      <alignment horizontal="center" vertical="center" wrapText="1"/>
    </xf>
    <xf numFmtId="49" fontId="53" fillId="0" borderId="14" xfId="10" applyNumberFormat="1" applyFont="1" applyFill="1" applyBorder="1" applyAlignment="1" applyProtection="1">
      <alignment horizontal="center" vertical="center" wrapText="1"/>
      <protection locked="0"/>
    </xf>
    <xf numFmtId="49" fontId="53" fillId="0" borderId="35" xfId="10" applyNumberFormat="1" applyFont="1" applyFill="1" applyBorder="1" applyAlignment="1" applyProtection="1">
      <alignment horizontal="center" vertical="center" wrapText="1"/>
      <protection locked="0"/>
    </xf>
    <xf numFmtId="0" fontId="53" fillId="6" borderId="61" xfId="10" applyNumberFormat="1" applyFont="1" applyFill="1" applyBorder="1" applyAlignment="1" applyProtection="1">
      <alignment horizontal="center" vertical="center" wrapText="1"/>
    </xf>
    <xf numFmtId="0" fontId="46" fillId="6" borderId="8" xfId="10" applyFont="1" applyFill="1" applyBorder="1" applyAlignment="1" applyProtection="1">
      <alignment horizontal="center" vertical="center" wrapText="1"/>
    </xf>
    <xf numFmtId="0" fontId="53" fillId="2" borderId="35" xfId="10" applyNumberFormat="1" applyFont="1" applyFill="1" applyBorder="1" applyAlignment="1" applyProtection="1">
      <alignment horizontal="center" vertical="center" wrapText="1"/>
      <protection locked="0"/>
    </xf>
    <xf numFmtId="49" fontId="53" fillId="2" borderId="14" xfId="10" applyNumberFormat="1" applyFont="1" applyFill="1" applyBorder="1" applyAlignment="1" applyProtection="1">
      <alignment horizontal="center" vertical="center" wrapText="1"/>
      <protection locked="0"/>
    </xf>
    <xf numFmtId="49" fontId="53" fillId="2" borderId="35" xfId="10" applyNumberFormat="1" applyFont="1" applyFill="1" applyBorder="1" applyAlignment="1" applyProtection="1">
      <alignment horizontal="center" vertical="center" wrapText="1"/>
      <protection locked="0"/>
    </xf>
    <xf numFmtId="0" fontId="53" fillId="6" borderId="46" xfId="10" applyNumberFormat="1" applyFont="1" applyFill="1" applyBorder="1" applyAlignment="1" applyProtection="1">
      <alignment horizontal="center" vertical="center" wrapText="1"/>
    </xf>
    <xf numFmtId="49" fontId="53" fillId="0" borderId="11" xfId="10" applyNumberFormat="1" applyFont="1" applyFill="1" applyBorder="1" applyAlignment="1" applyProtection="1">
      <alignment horizontal="center" vertical="center" wrapText="1"/>
      <protection locked="0"/>
    </xf>
    <xf numFmtId="49" fontId="53" fillId="0" borderId="22" xfId="10" applyNumberFormat="1" applyFont="1" applyFill="1" applyBorder="1" applyAlignment="1" applyProtection="1">
      <alignment horizontal="center" vertical="center" wrapText="1"/>
      <protection locked="0"/>
    </xf>
    <xf numFmtId="0" fontId="53" fillId="6" borderId="22" xfId="10" applyNumberFormat="1" applyFont="1" applyFill="1" applyBorder="1" applyAlignment="1" applyProtection="1">
      <alignment horizontal="center" vertical="center" wrapText="1"/>
    </xf>
    <xf numFmtId="0" fontId="46" fillId="6" borderId="13" xfId="10" applyFont="1" applyFill="1" applyBorder="1" applyAlignment="1" applyProtection="1">
      <alignment horizontal="center" vertical="center" wrapText="1"/>
    </xf>
    <xf numFmtId="0" fontId="46" fillId="6" borderId="2" xfId="10" applyFont="1" applyFill="1" applyBorder="1" applyAlignment="1" applyProtection="1">
      <alignment horizontal="center" vertical="center" wrapText="1"/>
    </xf>
    <xf numFmtId="0" fontId="53" fillId="2" borderId="41" xfId="10" applyNumberFormat="1" applyFont="1" applyFill="1" applyBorder="1" applyAlignment="1" applyProtection="1">
      <alignment horizontal="center" vertical="center" wrapText="1"/>
      <protection locked="0"/>
    </xf>
    <xf numFmtId="0" fontId="48" fillId="6" borderId="18" xfId="10" applyFont="1" applyFill="1" applyBorder="1" applyAlignment="1" applyProtection="1">
      <alignment vertical="center" wrapText="1"/>
    </xf>
    <xf numFmtId="0" fontId="261" fillId="6" borderId="53" xfId="10" applyFont="1" applyFill="1" applyBorder="1" applyAlignment="1" applyProtection="1">
      <alignment horizontal="center" vertical="center" wrapText="1"/>
    </xf>
    <xf numFmtId="0" fontId="46" fillId="2" borderId="60" xfId="10" applyNumberFormat="1" applyFont="1" applyFill="1" applyBorder="1" applyAlignment="1" applyProtection="1">
      <alignment horizontal="center" vertical="center" wrapText="1"/>
      <protection locked="0"/>
    </xf>
    <xf numFmtId="0" fontId="46" fillId="2" borderId="69" xfId="10" applyNumberFormat="1" applyFont="1" applyFill="1" applyBorder="1" applyAlignment="1" applyProtection="1">
      <alignment horizontal="center" vertical="center" wrapText="1"/>
      <protection locked="0"/>
    </xf>
    <xf numFmtId="0" fontId="53" fillId="2" borderId="54" xfId="10" applyNumberFormat="1" applyFont="1" applyFill="1" applyBorder="1" applyAlignment="1" applyProtection="1">
      <alignment horizontal="center" vertical="center" wrapText="1"/>
      <protection locked="0"/>
    </xf>
    <xf numFmtId="0" fontId="53" fillId="6" borderId="5" xfId="10" applyNumberFormat="1" applyFont="1" applyFill="1" applyBorder="1" applyAlignment="1" applyProtection="1">
      <alignment horizontal="center" vertical="center" wrapText="1"/>
    </xf>
    <xf numFmtId="0" fontId="53" fillId="2" borderId="37" xfId="10" applyNumberFormat="1" applyFont="1" applyFill="1" applyBorder="1" applyAlignment="1" applyProtection="1">
      <alignment horizontal="center" vertical="center" wrapText="1"/>
      <protection locked="0"/>
    </xf>
    <xf numFmtId="49" fontId="97" fillId="0" borderId="35" xfId="10" applyNumberFormat="1" applyFont="1" applyFill="1" applyBorder="1" applyAlignment="1" applyProtection="1">
      <alignment horizontal="center" vertical="center" wrapText="1"/>
      <protection locked="0"/>
    </xf>
    <xf numFmtId="49" fontId="97" fillId="0" borderId="14" xfId="10" applyNumberFormat="1" applyFont="1" applyFill="1" applyBorder="1" applyAlignment="1" applyProtection="1">
      <alignment horizontal="center" vertical="center" wrapText="1"/>
      <protection locked="0"/>
    </xf>
    <xf numFmtId="0" fontId="60" fillId="6" borderId="3" xfId="10" applyNumberFormat="1" applyFont="1" applyFill="1" applyBorder="1" applyAlignment="1" applyProtection="1">
      <alignment horizontal="center" vertical="center" wrapText="1"/>
    </xf>
    <xf numFmtId="0" fontId="46" fillId="6" borderId="24" xfId="10" applyFont="1" applyFill="1" applyBorder="1" applyAlignment="1" applyProtection="1">
      <alignment horizontal="center" vertical="center" wrapText="1"/>
    </xf>
    <xf numFmtId="0" fontId="60" fillId="0" borderId="3" xfId="10" applyNumberFormat="1" applyFont="1" applyFill="1" applyBorder="1" applyAlignment="1" applyProtection="1">
      <alignment horizontal="center" vertical="center" wrapText="1"/>
      <protection locked="0"/>
    </xf>
    <xf numFmtId="0" fontId="46" fillId="0" borderId="24" xfId="10" applyFont="1" applyFill="1" applyBorder="1" applyAlignment="1" applyProtection="1">
      <alignment horizontal="center" vertical="center" wrapText="1"/>
      <protection locked="0"/>
    </xf>
    <xf numFmtId="0" fontId="53" fillId="0" borderId="3" xfId="10" applyNumberFormat="1" applyFont="1" applyFill="1" applyBorder="1" applyAlignment="1" applyProtection="1">
      <alignment horizontal="center" vertical="center" wrapText="1"/>
      <protection locked="0"/>
    </xf>
    <xf numFmtId="0" fontId="53" fillId="6" borderId="18" xfId="10" applyFont="1" applyFill="1" applyBorder="1" applyAlignment="1" applyProtection="1">
      <alignment horizontal="center" vertical="center"/>
    </xf>
    <xf numFmtId="0" fontId="53" fillId="0" borderId="24" xfId="10" applyFont="1" applyFill="1" applyBorder="1" applyAlignment="1" applyProtection="1">
      <alignment horizontal="center" vertical="center"/>
      <protection locked="0"/>
    </xf>
    <xf numFmtId="0" fontId="71" fillId="6" borderId="42" xfId="10" applyFont="1" applyFill="1" applyBorder="1" applyAlignment="1" applyProtection="1">
      <alignment vertical="center" textRotation="255" wrapText="1"/>
    </xf>
    <xf numFmtId="0" fontId="51" fillId="0" borderId="49" xfId="10" applyFont="1" applyFill="1" applyBorder="1" applyAlignment="1" applyProtection="1">
      <alignment horizontal="center" vertical="center"/>
      <protection locked="0"/>
    </xf>
    <xf numFmtId="0" fontId="53" fillId="0" borderId="22" xfId="10" applyNumberFormat="1" applyFont="1" applyFill="1" applyBorder="1" applyAlignment="1" applyProtection="1">
      <alignment horizontal="center" vertical="center" wrapText="1"/>
      <protection locked="0"/>
    </xf>
    <xf numFmtId="0" fontId="46" fillId="6" borderId="46" xfId="10" applyNumberFormat="1" applyFont="1" applyFill="1" applyBorder="1" applyAlignment="1" applyProtection="1">
      <alignment horizontal="center" vertical="center" wrapText="1"/>
    </xf>
    <xf numFmtId="0" fontId="53" fillId="0" borderId="25" xfId="10" applyNumberFormat="1" applyFont="1" applyFill="1" applyBorder="1" applyAlignment="1" applyProtection="1">
      <alignment horizontal="center" vertical="center" wrapText="1"/>
      <protection locked="0"/>
    </xf>
    <xf numFmtId="0" fontId="53" fillId="0" borderId="66" xfId="10" applyNumberFormat="1" applyFont="1" applyFill="1" applyBorder="1" applyAlignment="1" applyProtection="1">
      <alignment horizontal="center" vertical="center" wrapText="1"/>
      <protection locked="0"/>
    </xf>
    <xf numFmtId="0" fontId="51" fillId="6" borderId="35" xfId="10" applyFont="1" applyFill="1" applyBorder="1" applyAlignment="1" applyProtection="1">
      <alignment horizontal="center" vertical="center"/>
      <protection locked="0"/>
    </xf>
    <xf numFmtId="188" fontId="51" fillId="6" borderId="5" xfId="10" applyNumberFormat="1" applyFont="1" applyFill="1" applyBorder="1" applyAlignment="1" applyProtection="1">
      <alignment horizontal="center" vertical="center"/>
    </xf>
    <xf numFmtId="49" fontId="51" fillId="6" borderId="3" xfId="10" applyNumberFormat="1" applyFont="1" applyFill="1" applyBorder="1" applyAlignment="1" applyProtection="1">
      <alignment horizontal="center" vertical="center"/>
    </xf>
    <xf numFmtId="0" fontId="51" fillId="6" borderId="15" xfId="10" applyFont="1" applyFill="1" applyBorder="1" applyAlignment="1" applyProtection="1">
      <alignment horizontal="center" vertical="center"/>
    </xf>
    <xf numFmtId="0" fontId="51" fillId="6" borderId="1" xfId="10" applyFont="1" applyFill="1" applyBorder="1" applyAlignment="1" applyProtection="1">
      <alignment horizontal="center" vertical="center"/>
    </xf>
    <xf numFmtId="0" fontId="51" fillId="0" borderId="0" xfId="10" applyFont="1" applyFill="1" applyAlignment="1" applyProtection="1">
      <alignment horizontal="center" vertical="center"/>
    </xf>
    <xf numFmtId="0" fontId="197" fillId="6" borderId="40" xfId="10" applyFont="1" applyFill="1" applyBorder="1" applyAlignment="1" applyProtection="1">
      <alignment vertical="center" wrapText="1"/>
    </xf>
    <xf numFmtId="0" fontId="46" fillId="6" borderId="4" xfId="10" applyFont="1" applyFill="1" applyBorder="1" applyAlignment="1" applyProtection="1">
      <alignment horizontal="center" vertical="center" wrapText="1"/>
    </xf>
    <xf numFmtId="0" fontId="53" fillId="0" borderId="6" xfId="10" applyNumberFormat="1" applyFont="1" applyFill="1" applyBorder="1" applyAlignment="1" applyProtection="1">
      <alignment horizontal="center" vertical="center" wrapText="1"/>
      <protection locked="0"/>
    </xf>
    <xf numFmtId="0" fontId="53" fillId="6" borderId="10" xfId="10" applyNumberFormat="1" applyFont="1" applyFill="1" applyBorder="1" applyAlignment="1" applyProtection="1">
      <alignment horizontal="center" vertical="center" wrapText="1"/>
    </xf>
    <xf numFmtId="0" fontId="53" fillId="0" borderId="9" xfId="10" applyNumberFormat="1" applyFont="1" applyFill="1" applyBorder="1" applyAlignment="1" applyProtection="1">
      <alignment horizontal="center" vertical="center" wrapText="1"/>
      <protection locked="0"/>
    </xf>
    <xf numFmtId="0" fontId="52" fillId="6" borderId="14" xfId="10" applyFont="1" applyFill="1" applyBorder="1" applyAlignment="1" applyProtection="1">
      <alignment vertical="center" textRotation="255" wrapText="1"/>
    </xf>
    <xf numFmtId="0" fontId="46" fillId="6" borderId="5" xfId="10" applyFont="1" applyFill="1" applyBorder="1" applyAlignment="1" applyProtection="1">
      <alignment horizontal="center" vertical="center" wrapText="1"/>
    </xf>
    <xf numFmtId="49" fontId="53" fillId="2" borderId="23" xfId="10" applyNumberFormat="1" applyFont="1" applyFill="1" applyBorder="1" applyAlignment="1" applyProtection="1">
      <alignment horizontal="center" vertical="center" wrapText="1"/>
      <protection locked="0"/>
    </xf>
    <xf numFmtId="0" fontId="48" fillId="6" borderId="14" xfId="10" applyFont="1" applyFill="1" applyBorder="1" applyAlignment="1" applyProtection="1">
      <alignment vertical="center" textRotation="255" wrapText="1"/>
    </xf>
    <xf numFmtId="0" fontId="261" fillId="6" borderId="5" xfId="10" applyFont="1" applyFill="1" applyBorder="1" applyAlignment="1" applyProtection="1">
      <alignment horizontal="center" vertical="center" wrapText="1"/>
    </xf>
    <xf numFmtId="9" fontId="46" fillId="2" borderId="37" xfId="10" applyNumberFormat="1" applyFont="1" applyFill="1" applyBorder="1" applyAlignment="1" applyProtection="1">
      <alignment horizontal="center" vertical="center" wrapText="1"/>
      <protection locked="0"/>
    </xf>
    <xf numFmtId="0" fontId="53" fillId="0" borderId="5" xfId="10" applyFont="1" applyFill="1" applyBorder="1" applyAlignment="1" applyProtection="1">
      <alignment horizontal="center" vertical="center"/>
      <protection locked="0"/>
    </xf>
    <xf numFmtId="0" fontId="71" fillId="6" borderId="14" xfId="10" applyFont="1" applyFill="1" applyBorder="1" applyAlignment="1" applyProtection="1">
      <alignment vertical="center" textRotation="255" wrapText="1"/>
    </xf>
    <xf numFmtId="0" fontId="51" fillId="0" borderId="38" xfId="10" applyNumberFormat="1" applyFont="1" applyFill="1" applyBorder="1" applyAlignment="1" applyProtection="1">
      <alignment horizontal="center" vertical="center" wrapText="1"/>
      <protection locked="0"/>
    </xf>
    <xf numFmtId="0" fontId="51" fillId="6" borderId="49" xfId="10" applyNumberFormat="1" applyFont="1" applyFill="1" applyBorder="1" applyAlignment="1" applyProtection="1">
      <alignment horizontal="center" vertical="center" wrapText="1"/>
    </xf>
    <xf numFmtId="0" fontId="73" fillId="6" borderId="3" xfId="10" applyNumberFormat="1" applyFont="1" applyFill="1" applyBorder="1" applyAlignment="1" applyProtection="1">
      <alignment horizontal="center" vertical="center" wrapText="1"/>
    </xf>
    <xf numFmtId="49" fontId="52" fillId="6" borderId="51" xfId="10" applyNumberFormat="1" applyFont="1" applyFill="1" applyBorder="1" applyAlignment="1" applyProtection="1">
      <alignment vertical="center"/>
    </xf>
    <xf numFmtId="49" fontId="52" fillId="2" borderId="10" xfId="10" applyNumberFormat="1" applyFont="1" applyFill="1" applyBorder="1" applyAlignment="1" applyProtection="1">
      <alignment vertical="center"/>
      <protection locked="0"/>
    </xf>
    <xf numFmtId="0" fontId="52" fillId="6" borderId="20" xfId="10" applyFont="1" applyFill="1" applyBorder="1" applyAlignment="1" applyProtection="1">
      <alignment horizontal="right" vertical="center" wrapText="1"/>
    </xf>
    <xf numFmtId="0" fontId="52" fillId="6" borderId="21" xfId="10" applyFont="1" applyFill="1" applyBorder="1" applyAlignment="1" applyProtection="1">
      <alignment vertical="center" wrapText="1"/>
    </xf>
    <xf numFmtId="0" fontId="72" fillId="3" borderId="20" xfId="10" applyFont="1" applyFill="1" applyBorder="1" applyAlignment="1" applyProtection="1">
      <alignment vertical="center" wrapText="1"/>
      <protection locked="0"/>
    </xf>
    <xf numFmtId="0" fontId="72" fillId="6" borderId="20" xfId="10" applyFont="1" applyFill="1" applyBorder="1" applyAlignment="1" applyProtection="1">
      <alignment vertical="center" wrapText="1"/>
    </xf>
    <xf numFmtId="0" fontId="72" fillId="3" borderId="51" xfId="10" applyFont="1" applyFill="1" applyBorder="1" applyAlignment="1" applyProtection="1">
      <alignment vertical="center" wrapText="1"/>
      <protection locked="0"/>
    </xf>
    <xf numFmtId="0" fontId="72" fillId="6" borderId="21" xfId="10" applyFont="1" applyFill="1" applyBorder="1" applyAlignment="1" applyProtection="1">
      <alignment vertical="center" wrapText="1"/>
    </xf>
    <xf numFmtId="189" fontId="53" fillId="3" borderId="3" xfId="10" applyNumberFormat="1" applyFont="1" applyFill="1" applyBorder="1" applyAlignment="1" applyProtection="1">
      <alignment horizontal="center" vertical="center"/>
    </xf>
    <xf numFmtId="181" fontId="53" fillId="6" borderId="0" xfId="10" applyNumberFormat="1" applyFont="1" applyFill="1" applyBorder="1" applyAlignment="1" applyProtection="1">
      <alignment vertical="center" wrapText="1"/>
      <protection locked="0"/>
    </xf>
    <xf numFmtId="0" fontId="53" fillId="6" borderId="0" xfId="10" applyFont="1" applyFill="1" applyAlignment="1" applyProtection="1">
      <alignment horizontal="center" vertical="center"/>
      <protection locked="0"/>
    </xf>
    <xf numFmtId="0" fontId="53" fillId="6" borderId="0" xfId="10" applyFont="1" applyFill="1" applyAlignment="1" applyProtection="1">
      <alignment horizontal="center" vertical="center"/>
    </xf>
    <xf numFmtId="0" fontId="53" fillId="6" borderId="2" xfId="10" applyFont="1" applyFill="1" applyBorder="1" applyAlignment="1" applyProtection="1">
      <alignment vertical="center" textRotation="255" wrapText="1"/>
    </xf>
    <xf numFmtId="49" fontId="52" fillId="6" borderId="38" xfId="10" applyNumberFormat="1" applyFont="1" applyFill="1" applyBorder="1" applyAlignment="1" applyProtection="1">
      <alignment vertical="center"/>
    </xf>
    <xf numFmtId="49" fontId="52" fillId="6" borderId="68" xfId="10" applyNumberFormat="1" applyFont="1" applyFill="1" applyBorder="1" applyAlignment="1" applyProtection="1">
      <alignment vertical="center"/>
    </xf>
    <xf numFmtId="186" fontId="52" fillId="6" borderId="52" xfId="10" applyNumberFormat="1" applyFont="1" applyFill="1" applyBorder="1" applyAlignment="1" applyProtection="1">
      <alignment vertical="center" wrapText="1"/>
    </xf>
    <xf numFmtId="0" fontId="56" fillId="19" borderId="68" xfId="10" applyNumberFormat="1" applyFont="1" applyFill="1" applyBorder="1" applyAlignment="1" applyProtection="1">
      <alignment horizontal="left" vertical="center" wrapText="1"/>
      <protection locked="0"/>
    </xf>
    <xf numFmtId="181" fontId="52" fillId="19" borderId="68" xfId="10" applyNumberFormat="1" applyFont="1" applyFill="1" applyBorder="1" applyAlignment="1" applyProtection="1">
      <alignment horizontal="left" vertical="center" wrapText="1"/>
      <protection locked="0"/>
    </xf>
    <xf numFmtId="186" fontId="52" fillId="6" borderId="38" xfId="10" applyNumberFormat="1" applyFont="1" applyFill="1" applyBorder="1" applyAlignment="1" applyProtection="1">
      <alignment vertical="center" wrapText="1"/>
    </xf>
    <xf numFmtId="176" fontId="53" fillId="6" borderId="48" xfId="10" applyNumberFormat="1" applyFont="1" applyFill="1" applyBorder="1" applyAlignment="1" applyProtection="1">
      <alignment horizontal="left" vertical="center" wrapText="1"/>
    </xf>
    <xf numFmtId="49" fontId="52" fillId="0" borderId="42" xfId="10" applyNumberFormat="1" applyFont="1" applyFill="1" applyBorder="1" applyAlignment="1" applyProtection="1">
      <alignment vertical="center"/>
      <protection locked="0"/>
    </xf>
    <xf numFmtId="49" fontId="52" fillId="0" borderId="43" xfId="10" applyNumberFormat="1" applyFont="1" applyFill="1" applyBorder="1" applyAlignment="1" applyProtection="1">
      <alignment vertical="center"/>
      <protection locked="0"/>
    </xf>
    <xf numFmtId="186" fontId="52" fillId="6" borderId="47" xfId="10" applyNumberFormat="1" applyFont="1" applyFill="1" applyBorder="1" applyAlignment="1" applyProtection="1">
      <alignment vertical="center" wrapText="1"/>
    </xf>
    <xf numFmtId="189" fontId="53" fillId="3" borderId="1" xfId="10" applyNumberFormat="1" applyFont="1" applyFill="1" applyBorder="1" applyAlignment="1" applyProtection="1">
      <alignment horizontal="center" vertical="center" wrapText="1"/>
    </xf>
    <xf numFmtId="0" fontId="53" fillId="13" borderId="0" xfId="10" applyFont="1" applyFill="1" applyAlignment="1" applyProtection="1">
      <alignment horizontal="center" vertical="center"/>
      <protection locked="0"/>
    </xf>
    <xf numFmtId="9" fontId="53" fillId="13" borderId="0" xfId="10" applyNumberFormat="1" applyFont="1" applyFill="1" applyAlignment="1" applyProtection="1">
      <alignment horizontal="center" vertical="center"/>
      <protection locked="0"/>
    </xf>
    <xf numFmtId="189" fontId="53" fillId="13" borderId="0" xfId="10" applyNumberFormat="1" applyFont="1" applyFill="1" applyAlignment="1" applyProtection="1">
      <alignment horizontal="center" vertical="center"/>
      <protection locked="0"/>
    </xf>
    <xf numFmtId="181" fontId="53" fillId="6" borderId="0" xfId="10" applyNumberFormat="1" applyFont="1" applyFill="1" applyAlignment="1" applyProtection="1">
      <alignment horizontal="center" vertical="center"/>
      <protection locked="0"/>
    </xf>
    <xf numFmtId="0" fontId="52" fillId="6" borderId="1" xfId="10" applyFont="1" applyFill="1" applyBorder="1" applyAlignment="1" applyProtection="1">
      <alignment horizontal="left" vertical="center"/>
    </xf>
    <xf numFmtId="0" fontId="52" fillId="6" borderId="1" xfId="10" applyFont="1" applyFill="1" applyBorder="1" applyAlignment="1" applyProtection="1">
      <alignment horizontal="center" vertical="center" wrapText="1"/>
    </xf>
    <xf numFmtId="181" fontId="53" fillId="6" borderId="5" xfId="10" applyNumberFormat="1" applyFont="1" applyFill="1" applyBorder="1" applyAlignment="1" applyProtection="1">
      <alignment horizontal="center" vertical="center"/>
    </xf>
    <xf numFmtId="181" fontId="53" fillId="6" borderId="3" xfId="10" applyNumberFormat="1" applyFont="1" applyFill="1" applyBorder="1" applyAlignment="1" applyProtection="1">
      <alignment vertical="center"/>
    </xf>
    <xf numFmtId="0" fontId="52" fillId="6" borderId="3" xfId="10" applyFont="1" applyFill="1" applyBorder="1" applyAlignment="1" applyProtection="1">
      <alignment horizontal="center" vertical="center" wrapText="1"/>
    </xf>
    <xf numFmtId="0" fontId="70" fillId="13" borderId="0" xfId="10" applyFont="1" applyFill="1" applyAlignment="1" applyProtection="1">
      <alignment horizontal="center" vertical="center"/>
      <protection locked="0"/>
    </xf>
    <xf numFmtId="189" fontId="70" fillId="13" borderId="0" xfId="10" applyNumberFormat="1" applyFont="1" applyFill="1" applyAlignment="1" applyProtection="1">
      <alignment horizontal="center" vertical="center"/>
      <protection locked="0"/>
    </xf>
    <xf numFmtId="181" fontId="70" fillId="6" borderId="0" xfId="10" applyNumberFormat="1" applyFont="1" applyFill="1" applyAlignment="1" applyProtection="1">
      <alignment horizontal="center" vertical="center"/>
      <protection locked="0"/>
    </xf>
    <xf numFmtId="0" fontId="70" fillId="6" borderId="0" xfId="10" applyFont="1" applyFill="1" applyAlignment="1" applyProtection="1">
      <alignment horizontal="center" vertical="center"/>
      <protection locked="0"/>
    </xf>
    <xf numFmtId="0" fontId="70" fillId="0" borderId="0" xfId="10" applyFont="1" applyFill="1" applyAlignment="1" applyProtection="1">
      <alignment horizontal="center" vertical="center"/>
    </xf>
    <xf numFmtId="14" fontId="53" fillId="6" borderId="0" xfId="10" applyNumberFormat="1" applyFont="1" applyFill="1" applyAlignment="1" applyProtection="1">
      <alignment horizontal="center" vertical="center"/>
      <protection locked="0"/>
    </xf>
    <xf numFmtId="176" fontId="53" fillId="6" borderId="0" xfId="10" applyNumberFormat="1" applyFont="1" applyFill="1" applyAlignment="1" applyProtection="1">
      <alignment horizontal="center" vertical="center"/>
      <protection locked="0"/>
    </xf>
    <xf numFmtId="14" fontId="53" fillId="6" borderId="6" xfId="10" applyNumberFormat="1" applyFont="1" applyFill="1" applyBorder="1" applyAlignment="1" applyProtection="1">
      <alignment horizontal="left" vertical="center"/>
    </xf>
    <xf numFmtId="176" fontId="53" fillId="6" borderId="9" xfId="10" applyNumberFormat="1" applyFont="1" applyFill="1" applyBorder="1" applyAlignment="1" applyProtection="1">
      <alignment horizontal="center" vertical="center"/>
    </xf>
    <xf numFmtId="0" fontId="265" fillId="5" borderId="9" xfId="10" applyFont="1" applyFill="1" applyBorder="1" applyAlignment="1" applyProtection="1">
      <alignment horizontal="center" vertical="center"/>
      <protection locked="0"/>
    </xf>
    <xf numFmtId="0" fontId="97" fillId="6" borderId="19" xfId="10" applyFont="1" applyFill="1" applyBorder="1" applyAlignment="1" applyProtection="1">
      <alignment horizontal="center" vertical="center" wrapText="1"/>
      <protection locked="0"/>
    </xf>
    <xf numFmtId="0" fontId="53" fillId="6" borderId="9" xfId="10" applyFont="1" applyFill="1" applyBorder="1" applyAlignment="1" applyProtection="1">
      <alignment horizontal="center" vertical="center"/>
    </xf>
    <xf numFmtId="0" fontId="53" fillId="6" borderId="10" xfId="10" applyFont="1" applyFill="1" applyBorder="1" applyAlignment="1" applyProtection="1">
      <alignment horizontal="center" vertical="center"/>
    </xf>
    <xf numFmtId="0" fontId="100" fillId="6" borderId="1" xfId="10" applyFont="1" applyFill="1" applyBorder="1" applyAlignment="1" applyProtection="1">
      <alignment horizontal="center" vertical="center"/>
    </xf>
    <xf numFmtId="0" fontId="129" fillId="6" borderId="0" xfId="10" applyFont="1" applyFill="1" applyAlignment="1" applyProtection="1">
      <alignment horizontal="left" vertical="center"/>
      <protection locked="0"/>
    </xf>
    <xf numFmtId="0" fontId="55" fillId="6" borderId="23" xfId="10" applyFont="1" applyFill="1" applyBorder="1" applyAlignment="1" applyProtection="1"/>
    <xf numFmtId="0" fontId="55" fillId="6" borderId="1" xfId="10" applyFont="1" applyFill="1" applyBorder="1" applyAlignment="1" applyProtection="1">
      <alignment horizontal="center"/>
    </xf>
    <xf numFmtId="0" fontId="74" fillId="6" borderId="1" xfId="10" applyFont="1" applyFill="1" applyBorder="1" applyAlignment="1" applyProtection="1">
      <alignment horizontal="center" vertical="center"/>
      <protection locked="0"/>
    </xf>
    <xf numFmtId="0" fontId="103" fillId="6" borderId="1" xfId="10" applyFont="1" applyFill="1" applyBorder="1" applyAlignment="1" applyProtection="1">
      <alignment horizontal="center" vertical="center"/>
    </xf>
    <xf numFmtId="0" fontId="74" fillId="13" borderId="0" xfId="10" applyFont="1" applyFill="1" applyAlignment="1" applyProtection="1">
      <alignment horizontal="center" vertical="center"/>
      <protection locked="0"/>
    </xf>
    <xf numFmtId="0" fontId="74" fillId="6" borderId="0" xfId="10" applyFont="1" applyFill="1" applyAlignment="1" applyProtection="1">
      <alignment horizontal="center" vertical="center"/>
      <protection locked="0"/>
    </xf>
    <xf numFmtId="0" fontId="74" fillId="0" borderId="0" xfId="10" applyFont="1" applyFill="1" applyAlignment="1" applyProtection="1">
      <alignment horizontal="center" vertical="center"/>
    </xf>
    <xf numFmtId="0" fontId="55" fillId="6" borderId="1" xfId="10" applyFont="1" applyFill="1" applyBorder="1" applyAlignment="1" applyProtection="1">
      <alignment horizontal="center" vertical="center" wrapText="1"/>
    </xf>
    <xf numFmtId="9" fontId="74" fillId="5" borderId="1" xfId="10" applyNumberFormat="1" applyFont="1" applyFill="1" applyBorder="1" applyAlignment="1" applyProtection="1">
      <alignment horizontal="center" vertical="center"/>
      <protection locked="0"/>
    </xf>
    <xf numFmtId="49" fontId="74" fillId="6" borderId="1" xfId="10" applyNumberFormat="1" applyFont="1" applyFill="1" applyBorder="1" applyAlignment="1" applyProtection="1">
      <alignment horizontal="center" vertical="center"/>
    </xf>
    <xf numFmtId="0" fontId="103" fillId="0" borderId="1" xfId="10" applyFont="1" applyFill="1" applyBorder="1" applyAlignment="1" applyProtection="1">
      <alignment horizontal="center" vertical="center"/>
      <protection locked="0"/>
    </xf>
    <xf numFmtId="0" fontId="81" fillId="6" borderId="23" xfId="1" applyFont="1" applyFill="1" applyBorder="1" applyAlignment="1" applyProtection="1"/>
    <xf numFmtId="0" fontId="128" fillId="6" borderId="23" xfId="10" applyFont="1" applyFill="1" applyBorder="1" applyAlignment="1" applyProtection="1">
      <alignment horizontal="center" vertical="center"/>
    </xf>
    <xf numFmtId="0" fontId="74" fillId="5" borderId="23" xfId="10" applyFont="1" applyFill="1" applyBorder="1" applyAlignment="1" applyProtection="1">
      <alignment horizontal="center" vertical="center"/>
      <protection locked="0"/>
    </xf>
    <xf numFmtId="0" fontId="74" fillId="6" borderId="1" xfId="10" applyFont="1" applyFill="1" applyBorder="1" applyAlignment="1" applyProtection="1">
      <alignment horizontal="center" vertical="center"/>
    </xf>
    <xf numFmtId="0" fontId="128" fillId="6" borderId="25" xfId="10" applyFont="1" applyFill="1" applyBorder="1" applyAlignment="1" applyProtection="1">
      <alignment horizontal="center" vertical="center"/>
    </xf>
    <xf numFmtId="49" fontId="74" fillId="6" borderId="32" xfId="10" applyNumberFormat="1" applyFont="1" applyFill="1" applyBorder="1" applyAlignment="1" applyProtection="1">
      <alignment horizontal="center" vertical="center"/>
    </xf>
    <xf numFmtId="0" fontId="55" fillId="6" borderId="32" xfId="10" applyFont="1" applyFill="1" applyBorder="1" applyAlignment="1" applyProtection="1">
      <alignment horizontal="center"/>
    </xf>
    <xf numFmtId="177" fontId="56" fillId="6" borderId="49" xfId="10" applyNumberFormat="1" applyFont="1" applyFill="1" applyBorder="1" applyAlignment="1" applyProtection="1">
      <alignment horizontal="center"/>
    </xf>
    <xf numFmtId="0" fontId="55" fillId="6" borderId="0" xfId="10" applyFont="1" applyFill="1" applyAlignment="1" applyProtection="1">
      <protection locked="0"/>
    </xf>
    <xf numFmtId="189" fontId="53" fillId="6" borderId="0" xfId="10" applyNumberFormat="1" applyFont="1" applyFill="1" applyAlignment="1" applyProtection="1">
      <alignment horizontal="center" vertical="center"/>
      <protection locked="0"/>
    </xf>
    <xf numFmtId="14" fontId="53" fillId="6" borderId="0" xfId="10" applyNumberFormat="1" applyFont="1" applyFill="1" applyAlignment="1" applyProtection="1">
      <alignment horizontal="center" vertical="center"/>
    </xf>
    <xf numFmtId="0" fontId="58" fillId="6" borderId="0" xfId="10" applyFont="1" applyFill="1" applyBorder="1" applyAlignment="1" applyProtection="1"/>
    <xf numFmtId="0" fontId="53" fillId="6" borderId="0" xfId="10" applyFont="1" applyFill="1" applyBorder="1" applyAlignment="1" applyProtection="1"/>
    <xf numFmtId="0" fontId="53" fillId="6" borderId="0" xfId="10" applyFont="1" applyFill="1" applyBorder="1" applyAlignment="1" applyProtection="1">
      <alignment horizontal="center"/>
    </xf>
    <xf numFmtId="189" fontId="53" fillId="6" borderId="0" xfId="10" applyNumberFormat="1" applyFont="1" applyFill="1" applyBorder="1" applyAlignment="1" applyProtection="1">
      <alignment horizontal="center"/>
    </xf>
    <xf numFmtId="181" fontId="53" fillId="6" borderId="0" xfId="10" applyNumberFormat="1" applyFont="1" applyFill="1" applyBorder="1" applyAlignment="1" applyProtection="1"/>
    <xf numFmtId="0" fontId="53" fillId="6" borderId="0" xfId="10" applyFont="1" applyFill="1" applyBorder="1" applyAlignment="1" applyProtection="1">
      <protection locked="0"/>
    </xf>
    <xf numFmtId="9" fontId="46" fillId="6" borderId="0" xfId="10" applyNumberFormat="1" applyFont="1" applyFill="1" applyBorder="1" applyAlignment="1" applyProtection="1">
      <alignment horizontal="center" vertical="center" wrapText="1"/>
      <protection locked="0"/>
    </xf>
    <xf numFmtId="0" fontId="263" fillId="6" borderId="16" xfId="10" applyNumberFormat="1" applyFont="1" applyFill="1" applyBorder="1" applyAlignment="1" applyProtection="1">
      <alignment vertical="center"/>
    </xf>
    <xf numFmtId="0" fontId="48" fillId="6" borderId="39" xfId="10" applyNumberFormat="1" applyFont="1" applyFill="1" applyBorder="1" applyAlignment="1" applyProtection="1">
      <alignment vertical="center"/>
    </xf>
    <xf numFmtId="0" fontId="46" fillId="6" borderId="30" xfId="10" applyNumberFormat="1" applyFont="1" applyFill="1" applyBorder="1" applyAlignment="1" applyProtection="1">
      <alignment horizontal="center" vertical="center" wrapText="1"/>
    </xf>
    <xf numFmtId="49" fontId="46" fillId="6" borderId="0" xfId="10" applyNumberFormat="1" applyFont="1" applyFill="1" applyBorder="1" applyAlignment="1" applyProtection="1">
      <alignment horizontal="center" vertical="center" wrapText="1"/>
      <protection locked="0"/>
    </xf>
    <xf numFmtId="49" fontId="46" fillId="6" borderId="0" xfId="10" applyNumberFormat="1" applyFont="1" applyFill="1" applyBorder="1" applyAlignment="1" applyProtection="1">
      <alignment horizontal="center" vertical="center"/>
      <protection locked="0"/>
    </xf>
    <xf numFmtId="49" fontId="46" fillId="6" borderId="0" xfId="10" applyNumberFormat="1" applyFont="1" applyFill="1" applyAlignment="1" applyProtection="1">
      <alignment horizontal="center" vertical="center"/>
      <protection locked="0"/>
    </xf>
    <xf numFmtId="49" fontId="46" fillId="0" borderId="0" xfId="10" applyNumberFormat="1" applyFont="1" applyFill="1" applyAlignment="1" applyProtection="1">
      <alignment horizontal="center" vertical="center"/>
    </xf>
    <xf numFmtId="0" fontId="48" fillId="5" borderId="1" xfId="10" applyNumberFormat="1" applyFont="1" applyFill="1" applyBorder="1" applyAlignment="1" applyProtection="1">
      <alignment horizontal="center" vertical="center" wrapText="1"/>
      <protection locked="0"/>
    </xf>
    <xf numFmtId="10" fontId="48" fillId="6" borderId="1" xfId="10" applyNumberFormat="1" applyFont="1" applyFill="1" applyBorder="1" applyAlignment="1" applyProtection="1">
      <alignment horizontal="center" vertical="center" wrapText="1"/>
    </xf>
    <xf numFmtId="0" fontId="46" fillId="6" borderId="1" xfId="10" applyNumberFormat="1" applyFont="1" applyFill="1" applyBorder="1" applyAlignment="1" applyProtection="1">
      <alignment horizontal="center" vertical="center" wrapText="1"/>
    </xf>
    <xf numFmtId="0" fontId="46" fillId="0" borderId="1" xfId="10" applyNumberFormat="1" applyFont="1" applyFill="1" applyBorder="1" applyAlignment="1" applyProtection="1">
      <alignment horizontal="center" vertical="center" wrapText="1"/>
      <protection locked="0"/>
    </xf>
    <xf numFmtId="0" fontId="46" fillId="0" borderId="5" xfId="10" applyNumberFormat="1" applyFont="1" applyFill="1" applyBorder="1" applyAlignment="1" applyProtection="1">
      <alignment horizontal="center" vertical="center" wrapText="1"/>
      <protection locked="0"/>
    </xf>
    <xf numFmtId="0" fontId="46" fillId="0" borderId="24" xfId="10" applyNumberFormat="1" applyFont="1" applyFill="1" applyBorder="1" applyAlignment="1" applyProtection="1">
      <alignment horizontal="center" vertical="center" wrapText="1"/>
      <protection locked="0"/>
    </xf>
    <xf numFmtId="0" fontId="46" fillId="6" borderId="0" xfId="10" applyNumberFormat="1" applyFont="1" applyFill="1" applyBorder="1" applyAlignment="1" applyProtection="1">
      <alignment horizontal="center" vertical="center" wrapText="1"/>
      <protection locked="0"/>
    </xf>
    <xf numFmtId="0" fontId="46" fillId="6" borderId="0" xfId="10" applyFont="1" applyFill="1" applyAlignment="1" applyProtection="1">
      <alignment horizontal="center" vertical="center"/>
      <protection locked="0"/>
    </xf>
    <xf numFmtId="0" fontId="48" fillId="6" borderId="12" xfId="10" applyNumberFormat="1" applyFont="1" applyFill="1" applyBorder="1" applyAlignment="1" applyProtection="1">
      <alignment vertical="center"/>
    </xf>
    <xf numFmtId="0" fontId="268" fillId="6" borderId="2" xfId="8" applyNumberFormat="1" applyFont="1" applyFill="1" applyBorder="1" applyAlignment="1" applyProtection="1">
      <alignment horizontal="center" vertical="center" wrapText="1"/>
      <protection locked="0"/>
    </xf>
    <xf numFmtId="177" fontId="46" fillId="0" borderId="73" xfId="10" applyNumberFormat="1" applyFont="1" applyFill="1" applyBorder="1" applyAlignment="1" applyProtection="1">
      <alignment horizontal="center" vertical="center" wrapText="1"/>
      <protection locked="0"/>
    </xf>
    <xf numFmtId="178" fontId="46" fillId="0" borderId="74" xfId="10" applyNumberFormat="1" applyFont="1" applyFill="1" applyBorder="1" applyAlignment="1" applyProtection="1">
      <alignment horizontal="center" vertical="center" wrapText="1"/>
      <protection locked="0"/>
    </xf>
    <xf numFmtId="0" fontId="48" fillId="6" borderId="58" xfId="10" applyNumberFormat="1" applyFont="1" applyFill="1" applyBorder="1" applyAlignment="1" applyProtection="1">
      <alignment vertical="center" wrapText="1"/>
    </xf>
    <xf numFmtId="0" fontId="48" fillId="6" borderId="35" xfId="10" applyNumberFormat="1" applyFont="1" applyFill="1" applyBorder="1" applyAlignment="1" applyProtection="1">
      <alignment vertical="center" wrapText="1"/>
    </xf>
    <xf numFmtId="0" fontId="46" fillId="6" borderId="7" xfId="10" applyNumberFormat="1" applyFont="1" applyFill="1" applyBorder="1" applyAlignment="1" applyProtection="1">
      <alignment horizontal="center" vertical="center" wrapText="1"/>
    </xf>
    <xf numFmtId="0" fontId="46" fillId="0" borderId="2" xfId="10" applyNumberFormat="1" applyFont="1" applyFill="1" applyBorder="1" applyAlignment="1" applyProtection="1">
      <alignment horizontal="center" vertical="center" wrapText="1"/>
      <protection locked="0"/>
    </xf>
    <xf numFmtId="0" fontId="46" fillId="0" borderId="2" xfId="10" applyNumberFormat="1" applyFont="1" applyFill="1" applyBorder="1" applyAlignment="1" applyProtection="1">
      <alignment horizontal="left" vertical="center" wrapText="1"/>
      <protection locked="0"/>
    </xf>
    <xf numFmtId="0" fontId="46" fillId="0" borderId="8" xfId="10" applyNumberFormat="1" applyFont="1" applyFill="1" applyBorder="1" applyAlignment="1" applyProtection="1">
      <alignment horizontal="center" vertical="center" wrapText="1"/>
      <protection locked="0"/>
    </xf>
    <xf numFmtId="0" fontId="102" fillId="6" borderId="0" xfId="10" applyFont="1" applyFill="1" applyBorder="1" applyAlignment="1" applyProtection="1">
      <alignment vertical="center"/>
      <protection locked="0"/>
    </xf>
    <xf numFmtId="0" fontId="46" fillId="6" borderId="22" xfId="10" applyNumberFormat="1" applyFont="1" applyFill="1" applyBorder="1" applyAlignment="1" applyProtection="1">
      <alignment horizontal="center" vertical="center" wrapText="1"/>
    </xf>
    <xf numFmtId="0" fontId="46" fillId="0" borderId="13" xfId="10" applyNumberFormat="1" applyFont="1" applyFill="1" applyBorder="1" applyAlignment="1" applyProtection="1">
      <alignment horizontal="center" vertical="center" wrapText="1"/>
      <protection locked="0"/>
    </xf>
    <xf numFmtId="0" fontId="46" fillId="0" borderId="61" xfId="10" applyNumberFormat="1" applyFont="1" applyFill="1" applyBorder="1" applyAlignment="1" applyProtection="1">
      <alignment horizontal="center" vertical="center" wrapText="1"/>
      <protection locked="0"/>
    </xf>
    <xf numFmtId="0" fontId="52" fillId="6" borderId="40" xfId="10" applyNumberFormat="1" applyFont="1" applyFill="1" applyBorder="1" applyAlignment="1" applyProtection="1">
      <alignment vertical="center" wrapText="1"/>
    </xf>
    <xf numFmtId="0" fontId="46" fillId="6" borderId="17" xfId="10" applyNumberFormat="1" applyFont="1" applyFill="1" applyBorder="1" applyAlignment="1" applyProtection="1">
      <alignment horizontal="center" vertical="center" wrapText="1"/>
    </xf>
    <xf numFmtId="0" fontId="70" fillId="0" borderId="9" xfId="10" applyNumberFormat="1" applyFont="1" applyFill="1" applyBorder="1" applyAlignment="1" applyProtection="1">
      <alignment horizontal="center" vertical="center" wrapText="1"/>
      <protection locked="0"/>
    </xf>
    <xf numFmtId="0" fontId="70" fillId="0" borderId="9" xfId="10" applyNumberFormat="1" applyFont="1" applyFill="1" applyBorder="1" applyAlignment="1" applyProtection="1">
      <alignment horizontal="left" vertical="center" wrapText="1"/>
      <protection locked="0"/>
    </xf>
    <xf numFmtId="0" fontId="70" fillId="0" borderId="10" xfId="10" applyNumberFormat="1" applyFont="1" applyFill="1" applyBorder="1" applyAlignment="1" applyProtection="1">
      <alignment horizontal="center" vertical="center" wrapText="1"/>
      <protection locked="0"/>
    </xf>
    <xf numFmtId="0" fontId="70" fillId="6" borderId="0" xfId="10" applyNumberFormat="1" applyFont="1" applyFill="1" applyBorder="1" applyAlignment="1" applyProtection="1">
      <alignment horizontal="center" vertical="center" wrapText="1"/>
      <protection locked="0"/>
    </xf>
    <xf numFmtId="0" fontId="46" fillId="6" borderId="0" xfId="10" applyFont="1" applyFill="1" applyBorder="1" applyAlignment="1" applyProtection="1">
      <alignment horizontal="center" vertical="center" wrapText="1"/>
      <protection locked="0"/>
    </xf>
    <xf numFmtId="0" fontId="52" fillId="6" borderId="14" xfId="10" applyNumberFormat="1" applyFont="1" applyFill="1" applyBorder="1" applyAlignment="1" applyProtection="1">
      <alignment vertical="center" wrapText="1"/>
    </xf>
    <xf numFmtId="0" fontId="51" fillId="6" borderId="77" xfId="10" applyNumberFormat="1" applyFont="1" applyFill="1" applyBorder="1" applyAlignment="1" applyProtection="1">
      <alignment horizontal="center" vertical="center" wrapText="1"/>
    </xf>
    <xf numFmtId="0" fontId="53" fillId="0" borderId="78" xfId="10" applyNumberFormat="1" applyFont="1" applyFill="1" applyBorder="1" applyAlignment="1" applyProtection="1">
      <alignment horizontal="center" vertical="center" wrapText="1"/>
      <protection locked="0"/>
    </xf>
    <xf numFmtId="0" fontId="53" fillId="0" borderId="79" xfId="10" applyNumberFormat="1" applyFont="1" applyFill="1" applyBorder="1" applyAlignment="1" applyProtection="1">
      <alignment horizontal="center" vertical="center" wrapText="1"/>
      <protection locked="0"/>
    </xf>
    <xf numFmtId="0" fontId="53" fillId="6" borderId="0" xfId="10" applyNumberFormat="1" applyFont="1" applyFill="1" applyBorder="1" applyAlignment="1" applyProtection="1">
      <alignment horizontal="center" vertical="center" wrapText="1"/>
      <protection locked="0"/>
    </xf>
    <xf numFmtId="0" fontId="46" fillId="6" borderId="57" xfId="10" applyNumberFormat="1" applyFont="1" applyFill="1" applyBorder="1" applyAlignment="1" applyProtection="1">
      <alignment horizontal="center" vertical="center" wrapText="1"/>
    </xf>
    <xf numFmtId="0" fontId="53" fillId="6" borderId="44" xfId="10" applyNumberFormat="1" applyFont="1" applyFill="1" applyBorder="1" applyAlignment="1" applyProtection="1">
      <alignment horizontal="center" vertical="center" wrapText="1"/>
    </xf>
    <xf numFmtId="0" fontId="70" fillId="6" borderId="44" xfId="10" applyNumberFormat="1" applyFont="1" applyFill="1" applyBorder="1" applyAlignment="1" applyProtection="1">
      <alignment horizontal="center" vertical="center" wrapText="1"/>
    </xf>
    <xf numFmtId="0" fontId="70" fillId="6" borderId="44" xfId="10" applyNumberFormat="1" applyFont="1" applyFill="1" applyBorder="1" applyAlignment="1" applyProtection="1">
      <alignment horizontal="left" vertical="center" wrapText="1"/>
    </xf>
    <xf numFmtId="0" fontId="70" fillId="6" borderId="45" xfId="10" applyNumberFormat="1" applyFont="1" applyFill="1" applyBorder="1" applyAlignment="1" applyProtection="1">
      <alignment horizontal="center" vertical="center" wrapText="1"/>
    </xf>
    <xf numFmtId="0" fontId="46" fillId="6" borderId="77" xfId="10" applyNumberFormat="1" applyFont="1" applyFill="1" applyBorder="1" applyAlignment="1" applyProtection="1">
      <alignment horizontal="center" vertical="center" wrapText="1"/>
    </xf>
    <xf numFmtId="0" fontId="53" fillId="6" borderId="78" xfId="10" applyNumberFormat="1" applyFont="1" applyFill="1" applyBorder="1" applyAlignment="1" applyProtection="1">
      <alignment horizontal="center" vertical="center" wrapText="1"/>
    </xf>
    <xf numFmtId="0" fontId="53" fillId="6" borderId="79" xfId="10" applyNumberFormat="1" applyFont="1" applyFill="1" applyBorder="1" applyAlignment="1" applyProtection="1">
      <alignment horizontal="center" vertical="center" wrapText="1"/>
    </xf>
    <xf numFmtId="0" fontId="46" fillId="6" borderId="15" xfId="10" applyNumberFormat="1" applyFont="1" applyFill="1" applyBorder="1" applyAlignment="1" applyProtection="1">
      <alignment horizontal="center" vertical="center" wrapText="1"/>
    </xf>
    <xf numFmtId="0" fontId="53" fillId="6" borderId="2" xfId="10" applyNumberFormat="1" applyFont="1" applyFill="1" applyBorder="1" applyAlignment="1" applyProtection="1">
      <alignment horizontal="center" vertical="center" wrapText="1"/>
    </xf>
    <xf numFmtId="0" fontId="51" fillId="6" borderId="15" xfId="10" applyNumberFormat="1" applyFont="1" applyFill="1" applyBorder="1" applyAlignment="1" applyProtection="1">
      <alignment horizontal="center" vertical="center" wrapText="1"/>
    </xf>
    <xf numFmtId="0" fontId="70" fillId="0" borderId="1" xfId="10" applyNumberFormat="1" applyFont="1" applyFill="1" applyBorder="1" applyAlignment="1" applyProtection="1">
      <alignment horizontal="center" vertical="center" wrapText="1"/>
      <protection locked="0"/>
    </xf>
    <xf numFmtId="0" fontId="70" fillId="0" borderId="1" xfId="10" applyNumberFormat="1" applyFont="1" applyFill="1" applyBorder="1" applyAlignment="1" applyProtection="1">
      <alignment horizontal="left" vertical="center" wrapText="1"/>
      <protection locked="0"/>
    </xf>
    <xf numFmtId="0" fontId="70" fillId="0" borderId="24" xfId="10" applyNumberFormat="1" applyFont="1" applyFill="1" applyBorder="1" applyAlignment="1" applyProtection="1">
      <alignment horizontal="center" vertical="center" wrapText="1"/>
      <protection locked="0"/>
    </xf>
    <xf numFmtId="0" fontId="71" fillId="6" borderId="14" xfId="10" applyNumberFormat="1" applyFont="1" applyFill="1" applyBorder="1" applyAlignment="1" applyProtection="1">
      <alignment vertical="center" wrapText="1"/>
    </xf>
    <xf numFmtId="0" fontId="46" fillId="0" borderId="44" xfId="10" applyNumberFormat="1" applyFont="1" applyFill="1" applyBorder="1" applyAlignment="1" applyProtection="1">
      <alignment horizontal="center" vertical="center" wrapText="1"/>
      <protection locked="0"/>
    </xf>
    <xf numFmtId="0" fontId="261" fillId="0" borderId="44" xfId="10" applyNumberFormat="1" applyFont="1" applyFill="1" applyBorder="1" applyAlignment="1" applyProtection="1">
      <alignment horizontal="center" vertical="center" wrapText="1"/>
      <protection locked="0"/>
    </xf>
    <xf numFmtId="0" fontId="134" fillId="0" borderId="44" xfId="10" applyNumberFormat="1" applyFont="1" applyFill="1" applyBorder="1" applyAlignment="1" applyProtection="1">
      <alignment horizontal="center" vertical="center" wrapText="1"/>
      <protection locked="0"/>
    </xf>
    <xf numFmtId="0" fontId="51" fillId="0" borderId="44" xfId="10" applyNumberFormat="1" applyFont="1" applyFill="1" applyBorder="1" applyAlignment="1" applyProtection="1">
      <alignment horizontal="center" vertical="center" wrapText="1"/>
      <protection locked="0"/>
    </xf>
    <xf numFmtId="0" fontId="51" fillId="0" borderId="44" xfId="10" applyNumberFormat="1" applyFont="1" applyFill="1" applyBorder="1" applyAlignment="1" applyProtection="1">
      <alignment horizontal="left" vertical="center" wrapText="1"/>
      <protection locked="0"/>
    </xf>
    <xf numFmtId="0" fontId="51" fillId="0" borderId="45" xfId="10" applyNumberFormat="1" applyFont="1" applyFill="1" applyBorder="1" applyAlignment="1" applyProtection="1">
      <alignment horizontal="center" vertical="center" wrapText="1"/>
      <protection locked="0"/>
    </xf>
    <xf numFmtId="0" fontId="51" fillId="6" borderId="0" xfId="10" applyNumberFormat="1" applyFont="1" applyFill="1" applyBorder="1" applyAlignment="1" applyProtection="1">
      <alignment horizontal="center" vertical="center" wrapText="1"/>
      <protection locked="0"/>
    </xf>
    <xf numFmtId="0" fontId="51" fillId="6" borderId="0" xfId="10" applyFont="1" applyFill="1" applyBorder="1" applyAlignment="1" applyProtection="1">
      <alignment horizontal="center" vertical="center" wrapText="1"/>
      <protection locked="0"/>
    </xf>
    <xf numFmtId="9" fontId="51" fillId="6" borderId="0" xfId="10" applyNumberFormat="1" applyFont="1" applyFill="1" applyBorder="1" applyAlignment="1" applyProtection="1">
      <alignment horizontal="center" vertical="center" wrapText="1"/>
      <protection locked="0"/>
    </xf>
    <xf numFmtId="0" fontId="51" fillId="6" borderId="0" xfId="10" applyFont="1" applyFill="1" applyAlignment="1" applyProtection="1">
      <alignment horizontal="center" vertical="center"/>
      <protection locked="0"/>
    </xf>
    <xf numFmtId="0" fontId="46" fillId="0" borderId="78" xfId="10" applyNumberFormat="1" applyFont="1" applyFill="1" applyBorder="1" applyAlignment="1" applyProtection="1">
      <alignment horizontal="center" vertical="center" wrapText="1"/>
      <protection locked="0"/>
    </xf>
    <xf numFmtId="0" fontId="51" fillId="6" borderId="0" xfId="10" applyFont="1" applyFill="1" applyBorder="1" applyAlignment="1" applyProtection="1">
      <alignment horizontal="center" vertical="center"/>
      <protection locked="0"/>
    </xf>
    <xf numFmtId="9" fontId="51" fillId="6" borderId="0" xfId="10" applyNumberFormat="1" applyFont="1" applyFill="1" applyBorder="1" applyAlignment="1" applyProtection="1">
      <alignment horizontal="center" vertical="center"/>
      <protection locked="0"/>
    </xf>
    <xf numFmtId="0" fontId="51" fillId="0" borderId="78" xfId="10" applyNumberFormat="1" applyFont="1" applyFill="1" applyBorder="1" applyAlignment="1" applyProtection="1">
      <alignment horizontal="center" vertical="center" wrapText="1"/>
      <protection locked="0"/>
    </xf>
    <xf numFmtId="0" fontId="51" fillId="0" borderId="79" xfId="10" applyNumberFormat="1" applyFont="1" applyFill="1" applyBorder="1" applyAlignment="1" applyProtection="1">
      <alignment horizontal="center" vertical="center" wrapText="1"/>
      <protection locked="0"/>
    </xf>
    <xf numFmtId="0" fontId="51" fillId="0" borderId="2" xfId="10" applyNumberFormat="1" applyFont="1" applyFill="1" applyBorder="1" applyAlignment="1" applyProtection="1">
      <alignment horizontal="center" vertical="center" wrapText="1"/>
      <protection locked="0"/>
    </xf>
    <xf numFmtId="0" fontId="51" fillId="0" borderId="2" xfId="10" applyNumberFormat="1" applyFont="1" applyFill="1" applyBorder="1" applyAlignment="1" applyProtection="1">
      <alignment horizontal="left" vertical="center" wrapText="1"/>
      <protection locked="0"/>
    </xf>
    <xf numFmtId="0" fontId="51" fillId="0" borderId="8" xfId="10" applyNumberFormat="1" applyFont="1" applyFill="1" applyBorder="1" applyAlignment="1" applyProtection="1">
      <alignment horizontal="center" vertical="center" wrapText="1"/>
      <protection locked="0"/>
    </xf>
    <xf numFmtId="0" fontId="51" fillId="6" borderId="0" xfId="10" applyFont="1" applyFill="1" applyBorder="1" applyAlignment="1" applyProtection="1">
      <alignment vertical="center" wrapText="1"/>
      <protection locked="0"/>
    </xf>
    <xf numFmtId="0" fontId="71" fillId="6" borderId="12" xfId="10" applyNumberFormat="1" applyFont="1" applyFill="1" applyBorder="1" applyAlignment="1" applyProtection="1">
      <alignment vertical="center" wrapText="1"/>
    </xf>
    <xf numFmtId="0" fontId="46" fillId="6" borderId="74" xfId="10" applyNumberFormat="1" applyFont="1" applyFill="1" applyBorder="1" applyAlignment="1" applyProtection="1">
      <alignment horizontal="center" vertical="center" wrapText="1"/>
    </xf>
    <xf numFmtId="0" fontId="46" fillId="0" borderId="32" xfId="10" applyNumberFormat="1" applyFont="1" applyFill="1" applyBorder="1" applyAlignment="1" applyProtection="1">
      <alignment horizontal="center" vertical="center" wrapText="1"/>
      <protection locked="0"/>
    </xf>
    <xf numFmtId="0" fontId="51" fillId="0" borderId="32" xfId="10" applyNumberFormat="1" applyFont="1" applyFill="1" applyBorder="1" applyAlignment="1" applyProtection="1">
      <alignment horizontal="center" vertical="center" wrapText="1"/>
      <protection locked="0"/>
    </xf>
    <xf numFmtId="0" fontId="51" fillId="0" borderId="49" xfId="10" applyNumberFormat="1" applyFont="1" applyFill="1" applyBorder="1" applyAlignment="1" applyProtection="1">
      <alignment horizontal="center" vertical="center" wrapText="1"/>
      <protection locked="0"/>
    </xf>
    <xf numFmtId="0" fontId="46" fillId="6" borderId="9" xfId="10" applyNumberFormat="1" applyFont="1" applyFill="1" applyBorder="1" applyAlignment="1" applyProtection="1">
      <alignment horizontal="center" vertical="center" wrapText="1"/>
    </xf>
    <xf numFmtId="0" fontId="53" fillId="6" borderId="9" xfId="10" applyNumberFormat="1" applyFont="1" applyFill="1" applyBorder="1" applyAlignment="1" applyProtection="1">
      <alignment horizontal="center" vertical="center" wrapText="1"/>
    </xf>
    <xf numFmtId="0" fontId="70" fillId="6" borderId="9" xfId="10" applyNumberFormat="1" applyFont="1" applyFill="1" applyBorder="1" applyAlignment="1" applyProtection="1">
      <alignment horizontal="center" vertical="center" wrapText="1"/>
    </xf>
    <xf numFmtId="0" fontId="70" fillId="6" borderId="9" xfId="10" applyNumberFormat="1" applyFont="1" applyFill="1" applyBorder="1" applyAlignment="1" applyProtection="1">
      <alignment horizontal="left" vertical="center" wrapText="1"/>
    </xf>
    <xf numFmtId="0" fontId="70" fillId="6" borderId="10" xfId="10" applyNumberFormat="1" applyFont="1" applyFill="1" applyBorder="1" applyAlignment="1" applyProtection="1">
      <alignment horizontal="center" vertical="center" wrapText="1"/>
    </xf>
    <xf numFmtId="0" fontId="46" fillId="6" borderId="0" xfId="10" applyFont="1" applyFill="1" applyBorder="1" applyAlignment="1" applyProtection="1">
      <alignment vertical="center" wrapText="1"/>
      <protection locked="0"/>
    </xf>
    <xf numFmtId="0" fontId="46" fillId="6" borderId="44" xfId="10" applyNumberFormat="1" applyFont="1" applyFill="1" applyBorder="1" applyAlignment="1" applyProtection="1">
      <alignment horizontal="center" vertical="center" wrapText="1"/>
    </xf>
    <xf numFmtId="0" fontId="48" fillId="6" borderId="14" xfId="10" applyNumberFormat="1" applyFont="1" applyFill="1" applyBorder="1" applyAlignment="1" applyProtection="1">
      <alignment vertical="center" wrapText="1"/>
    </xf>
    <xf numFmtId="0" fontId="46" fillId="6" borderId="44" xfId="10" applyNumberFormat="1" applyFont="1" applyFill="1" applyBorder="1" applyAlignment="1" applyProtection="1">
      <alignment horizontal="left" vertical="center" wrapText="1"/>
    </xf>
    <xf numFmtId="0" fontId="46" fillId="6" borderId="45" xfId="10" applyNumberFormat="1" applyFont="1" applyFill="1" applyBorder="1" applyAlignment="1" applyProtection="1">
      <alignment horizontal="center" vertical="center" wrapText="1"/>
    </xf>
    <xf numFmtId="0" fontId="46" fillId="6" borderId="78" xfId="10" applyNumberFormat="1" applyFont="1" applyFill="1" applyBorder="1" applyAlignment="1" applyProtection="1">
      <alignment horizontal="center" vertical="center" wrapText="1"/>
    </xf>
    <xf numFmtId="0" fontId="261" fillId="6" borderId="57" xfId="10" applyNumberFormat="1" applyFont="1" applyFill="1" applyBorder="1" applyAlignment="1" applyProtection="1">
      <alignment horizontal="center" vertical="center" wrapText="1"/>
    </xf>
    <xf numFmtId="0" fontId="51" fillId="6" borderId="44" xfId="10" applyNumberFormat="1" applyFont="1" applyFill="1" applyBorder="1" applyAlignment="1" applyProtection="1">
      <alignment horizontal="center" vertical="center" wrapText="1"/>
    </xf>
    <xf numFmtId="0" fontId="51" fillId="6" borderId="44" xfId="10" applyNumberFormat="1" applyFont="1" applyFill="1" applyBorder="1" applyAlignment="1" applyProtection="1">
      <alignment horizontal="left" vertical="center" wrapText="1"/>
    </xf>
    <xf numFmtId="0" fontId="51" fillId="6" borderId="45" xfId="10" applyNumberFormat="1" applyFont="1" applyFill="1" applyBorder="1" applyAlignment="1" applyProtection="1">
      <alignment horizontal="center" vertical="center" wrapText="1"/>
    </xf>
    <xf numFmtId="0" fontId="51" fillId="6" borderId="78" xfId="10" applyNumberFormat="1" applyFont="1" applyFill="1" applyBorder="1" applyAlignment="1" applyProtection="1">
      <alignment horizontal="center" vertical="center" wrapText="1"/>
    </xf>
    <xf numFmtId="0" fontId="51" fillId="6" borderId="79" xfId="10" applyNumberFormat="1" applyFont="1" applyFill="1" applyBorder="1" applyAlignment="1" applyProtection="1">
      <alignment horizontal="center" vertical="center" wrapText="1"/>
    </xf>
    <xf numFmtId="0" fontId="261" fillId="6" borderId="15" xfId="10" applyNumberFormat="1" applyFont="1" applyFill="1" applyBorder="1" applyAlignment="1" applyProtection="1">
      <alignment horizontal="center" vertical="center" wrapText="1"/>
    </xf>
    <xf numFmtId="0" fontId="259" fillId="6" borderId="15" xfId="10" applyNumberFormat="1" applyFont="1" applyFill="1" applyBorder="1" applyAlignment="1" applyProtection="1">
      <alignment horizontal="center" vertical="center" wrapText="1"/>
    </xf>
    <xf numFmtId="0" fontId="51" fillId="6" borderId="53" xfId="10" applyNumberFormat="1" applyFont="1" applyFill="1" applyBorder="1" applyAlignment="1" applyProtection="1">
      <alignment horizontal="center" vertical="center" wrapText="1"/>
    </xf>
    <xf numFmtId="0" fontId="53" fillId="0" borderId="44" xfId="10" applyNumberFormat="1" applyFont="1" applyFill="1" applyBorder="1" applyAlignment="1" applyProtection="1">
      <alignment horizontal="center" vertical="center" wrapText="1"/>
      <protection locked="0"/>
    </xf>
    <xf numFmtId="0" fontId="70" fillId="0" borderId="44" xfId="10" applyNumberFormat="1" applyFont="1" applyFill="1" applyBorder="1" applyAlignment="1" applyProtection="1">
      <alignment horizontal="center" vertical="center" wrapText="1"/>
      <protection locked="0"/>
    </xf>
    <xf numFmtId="0" fontId="70" fillId="0" borderId="44" xfId="10" applyNumberFormat="1" applyFont="1" applyFill="1" applyBorder="1" applyAlignment="1" applyProtection="1">
      <alignment horizontal="left" vertical="center" wrapText="1"/>
      <protection locked="0"/>
    </xf>
    <xf numFmtId="0" fontId="70" fillId="0" borderId="45" xfId="10" applyNumberFormat="1" applyFont="1" applyFill="1" applyBorder="1" applyAlignment="1" applyProtection="1">
      <alignment horizontal="center" vertical="center" wrapText="1"/>
      <protection locked="0"/>
    </xf>
    <xf numFmtId="0" fontId="53" fillId="0" borderId="2" xfId="10" applyNumberFormat="1" applyFont="1" applyFill="1" applyBorder="1" applyAlignment="1" applyProtection="1">
      <alignment horizontal="center" vertical="center" wrapText="1"/>
      <protection locked="0"/>
    </xf>
    <xf numFmtId="0" fontId="70" fillId="0" borderId="2" xfId="10" applyNumberFormat="1" applyFont="1" applyFill="1" applyBorder="1" applyAlignment="1" applyProtection="1">
      <alignment horizontal="center" vertical="center" wrapText="1"/>
      <protection locked="0"/>
    </xf>
    <xf numFmtId="0" fontId="70" fillId="0" borderId="2" xfId="10" applyNumberFormat="1" applyFont="1" applyFill="1" applyBorder="1" applyAlignment="1" applyProtection="1">
      <alignment horizontal="left" vertical="center" wrapText="1"/>
      <protection locked="0"/>
    </xf>
    <xf numFmtId="0" fontId="70" fillId="0" borderId="8" xfId="10" applyNumberFormat="1" applyFont="1" applyFill="1" applyBorder="1" applyAlignment="1" applyProtection="1">
      <alignment horizontal="center" vertical="center" wrapText="1"/>
      <protection locked="0"/>
    </xf>
    <xf numFmtId="0" fontId="53" fillId="0" borderId="32" xfId="10" applyNumberFormat="1" applyFont="1" applyFill="1" applyBorder="1" applyAlignment="1" applyProtection="1">
      <alignment horizontal="center" vertical="center" wrapText="1"/>
      <protection locked="0"/>
    </xf>
    <xf numFmtId="0" fontId="53" fillId="0" borderId="49" xfId="10" applyNumberFormat="1" applyFont="1" applyFill="1" applyBorder="1" applyAlignment="1" applyProtection="1">
      <alignment horizontal="center" vertical="center" wrapText="1"/>
      <protection locked="0"/>
    </xf>
    <xf numFmtId="0" fontId="71" fillId="6" borderId="14" xfId="10" applyNumberFormat="1" applyFont="1" applyFill="1" applyBorder="1" applyAlignment="1" applyProtection="1">
      <alignment vertical="center" textRotation="255" wrapText="1"/>
    </xf>
    <xf numFmtId="0" fontId="46" fillId="6" borderId="58" xfId="10" applyNumberFormat="1" applyFont="1" applyFill="1" applyBorder="1" applyAlignment="1" applyProtection="1">
      <alignment horizontal="center" vertical="center"/>
    </xf>
    <xf numFmtId="0" fontId="51" fillId="0" borderId="1" xfId="10" applyNumberFormat="1" applyFont="1" applyFill="1" applyBorder="1" applyAlignment="1" applyProtection="1">
      <alignment horizontal="center" vertical="center" wrapText="1"/>
      <protection locked="0"/>
    </xf>
    <xf numFmtId="0" fontId="51" fillId="0" borderId="1" xfId="10" applyNumberFormat="1" applyFont="1" applyFill="1" applyBorder="1" applyAlignment="1" applyProtection="1">
      <alignment horizontal="left" vertical="center" wrapText="1"/>
      <protection locked="0"/>
    </xf>
    <xf numFmtId="0" fontId="51" fillId="0" borderId="24" xfId="10" applyNumberFormat="1" applyFont="1" applyFill="1" applyBorder="1" applyAlignment="1" applyProtection="1">
      <alignment horizontal="center" vertical="center" wrapText="1"/>
      <protection locked="0"/>
    </xf>
    <xf numFmtId="0" fontId="53" fillId="0" borderId="13" xfId="10" applyNumberFormat="1" applyFont="1" applyFill="1" applyBorder="1" applyAlignment="1" applyProtection="1">
      <alignment horizontal="center" vertical="center" wrapText="1"/>
      <protection locked="0"/>
    </xf>
    <xf numFmtId="0" fontId="53" fillId="0" borderId="61" xfId="10" applyNumberFormat="1" applyFont="1" applyFill="1" applyBorder="1" applyAlignment="1" applyProtection="1">
      <alignment horizontal="center" vertical="center" wrapText="1"/>
      <protection locked="0"/>
    </xf>
    <xf numFmtId="0" fontId="102" fillId="6" borderId="9" xfId="10" applyNumberFormat="1" applyFont="1" applyFill="1" applyBorder="1" applyAlignment="1" applyProtection="1">
      <alignment horizontal="center" vertical="center" wrapText="1"/>
    </xf>
    <xf numFmtId="0" fontId="102" fillId="6" borderId="9" xfId="10" applyNumberFormat="1" applyFont="1" applyFill="1" applyBorder="1" applyAlignment="1" applyProtection="1">
      <alignment horizontal="left" vertical="center" wrapText="1"/>
    </xf>
    <xf numFmtId="0" fontId="102" fillId="6" borderId="10" xfId="10" applyNumberFormat="1" applyFont="1" applyFill="1" applyBorder="1" applyAlignment="1" applyProtection="1">
      <alignment horizontal="center" vertical="center" wrapText="1"/>
    </xf>
    <xf numFmtId="0" fontId="102" fillId="0" borderId="1" xfId="10" applyNumberFormat="1" applyFont="1" applyFill="1" applyBorder="1" applyAlignment="1" applyProtection="1">
      <alignment horizontal="center" vertical="center" wrapText="1"/>
      <protection locked="0"/>
    </xf>
    <xf numFmtId="0" fontId="102" fillId="0" borderId="1" xfId="10" applyNumberFormat="1" applyFont="1" applyFill="1" applyBorder="1" applyAlignment="1" applyProtection="1">
      <alignment horizontal="left" vertical="center" wrapText="1"/>
      <protection locked="0"/>
    </xf>
    <xf numFmtId="0" fontId="102" fillId="0" borderId="24" xfId="10" applyNumberFormat="1" applyFont="1" applyFill="1" applyBorder="1" applyAlignment="1" applyProtection="1">
      <alignment horizontal="center" vertical="center" wrapText="1"/>
      <protection locked="0"/>
    </xf>
    <xf numFmtId="0" fontId="52" fillId="6" borderId="14" xfId="10" applyNumberFormat="1" applyFont="1" applyFill="1" applyBorder="1" applyAlignment="1" applyProtection="1">
      <alignment vertical="center" textRotation="255" wrapText="1"/>
    </xf>
    <xf numFmtId="0" fontId="97" fillId="0" borderId="44" xfId="10" applyNumberFormat="1" applyFont="1" applyFill="1" applyBorder="1" applyAlignment="1" applyProtection="1">
      <alignment horizontal="center" vertical="center" wrapText="1"/>
      <protection locked="0"/>
    </xf>
    <xf numFmtId="0" fontId="51" fillId="6" borderId="74" xfId="10" applyNumberFormat="1" applyFont="1" applyFill="1" applyBorder="1" applyAlignment="1" applyProtection="1">
      <alignment horizontal="center" vertical="center" wrapText="1"/>
    </xf>
    <xf numFmtId="0" fontId="53" fillId="7" borderId="0" xfId="10" applyFont="1" applyFill="1" applyAlignment="1" applyProtection="1">
      <alignment horizontal="center" vertical="center"/>
      <protection locked="0"/>
    </xf>
    <xf numFmtId="189" fontId="53" fillId="7" borderId="0" xfId="10" applyNumberFormat="1" applyFont="1" applyFill="1" applyAlignment="1" applyProtection="1">
      <alignment horizontal="center" vertical="center"/>
      <protection locked="0"/>
    </xf>
    <xf numFmtId="181" fontId="53" fillId="7" borderId="0" xfId="10" applyNumberFormat="1" applyFont="1" applyFill="1" applyAlignment="1" applyProtection="1">
      <alignment horizontal="center" vertical="center"/>
      <protection locked="0"/>
    </xf>
    <xf numFmtId="0" fontId="53" fillId="7" borderId="0" xfId="10" applyFont="1" applyFill="1" applyAlignment="1" applyProtection="1">
      <alignment horizontal="center" vertical="center"/>
    </xf>
    <xf numFmtId="189" fontId="53" fillId="7" borderId="0" xfId="10" applyNumberFormat="1" applyFont="1" applyFill="1" applyAlignment="1" applyProtection="1">
      <alignment horizontal="center" vertical="center"/>
    </xf>
    <xf numFmtId="181" fontId="53" fillId="7" borderId="0" xfId="10" applyNumberFormat="1" applyFont="1" applyFill="1" applyAlignment="1" applyProtection="1">
      <alignment horizontal="center" vertical="center"/>
    </xf>
    <xf numFmtId="189" fontId="53" fillId="0" borderId="0" xfId="10" applyNumberFormat="1" applyFont="1" applyFill="1" applyAlignment="1" applyProtection="1">
      <alignment horizontal="center" vertical="center"/>
    </xf>
    <xf numFmtId="181" fontId="53" fillId="0" borderId="0" xfId="10" applyNumberFormat="1" applyFont="1" applyFill="1" applyAlignment="1" applyProtection="1">
      <alignment horizontal="center" vertical="center"/>
    </xf>
    <xf numFmtId="0" fontId="55" fillId="0" borderId="0" xfId="17"/>
    <xf numFmtId="0" fontId="55" fillId="0" borderId="0" xfId="17" applyFont="1"/>
    <xf numFmtId="0" fontId="19" fillId="0" borderId="0" xfId="17" applyFont="1"/>
    <xf numFmtId="177" fontId="55" fillId="0" borderId="0" xfId="17" applyNumberFormat="1"/>
    <xf numFmtId="0" fontId="19" fillId="5" borderId="0" xfId="17" applyFont="1" applyFill="1"/>
    <xf numFmtId="0" fontId="55" fillId="5" borderId="0" xfId="17" applyFill="1"/>
    <xf numFmtId="177" fontId="55" fillId="5" borderId="0" xfId="17" applyNumberFormat="1" applyFill="1"/>
    <xf numFmtId="0" fontId="98" fillId="0" borderId="0" xfId="10">
      <alignment vertical="center"/>
    </xf>
    <xf numFmtId="177" fontId="56" fillId="11" borderId="1" xfId="1" applyNumberFormat="1" applyFont="1" applyFill="1" applyBorder="1" applyAlignment="1" applyProtection="1">
      <alignment horizontal="center"/>
    </xf>
    <xf numFmtId="0" fontId="98" fillId="0" borderId="0" xfId="0" applyFont="1" applyAlignment="1">
      <alignment horizontal="center" vertical="center"/>
    </xf>
    <xf numFmtId="0" fontId="0" fillId="0" borderId="0" xfId="0" applyAlignment="1">
      <alignment horizontal="center" vertical="center"/>
    </xf>
    <xf numFmtId="58" fontId="0" fillId="0" borderId="0" xfId="0" applyNumberFormat="1" applyAlignment="1">
      <alignment horizontal="center" vertical="center"/>
    </xf>
    <xf numFmtId="0" fontId="0" fillId="5" borderId="0" xfId="0" applyFill="1" applyAlignment="1">
      <alignment horizontal="center" vertical="center"/>
    </xf>
    <xf numFmtId="0" fontId="269" fillId="20" borderId="0" xfId="0" applyFont="1" applyFill="1" applyAlignment="1">
      <alignment horizontal="left" vertical="center" wrapText="1"/>
    </xf>
    <xf numFmtId="0" fontId="270" fillId="20" borderId="0" xfId="0" applyFont="1" applyFill="1" applyAlignment="1">
      <alignment horizontal="left" vertical="center" wrapText="1"/>
    </xf>
    <xf numFmtId="14" fontId="0" fillId="0" borderId="0" xfId="0" applyNumberFormat="1">
      <alignment vertical="center"/>
    </xf>
    <xf numFmtId="0" fontId="98" fillId="0" borderId="0" xfId="0" applyFont="1" applyAlignment="1">
      <alignment horizontal="center" vertical="center" wrapText="1"/>
    </xf>
    <xf numFmtId="9" fontId="0" fillId="0" borderId="0" xfId="0" applyNumberFormat="1" applyAlignment="1">
      <alignment horizontal="center" vertical="center"/>
    </xf>
    <xf numFmtId="0" fontId="98" fillId="0" borderId="1" xfId="0" applyFont="1" applyBorder="1" applyAlignment="1">
      <alignment horizontal="center" vertical="center" wrapText="1"/>
    </xf>
    <xf numFmtId="0" fontId="0" fillId="0" borderId="1" xfId="0" applyBorder="1" applyAlignment="1">
      <alignment horizontal="center" vertical="center"/>
    </xf>
    <xf numFmtId="0" fontId="98" fillId="0" borderId="1" xfId="0" applyFont="1" applyBorder="1" applyAlignment="1">
      <alignment horizontal="center" vertical="center"/>
    </xf>
    <xf numFmtId="49" fontId="66" fillId="6" borderId="60" xfId="4" applyNumberFormat="1" applyFont="1" applyFill="1" applyBorder="1"/>
    <xf numFmtId="0" fontId="65" fillId="6" borderId="0" xfId="4" applyFont="1" applyFill="1" applyAlignment="1">
      <alignment horizontal="center" vertical="center"/>
    </xf>
    <xf numFmtId="49" fontId="59" fillId="2" borderId="27" xfId="4" applyNumberFormat="1" applyFont="1" applyFill="1" applyBorder="1" applyAlignment="1" applyProtection="1">
      <alignment horizontal="right"/>
      <protection locked="0"/>
    </xf>
    <xf numFmtId="0" fontId="60" fillId="5" borderId="0" xfId="4" applyFont="1" applyFill="1" applyAlignment="1" applyProtection="1">
      <alignment horizontal="right" vertical="center"/>
      <protection locked="0"/>
    </xf>
    <xf numFmtId="49" fontId="60" fillId="6" borderId="0" xfId="4" applyNumberFormat="1" applyFont="1" applyFill="1" applyAlignment="1">
      <alignment horizontal="center"/>
    </xf>
    <xf numFmtId="0" fontId="60" fillId="6" borderId="0" xfId="4" applyFont="1" applyFill="1" applyAlignment="1">
      <alignment horizontal="center"/>
    </xf>
    <xf numFmtId="0" fontId="60" fillId="0" borderId="0" xfId="4" applyFont="1" applyAlignment="1">
      <alignment horizontal="center"/>
    </xf>
    <xf numFmtId="0" fontId="3" fillId="0" borderId="0" xfId="4" applyFont="1" applyAlignment="1">
      <alignment horizontal="left"/>
    </xf>
    <xf numFmtId="0" fontId="273" fillId="0" borderId="0" xfId="4" applyFont="1" applyAlignment="1">
      <alignment horizontal="left"/>
    </xf>
    <xf numFmtId="0" fontId="56" fillId="5" borderId="16" xfId="4" applyFont="1" applyFill="1" applyBorder="1" applyAlignment="1">
      <alignment vertical="center"/>
    </xf>
    <xf numFmtId="0" fontId="56" fillId="5" borderId="19" xfId="4" applyFont="1" applyFill="1" applyBorder="1" applyAlignment="1">
      <alignment vertical="center"/>
    </xf>
    <xf numFmtId="0" fontId="56" fillId="5" borderId="31" xfId="4" applyFont="1" applyFill="1" applyBorder="1" applyAlignment="1">
      <alignment vertical="center"/>
    </xf>
    <xf numFmtId="0" fontId="55" fillId="0" borderId="0" xfId="4" applyFont="1" applyAlignment="1">
      <alignment horizontal="left" vertical="center"/>
    </xf>
    <xf numFmtId="0" fontId="56" fillId="6" borderId="1" xfId="1" applyFont="1" applyFill="1" applyBorder="1">
      <alignment vertical="center"/>
    </xf>
    <xf numFmtId="186" fontId="54" fillId="6" borderId="1" xfId="4" applyNumberFormat="1" applyFont="1" applyFill="1" applyBorder="1" applyAlignment="1">
      <alignment horizontal="right" vertical="center"/>
    </xf>
    <xf numFmtId="0" fontId="55" fillId="6" borderId="0" xfId="4" applyFont="1" applyFill="1" applyAlignment="1">
      <alignment vertical="center"/>
    </xf>
    <xf numFmtId="49" fontId="55" fillId="6" borderId="0" xfId="4" applyNumberFormat="1" applyFont="1" applyFill="1"/>
    <xf numFmtId="49" fontId="56" fillId="6" borderId="0" xfId="4" applyNumberFormat="1" applyFont="1" applyFill="1"/>
    <xf numFmtId="49" fontId="56" fillId="0" borderId="0" xfId="4" applyNumberFormat="1" applyFont="1"/>
    <xf numFmtId="0" fontId="19" fillId="0" borderId="0" xfId="4" applyFont="1" applyAlignment="1">
      <alignment horizontal="left"/>
    </xf>
    <xf numFmtId="0" fontId="55" fillId="0" borderId="0" xfId="4" applyFont="1" applyAlignment="1">
      <alignment horizontal="left"/>
    </xf>
    <xf numFmtId="0" fontId="56" fillId="0" borderId="1" xfId="4" applyFont="1" applyBorder="1" applyAlignment="1">
      <alignment horizontal="left" vertical="center"/>
    </xf>
    <xf numFmtId="0" fontId="56" fillId="0" borderId="24" xfId="4" applyFont="1" applyBorder="1" applyAlignment="1">
      <alignment horizontal="left" vertical="center"/>
    </xf>
    <xf numFmtId="0" fontId="56" fillId="6" borderId="24" xfId="4" applyFont="1" applyFill="1" applyBorder="1" applyAlignment="1">
      <alignment horizontal="left" vertical="center"/>
    </xf>
    <xf numFmtId="0" fontId="56" fillId="6" borderId="13" xfId="1" applyFont="1" applyFill="1" applyBorder="1">
      <alignment vertical="center"/>
    </xf>
    <xf numFmtId="0" fontId="54" fillId="6" borderId="13" xfId="4" applyFont="1" applyFill="1" applyBorder="1" applyAlignment="1">
      <alignment horizontal="right" vertical="center"/>
    </xf>
    <xf numFmtId="177" fontId="103" fillId="0" borderId="1" xfId="1" applyNumberFormat="1" applyFont="1" applyBorder="1" applyAlignment="1" applyProtection="1">
      <alignment horizontal="left" vertical="center"/>
      <protection hidden="1"/>
    </xf>
    <xf numFmtId="177" fontId="103" fillId="0" borderId="24" xfId="1" applyNumberFormat="1" applyFont="1" applyBorder="1" applyAlignment="1" applyProtection="1">
      <alignment horizontal="left" vertical="center"/>
      <protection hidden="1"/>
    </xf>
    <xf numFmtId="177" fontId="55" fillId="6" borderId="24" xfId="4" applyNumberFormat="1" applyFont="1" applyFill="1" applyBorder="1" applyAlignment="1">
      <alignment horizontal="left" vertical="center"/>
    </xf>
    <xf numFmtId="0" fontId="19" fillId="6" borderId="1" xfId="4" applyFont="1" applyFill="1" applyBorder="1" applyAlignment="1">
      <alignment vertical="center"/>
    </xf>
    <xf numFmtId="0" fontId="55" fillId="0" borderId="1" xfId="4" applyFont="1" applyBorder="1" applyAlignment="1">
      <alignment horizontal="left" vertical="center"/>
    </xf>
    <xf numFmtId="0" fontId="55" fillId="0" borderId="13" xfId="4" applyFont="1" applyBorder="1" applyAlignment="1">
      <alignment horizontal="left" vertical="center"/>
    </xf>
    <xf numFmtId="0" fontId="55" fillId="0" borderId="61" xfId="4" applyFont="1" applyBorder="1" applyAlignment="1">
      <alignment horizontal="left" vertical="center"/>
    </xf>
    <xf numFmtId="0" fontId="55" fillId="6" borderId="61" xfId="4" applyFont="1" applyFill="1" applyBorder="1" applyAlignment="1">
      <alignment horizontal="left" vertical="center"/>
    </xf>
    <xf numFmtId="0" fontId="83" fillId="6" borderId="0" xfId="1" applyFont="1" applyFill="1">
      <alignment vertical="center"/>
    </xf>
    <xf numFmtId="0" fontId="49" fillId="0" borderId="32" xfId="4" applyFont="1" applyBorder="1" applyAlignment="1">
      <alignment horizontal="left" vertical="center"/>
    </xf>
    <xf numFmtId="0" fontId="19" fillId="6" borderId="58" xfId="4" applyFont="1" applyFill="1" applyBorder="1" applyAlignment="1">
      <alignment vertical="center"/>
    </xf>
    <xf numFmtId="0" fontId="106" fillId="6" borderId="37" xfId="4" applyFont="1" applyFill="1" applyBorder="1" applyAlignment="1">
      <alignment vertical="center"/>
    </xf>
    <xf numFmtId="0" fontId="106" fillId="6" borderId="54" xfId="4" applyFont="1" applyFill="1" applyBorder="1" applyAlignment="1">
      <alignment vertical="center"/>
    </xf>
    <xf numFmtId="0" fontId="56" fillId="6" borderId="54" xfId="4" applyFont="1" applyFill="1" applyBorder="1" applyAlignment="1">
      <alignment vertical="center"/>
    </xf>
    <xf numFmtId="0" fontId="56" fillId="0" borderId="34" xfId="4" applyFont="1" applyBorder="1" applyAlignment="1">
      <alignment horizontal="left" vertical="center"/>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Alignment="1">
      <alignment vertical="center"/>
    </xf>
    <xf numFmtId="0" fontId="55" fillId="6" borderId="5" xfId="4" applyFont="1" applyFill="1" applyBorder="1" applyAlignment="1">
      <alignment vertical="center"/>
    </xf>
    <xf numFmtId="0" fontId="55" fillId="6" borderId="1" xfId="4" applyFont="1" applyFill="1" applyBorder="1" applyAlignment="1">
      <alignment horizontal="left" vertical="center"/>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Alignment="1">
      <alignment horizontal="left" vertical="center"/>
    </xf>
    <xf numFmtId="0" fontId="55" fillId="0" borderId="5" xfId="4" applyFont="1" applyBorder="1" applyAlignment="1">
      <alignment vertical="center"/>
    </xf>
    <xf numFmtId="0" fontId="103" fillId="0" borderId="1" xfId="4" applyFont="1" applyBorder="1" applyAlignment="1">
      <alignment horizontal="left" vertical="center"/>
    </xf>
    <xf numFmtId="9" fontId="55" fillId="0" borderId="1" xfId="4" applyNumberFormat="1" applyFont="1" applyBorder="1" applyAlignment="1">
      <alignment horizontal="left" vertical="center"/>
    </xf>
    <xf numFmtId="177" fontId="55" fillId="0" borderId="1" xfId="4" applyNumberFormat="1" applyFont="1" applyBorder="1" applyAlignment="1">
      <alignment horizontal="left" vertical="center"/>
    </xf>
    <xf numFmtId="0" fontId="55" fillId="0" borderId="24" xfId="4" applyFont="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0" borderId="0" xfId="4" applyFont="1" applyAlignment="1">
      <alignment horizontal="left" vertical="center"/>
    </xf>
    <xf numFmtId="186" fontId="55" fillId="6" borderId="1" xfId="4" applyNumberFormat="1" applyFont="1" applyFill="1" applyBorder="1" applyAlignment="1">
      <alignment horizontal="left" vertical="center"/>
    </xf>
    <xf numFmtId="181" fontId="55" fillId="6" borderId="3" xfId="4" applyNumberFormat="1" applyFont="1" applyFill="1" applyBorder="1" applyAlignment="1">
      <alignment horizontal="right" vertical="center"/>
    </xf>
    <xf numFmtId="0" fontId="56" fillId="6" borderId="5" xfId="4" applyFont="1" applyFill="1" applyBorder="1" applyAlignment="1">
      <alignment vertical="center"/>
    </xf>
    <xf numFmtId="0" fontId="106" fillId="6" borderId="1" xfId="4" applyFont="1" applyFill="1" applyBorder="1" applyAlignment="1">
      <alignment horizontal="left" vertical="center"/>
    </xf>
    <xf numFmtId="9" fontId="56" fillId="6" borderId="1" xfId="4" applyNumberFormat="1" applyFont="1" applyFill="1" applyBorder="1" applyAlignment="1">
      <alignment horizontal="left" vertical="center"/>
    </xf>
    <xf numFmtId="177" fontId="56" fillId="6" borderId="1" xfId="4" applyNumberFormat="1" applyFont="1" applyFill="1" applyBorder="1" applyAlignment="1">
      <alignment horizontal="left" vertical="center"/>
    </xf>
    <xf numFmtId="177" fontId="55" fillId="5" borderId="1" xfId="4" applyNumberFormat="1" applyFont="1" applyFill="1" applyBorder="1" applyAlignment="1">
      <alignment horizontal="left" vertical="center"/>
    </xf>
    <xf numFmtId="0" fontId="106" fillId="6" borderId="24" xfId="4" applyFont="1" applyFill="1" applyBorder="1" applyAlignment="1">
      <alignment horizontal="left" vertical="center"/>
    </xf>
    <xf numFmtId="0" fontId="56" fillId="6" borderId="5" xfId="4" applyFont="1" applyFill="1" applyBorder="1" applyAlignment="1">
      <alignment horizontal="left" vertical="center"/>
    </xf>
    <xf numFmtId="0" fontId="55" fillId="6" borderId="37"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lignment horizontal="right" vertical="center"/>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Border="1" applyAlignment="1">
      <alignment horizontal="right" vertical="center"/>
    </xf>
    <xf numFmtId="181" fontId="55" fillId="0" borderId="3" xfId="4" applyNumberFormat="1" applyFont="1" applyBorder="1" applyAlignment="1">
      <alignment horizontal="right" vertical="center"/>
    </xf>
    <xf numFmtId="0" fontId="55" fillId="6" borderId="24" xfId="4" applyFont="1" applyFill="1" applyBorder="1" applyAlignment="1">
      <alignment horizontal="right" vertical="center"/>
    </xf>
    <xf numFmtId="0" fontId="56" fillId="6" borderId="23" xfId="4" applyFont="1" applyFill="1" applyBorder="1" applyAlignment="1">
      <alignment horizontal="left" vertical="center" wrapText="1"/>
    </xf>
    <xf numFmtId="0" fontId="56" fillId="6" borderId="5" xfId="4" applyFont="1" applyFill="1" applyBorder="1" applyAlignment="1">
      <alignment vertical="center" wrapText="1"/>
    </xf>
    <xf numFmtId="0" fontId="56" fillId="6" borderId="54" xfId="4" applyFont="1" applyFill="1" applyBorder="1" applyAlignment="1">
      <alignment vertical="center" wrapText="1"/>
    </xf>
    <xf numFmtId="0" fontId="56" fillId="6" borderId="3" xfId="4" applyFont="1" applyFill="1" applyBorder="1" applyAlignment="1">
      <alignment vertical="center" wrapText="1"/>
    </xf>
    <xf numFmtId="9" fontId="103" fillId="0" borderId="1" xfId="4" applyNumberFormat="1" applyFont="1" applyBorder="1" applyAlignment="1">
      <alignment horizontal="left" vertical="center"/>
    </xf>
    <xf numFmtId="0" fontId="55" fillId="0" borderId="0" xfId="4" applyFont="1" applyAlignment="1">
      <alignment horizontal="right"/>
    </xf>
    <xf numFmtId="0" fontId="19" fillId="0" borderId="0" xfId="4" applyFont="1" applyAlignment="1">
      <alignment horizontal="right"/>
    </xf>
    <xf numFmtId="0" fontId="106" fillId="6" borderId="46" xfId="4" applyFont="1" applyFill="1" applyBorder="1" applyAlignment="1">
      <alignment vertical="center"/>
    </xf>
    <xf numFmtId="0" fontId="106" fillId="6" borderId="36" xfId="4" applyFont="1" applyFill="1" applyBorder="1" applyAlignment="1">
      <alignment vertical="center"/>
    </xf>
    <xf numFmtId="0" fontId="106" fillId="6" borderId="22" xfId="4" applyFont="1" applyFill="1" applyBorder="1" applyAlignment="1">
      <alignment vertical="center"/>
    </xf>
    <xf numFmtId="0" fontId="103" fillId="6" borderId="1" xfId="4" applyFont="1" applyFill="1" applyBorder="1" applyAlignment="1">
      <alignment horizontal="left" vertical="center"/>
    </xf>
    <xf numFmtId="9" fontId="103" fillId="6" borderId="1" xfId="4" applyNumberFormat="1" applyFont="1" applyFill="1" applyBorder="1" applyAlignment="1">
      <alignment horizontal="left" vertical="center"/>
    </xf>
    <xf numFmtId="181" fontId="55" fillId="6" borderId="5" xfId="4" applyNumberFormat="1" applyFont="1" applyFill="1" applyBorder="1" applyAlignment="1">
      <alignment horizontal="right" vertical="center"/>
    </xf>
    <xf numFmtId="0" fontId="106" fillId="6" borderId="4" xfId="4" applyFont="1" applyFill="1" applyBorder="1" applyAlignment="1">
      <alignment vertical="center"/>
    </xf>
    <xf numFmtId="0" fontId="106" fillId="6" borderId="60" xfId="4" applyFont="1" applyFill="1" applyBorder="1" applyAlignment="1">
      <alignment vertical="center"/>
    </xf>
    <xf numFmtId="0" fontId="106" fillId="6" borderId="7" xfId="4" applyFont="1" applyFill="1" applyBorder="1" applyAlignment="1">
      <alignment vertical="center"/>
    </xf>
    <xf numFmtId="0" fontId="106" fillId="0" borderId="1" xfId="4" applyFont="1" applyBorder="1" applyAlignment="1">
      <alignment horizontal="left" vertical="center"/>
    </xf>
    <xf numFmtId="9" fontId="106" fillId="0" borderId="1" xfId="4" applyNumberFormat="1" applyFont="1" applyBorder="1" applyAlignment="1">
      <alignment horizontal="left" vertical="center"/>
    </xf>
    <xf numFmtId="0" fontId="83" fillId="6" borderId="12" xfId="4" applyFont="1" applyFill="1" applyBorder="1" applyAlignment="1">
      <alignment horizontal="left" vertical="center" wrapText="1"/>
    </xf>
    <xf numFmtId="0" fontId="142" fillId="6" borderId="74" xfId="4" applyFont="1" applyFill="1" applyBorder="1" applyAlignment="1">
      <alignment vertical="center"/>
    </xf>
    <xf numFmtId="0" fontId="19" fillId="6" borderId="74" xfId="4" applyFont="1" applyFill="1" applyBorder="1" applyAlignment="1">
      <alignment vertical="center"/>
    </xf>
    <xf numFmtId="0" fontId="37" fillId="0" borderId="74" xfId="4" applyBorder="1" applyAlignment="1">
      <alignment horizontal="left" vertical="center"/>
    </xf>
    <xf numFmtId="9" fontId="55" fillId="0" borderId="32" xfId="4" applyNumberFormat="1" applyFont="1" applyBorder="1" applyAlignment="1">
      <alignment horizontal="left" vertical="center"/>
    </xf>
    <xf numFmtId="181" fontId="103" fillId="0" borderId="32" xfId="4" applyNumberFormat="1" applyFont="1" applyBorder="1" applyAlignment="1">
      <alignment horizontal="left" vertical="center"/>
    </xf>
    <xf numFmtId="0" fontId="141" fillId="0" borderId="76" xfId="4" applyFont="1" applyBorder="1" applyAlignment="1">
      <alignment horizontal="left" vertical="center"/>
    </xf>
    <xf numFmtId="181" fontId="55" fillId="6" borderId="158" xfId="4" applyNumberFormat="1" applyFont="1" applyFill="1" applyBorder="1" applyAlignment="1">
      <alignment horizontal="right" vertical="center"/>
    </xf>
    <xf numFmtId="181" fontId="55" fillId="0" borderId="5" xfId="4" applyNumberFormat="1" applyFont="1" applyBorder="1" applyAlignment="1">
      <alignment horizontal="right" vertical="center"/>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lignment horizontal="left" vertical="center"/>
    </xf>
    <xf numFmtId="10" fontId="55" fillId="0" borderId="5" xfId="4" applyNumberFormat="1" applyFont="1" applyBorder="1" applyAlignment="1">
      <alignment horizontal="left" vertical="center"/>
    </xf>
    <xf numFmtId="10" fontId="55" fillId="0" borderId="158" xfId="4" applyNumberFormat="1" applyFont="1" applyBorder="1" applyAlignment="1">
      <alignment horizontal="left" vertical="center"/>
    </xf>
    <xf numFmtId="10" fontId="55" fillId="0" borderId="3" xfId="4" applyNumberFormat="1" applyFont="1" applyBorder="1" applyAlignment="1">
      <alignment horizontal="left" vertical="center"/>
    </xf>
    <xf numFmtId="0" fontId="55" fillId="6" borderId="13" xfId="4" applyFont="1" applyFill="1" applyBorder="1" applyAlignment="1">
      <alignment horizontal="left" vertical="center"/>
    </xf>
    <xf numFmtId="181" fontId="55" fillId="0" borderId="5" xfId="4" applyNumberFormat="1" applyFont="1" applyBorder="1" applyAlignment="1">
      <alignment horizontal="left" vertical="center"/>
    </xf>
    <xf numFmtId="181" fontId="55" fillId="0" borderId="158" xfId="4" applyNumberFormat="1" applyFont="1" applyBorder="1" applyAlignment="1">
      <alignment horizontal="left" vertical="center"/>
    </xf>
    <xf numFmtId="181" fontId="55" fillId="0" borderId="3" xfId="4" applyNumberFormat="1" applyFont="1" applyBorder="1" applyAlignment="1">
      <alignment horizontal="left" vertical="center"/>
    </xf>
    <xf numFmtId="176" fontId="55" fillId="0" borderId="0" xfId="4" applyNumberFormat="1" applyFont="1" applyAlignment="1">
      <alignment horizontal="left" vertical="center"/>
    </xf>
    <xf numFmtId="0" fontId="55" fillId="6" borderId="32" xfId="4" applyFont="1" applyFill="1" applyBorder="1" applyAlignment="1">
      <alignment horizontal="left" vertical="center"/>
    </xf>
    <xf numFmtId="176" fontId="55" fillId="0" borderId="33" xfId="4" applyNumberFormat="1" applyFont="1" applyBorder="1" applyAlignment="1">
      <alignment horizontal="left" vertical="center"/>
    </xf>
    <xf numFmtId="176" fontId="55" fillId="0" borderId="159" xfId="4" applyNumberFormat="1" applyFont="1" applyBorder="1" applyAlignment="1">
      <alignment horizontal="left" vertical="center"/>
    </xf>
    <xf numFmtId="176" fontId="55" fillId="0" borderId="66" xfId="4" applyNumberFormat="1" applyFont="1" applyBorder="1" applyAlignment="1">
      <alignment horizontal="left" vertical="center"/>
    </xf>
    <xf numFmtId="176" fontId="55" fillId="6" borderId="24" xfId="4" applyNumberFormat="1" applyFont="1" applyFill="1" applyBorder="1" applyAlignment="1">
      <alignment horizontal="left" vertical="center"/>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273" fillId="0" borderId="0" xfId="4" applyFont="1" applyAlignment="1">
      <alignment horizontal="left" vertical="center"/>
    </xf>
    <xf numFmtId="0" fontId="83" fillId="6" borderId="74" xfId="4" applyFont="1" applyFill="1" applyBorder="1" applyAlignment="1">
      <alignment vertical="center"/>
    </xf>
    <xf numFmtId="0" fontId="19" fillId="0" borderId="5" xfId="4" applyFont="1" applyBorder="1" applyAlignment="1">
      <alignment vertical="center"/>
    </xf>
    <xf numFmtId="0" fontId="274" fillId="6" borderId="23" xfId="4" applyFont="1" applyFill="1" applyBorder="1" applyAlignment="1">
      <alignment horizontal="left" vertical="center"/>
    </xf>
    <xf numFmtId="186" fontId="274" fillId="6" borderId="1" xfId="4" applyNumberFormat="1" applyFont="1" applyFill="1" applyBorder="1" applyAlignment="1">
      <alignment horizontal="left" vertical="center"/>
    </xf>
    <xf numFmtId="0" fontId="274" fillId="6" borderId="1" xfId="4" applyFont="1" applyFill="1" applyBorder="1" applyAlignment="1">
      <alignment horizontal="left" vertical="center"/>
    </xf>
    <xf numFmtId="0" fontId="274" fillId="6" borderId="24" xfId="4" applyFont="1" applyFill="1" applyBorder="1" applyAlignment="1">
      <alignment horizontal="left" vertical="center"/>
    </xf>
    <xf numFmtId="0" fontId="274" fillId="0" borderId="0" xfId="4" applyFont="1" applyAlignment="1">
      <alignment horizontal="left" vertical="center"/>
    </xf>
    <xf numFmtId="0" fontId="273" fillId="0" borderId="5" xfId="4" applyFont="1" applyBorder="1" applyAlignment="1">
      <alignment vertical="center"/>
    </xf>
    <xf numFmtId="0" fontId="276" fillId="0" borderId="1" xfId="4" applyFont="1" applyBorder="1" applyAlignment="1">
      <alignment horizontal="left" vertical="center"/>
    </xf>
    <xf numFmtId="0" fontId="273" fillId="0" borderId="1" xfId="4" applyFont="1" applyBorder="1" applyAlignment="1">
      <alignment horizontal="left" vertical="center"/>
    </xf>
    <xf numFmtId="9" fontId="273" fillId="0" borderId="1" xfId="4" applyNumberFormat="1" applyFont="1" applyBorder="1" applyAlignment="1">
      <alignment horizontal="left" vertical="center"/>
    </xf>
    <xf numFmtId="177" fontId="273" fillId="0" borderId="1" xfId="4" applyNumberFormat="1" applyFont="1" applyBorder="1" applyAlignment="1">
      <alignment horizontal="left" vertical="center"/>
    </xf>
    <xf numFmtId="0" fontId="273" fillId="0" borderId="24" xfId="4" applyFont="1" applyBorder="1" applyAlignment="1">
      <alignment horizontal="left" vertical="center"/>
    </xf>
    <xf numFmtId="181" fontId="274" fillId="0" borderId="1" xfId="4" applyNumberFormat="1" applyFont="1" applyBorder="1" applyAlignment="1">
      <alignment horizontal="left" vertical="center"/>
    </xf>
    <xf numFmtId="0" fontId="274" fillId="6" borderId="24" xfId="4" applyFont="1" applyFill="1" applyBorder="1" applyAlignment="1">
      <alignment vertical="center"/>
    </xf>
    <xf numFmtId="0" fontId="274" fillId="0" borderId="0" xfId="4" applyFont="1" applyAlignment="1">
      <alignment vertical="center"/>
    </xf>
    <xf numFmtId="9" fontId="274" fillId="0" borderId="1" xfId="4" applyNumberFormat="1" applyFont="1" applyBorder="1" applyAlignment="1">
      <alignment horizontal="left" vertical="center"/>
    </xf>
    <xf numFmtId="181" fontId="274" fillId="6" borderId="1" xfId="4" applyNumberFormat="1" applyFont="1" applyFill="1" applyBorder="1" applyAlignment="1">
      <alignment horizontal="left" vertical="center"/>
    </xf>
    <xf numFmtId="49" fontId="273" fillId="6" borderId="23" xfId="4" applyNumberFormat="1" applyFont="1" applyFill="1" applyBorder="1" applyAlignment="1">
      <alignment horizontal="left" vertical="center"/>
    </xf>
    <xf numFmtId="186" fontId="273" fillId="6" borderId="1" xfId="4" applyNumberFormat="1" applyFont="1" applyFill="1" applyBorder="1" applyAlignment="1">
      <alignment horizontal="left" vertical="center"/>
    </xf>
    <xf numFmtId="181" fontId="273" fillId="6" borderId="1" xfId="4" applyNumberFormat="1" applyFont="1" applyFill="1" applyBorder="1" applyAlignment="1">
      <alignment horizontal="left" vertical="center"/>
    </xf>
    <xf numFmtId="0" fontId="273" fillId="6" borderId="5" xfId="4" applyFont="1" applyFill="1" applyBorder="1" applyAlignment="1">
      <alignment horizontal="left" vertical="center"/>
    </xf>
    <xf numFmtId="0" fontId="3" fillId="6" borderId="3" xfId="4" applyFont="1" applyFill="1" applyBorder="1" applyAlignment="1">
      <alignment horizontal="right" vertical="center"/>
    </xf>
    <xf numFmtId="176" fontId="273" fillId="0" borderId="1" xfId="4" applyNumberFormat="1" applyFont="1" applyBorder="1" applyAlignment="1">
      <alignment horizontal="left" vertical="center"/>
    </xf>
    <xf numFmtId="181" fontId="273" fillId="6" borderId="3" xfId="4" applyNumberFormat="1" applyFont="1" applyFill="1" applyBorder="1" applyAlignment="1">
      <alignment horizontal="right" vertical="center"/>
    </xf>
    <xf numFmtId="0" fontId="274" fillId="6" borderId="5" xfId="4" applyFont="1" applyFill="1" applyBorder="1" applyAlignment="1">
      <alignment vertical="center"/>
    </xf>
    <xf numFmtId="0" fontId="277" fillId="6" borderId="1" xfId="4" applyFont="1" applyFill="1" applyBorder="1" applyAlignment="1">
      <alignment horizontal="left" vertical="center"/>
    </xf>
    <xf numFmtId="9" fontId="274" fillId="6" borderId="1" xfId="4" applyNumberFormat="1" applyFont="1" applyFill="1" applyBorder="1" applyAlignment="1">
      <alignment horizontal="left" vertical="center"/>
    </xf>
    <xf numFmtId="177" fontId="274" fillId="6" borderId="1" xfId="4" applyNumberFormat="1" applyFont="1" applyFill="1" applyBorder="1" applyAlignment="1">
      <alignment horizontal="left" vertical="center"/>
    </xf>
    <xf numFmtId="177" fontId="273" fillId="0" borderId="24" xfId="4" applyNumberFormat="1" applyFont="1" applyBorder="1" applyAlignment="1">
      <alignment horizontal="left" vertical="center"/>
    </xf>
    <xf numFmtId="186" fontId="273" fillId="0" borderId="1" xfId="4" applyNumberFormat="1" applyFont="1" applyBorder="1" applyAlignment="1">
      <alignment horizontal="left" vertical="center"/>
    </xf>
    <xf numFmtId="181" fontId="273" fillId="0" borderId="1" xfId="4" applyNumberFormat="1" applyFont="1" applyBorder="1" applyAlignment="1">
      <alignment horizontal="left" vertical="center"/>
    </xf>
    <xf numFmtId="0" fontId="274" fillId="6" borderId="25" xfId="4" applyFont="1" applyFill="1" applyBorder="1" applyAlignment="1">
      <alignment horizontal="left" vertical="center"/>
    </xf>
    <xf numFmtId="186" fontId="274" fillId="6" borderId="32" xfId="4" applyNumberFormat="1" applyFont="1" applyFill="1" applyBorder="1" applyAlignment="1">
      <alignment horizontal="left" vertical="center"/>
    </xf>
    <xf numFmtId="181" fontId="274" fillId="0" borderId="32" xfId="4" applyNumberFormat="1" applyFont="1" applyBorder="1" applyAlignment="1">
      <alignment horizontal="left" vertical="center"/>
    </xf>
    <xf numFmtId="0" fontId="274" fillId="6" borderId="49" xfId="4" applyFont="1" applyFill="1" applyBorder="1" applyAlignment="1">
      <alignment vertical="center"/>
    </xf>
    <xf numFmtId="0" fontId="274" fillId="6" borderId="69" xfId="4" applyFont="1" applyFill="1" applyBorder="1" applyAlignment="1">
      <alignment horizontal="left" vertical="center"/>
    </xf>
    <xf numFmtId="0" fontId="274" fillId="6" borderId="60" xfId="4" applyFont="1" applyFill="1" applyBorder="1" applyAlignment="1">
      <alignment horizontal="left" vertical="center"/>
    </xf>
    <xf numFmtId="186" fontId="274" fillId="6" borderId="60" xfId="4" applyNumberFormat="1" applyFont="1" applyFill="1" applyBorder="1" applyAlignment="1">
      <alignment horizontal="left" vertical="center"/>
    </xf>
    <xf numFmtId="181" fontId="274" fillId="0" borderId="60" xfId="4" applyNumberFormat="1" applyFont="1" applyBorder="1" applyAlignment="1">
      <alignment horizontal="left" vertical="center"/>
    </xf>
    <xf numFmtId="0" fontId="274" fillId="6" borderId="56" xfId="4" applyFont="1" applyFill="1" applyBorder="1" applyAlignment="1">
      <alignment vertical="center"/>
    </xf>
    <xf numFmtId="0" fontId="274" fillId="6" borderId="63" xfId="4" applyFont="1" applyFill="1" applyBorder="1" applyAlignment="1">
      <alignment vertical="center"/>
    </xf>
    <xf numFmtId="0" fontId="274" fillId="6" borderId="64" xfId="4" applyFont="1" applyFill="1" applyBorder="1" applyAlignment="1">
      <alignment vertical="center"/>
    </xf>
    <xf numFmtId="0" fontId="274" fillId="6" borderId="65" xfId="4" applyFont="1" applyFill="1" applyBorder="1" applyAlignment="1">
      <alignment vertical="center"/>
    </xf>
    <xf numFmtId="177" fontId="273" fillId="5" borderId="1" xfId="4" applyNumberFormat="1" applyFont="1" applyFill="1" applyBorder="1" applyAlignment="1">
      <alignment horizontal="left" vertical="center"/>
    </xf>
    <xf numFmtId="0" fontId="277" fillId="6" borderId="24" xfId="4" applyFont="1" applyFill="1" applyBorder="1" applyAlignment="1">
      <alignment horizontal="left" vertical="center"/>
    </xf>
    <xf numFmtId="0" fontId="274" fillId="6" borderId="71" xfId="4" applyFont="1" applyFill="1" applyBorder="1" applyAlignment="1">
      <alignment horizontal="left" vertical="center"/>
    </xf>
    <xf numFmtId="0" fontId="276" fillId="0" borderId="1" xfId="4" applyFont="1" applyBorder="1" applyAlignment="1">
      <alignment horizontal="left" vertical="center" wrapText="1"/>
    </xf>
    <xf numFmtId="0" fontId="274" fillId="6" borderId="5" xfId="4" applyFont="1" applyFill="1" applyBorder="1" applyAlignment="1">
      <alignment horizontal="left" vertical="center"/>
    </xf>
    <xf numFmtId="0" fontId="274" fillId="6" borderId="158" xfId="4" applyFont="1" applyFill="1" applyBorder="1" applyAlignment="1">
      <alignment horizontal="left" vertical="center"/>
    </xf>
    <xf numFmtId="0" fontId="274" fillId="6" borderId="3" xfId="4" applyFont="1" applyFill="1" applyBorder="1" applyAlignment="1">
      <alignment horizontal="left" vertical="center"/>
    </xf>
    <xf numFmtId="0" fontId="276" fillId="0" borderId="24" xfId="4" applyFont="1" applyBorder="1" applyAlignment="1">
      <alignment horizontal="left" vertical="center"/>
    </xf>
    <xf numFmtId="0" fontId="278" fillId="0" borderId="5" xfId="4" applyFont="1" applyBorder="1" applyAlignment="1">
      <alignment horizontal="left" vertical="center"/>
    </xf>
    <xf numFmtId="0" fontId="278" fillId="0" borderId="158" xfId="4" applyFont="1" applyBorder="1" applyAlignment="1">
      <alignment horizontal="left" vertical="center"/>
    </xf>
    <xf numFmtId="0" fontId="278" fillId="0" borderId="3" xfId="4" applyFont="1" applyBorder="1" applyAlignment="1">
      <alignment horizontal="left" vertical="center"/>
    </xf>
    <xf numFmtId="0" fontId="273" fillId="6" borderId="37" xfId="4" applyFont="1" applyFill="1" applyBorder="1" applyAlignment="1">
      <alignment horizontal="left" vertical="center"/>
    </xf>
    <xf numFmtId="0" fontId="273" fillId="6" borderId="1" xfId="4" applyFont="1" applyFill="1" applyBorder="1" applyAlignment="1">
      <alignment horizontal="left" vertical="center"/>
    </xf>
    <xf numFmtId="186" fontId="273" fillId="6" borderId="5" xfId="4" applyNumberFormat="1" applyFont="1" applyFill="1" applyBorder="1" applyAlignment="1">
      <alignment horizontal="left" vertical="center"/>
    </xf>
    <xf numFmtId="186" fontId="273" fillId="6" borderId="158" xfId="4" applyNumberFormat="1" applyFont="1" applyFill="1" applyBorder="1" applyAlignment="1">
      <alignment horizontal="left" vertical="center"/>
    </xf>
    <xf numFmtId="186" fontId="273" fillId="6" borderId="3" xfId="4" applyNumberFormat="1" applyFont="1" applyFill="1" applyBorder="1" applyAlignment="1">
      <alignment horizontal="left" vertical="center"/>
    </xf>
    <xf numFmtId="0" fontId="273" fillId="6" borderId="24" xfId="4" applyFont="1" applyFill="1" applyBorder="1" applyAlignment="1">
      <alignment horizontal="left" vertical="center"/>
    </xf>
    <xf numFmtId="0" fontId="273" fillId="0" borderId="0" xfId="4" applyFont="1" applyAlignment="1">
      <alignment horizontal="right" vertical="center"/>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56" fillId="21" borderId="69" xfId="4" applyFont="1" applyFill="1" applyBorder="1" applyAlignment="1">
      <alignment vertical="center"/>
    </xf>
    <xf numFmtId="0" fontId="56" fillId="21" borderId="7" xfId="4" applyFont="1" applyFill="1" applyBorder="1" applyAlignment="1">
      <alignment vertical="center"/>
    </xf>
    <xf numFmtId="0" fontId="56" fillId="6" borderId="37" xfId="4" applyFont="1" applyFill="1" applyBorder="1" applyAlignment="1">
      <alignment horizontal="left" vertical="center"/>
    </xf>
    <xf numFmtId="0" fontId="56" fillId="6" borderId="3"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lignment horizontal="left" vertical="center" wrapText="1"/>
    </xf>
    <xf numFmtId="0" fontId="56" fillId="6" borderId="13" xfId="4" applyFont="1" applyFill="1" applyBorder="1" applyAlignment="1">
      <alignment horizontal="left" vertical="center" wrapText="1"/>
    </xf>
    <xf numFmtId="0" fontId="56" fillId="6" borderId="15" xfId="4" applyFont="1" applyFill="1" applyBorder="1" applyAlignment="1">
      <alignment horizontal="left" vertical="center" wrapText="1"/>
    </xf>
    <xf numFmtId="0" fontId="56" fillId="6" borderId="2" xfId="4" applyFont="1" applyFill="1" applyBorder="1" applyAlignment="1">
      <alignment horizontal="left" vertical="center" wrapText="1"/>
    </xf>
    <xf numFmtId="0" fontId="274" fillId="6" borderId="5" xfId="4" applyFont="1" applyFill="1" applyBorder="1" applyAlignment="1">
      <alignment horizontal="left" vertical="center"/>
    </xf>
    <xf numFmtId="0" fontId="274" fillId="6" borderId="3" xfId="4" applyFont="1" applyFill="1" applyBorder="1" applyAlignment="1">
      <alignment horizontal="left" vertical="center"/>
    </xf>
    <xf numFmtId="0" fontId="273" fillId="6" borderId="5" xfId="4" applyFont="1" applyFill="1" applyBorder="1" applyAlignment="1">
      <alignment horizontal="left" vertical="center"/>
    </xf>
    <xf numFmtId="0" fontId="273" fillId="6" borderId="3" xfId="4" applyFont="1" applyFill="1" applyBorder="1" applyAlignment="1">
      <alignment horizontal="left" vertical="center"/>
    </xf>
    <xf numFmtId="0" fontId="274" fillId="6" borderId="23" xfId="4" applyFont="1" applyFill="1" applyBorder="1" applyAlignment="1">
      <alignment horizontal="left" vertical="center" wrapText="1"/>
    </xf>
    <xf numFmtId="0" fontId="274" fillId="6" borderId="13" xfId="4" applyFont="1" applyFill="1" applyBorder="1" applyAlignment="1">
      <alignment horizontal="left" vertical="center" wrapText="1"/>
    </xf>
    <xf numFmtId="0" fontId="274" fillId="6" borderId="15" xfId="4" applyFont="1" applyFill="1" applyBorder="1" applyAlignment="1">
      <alignment horizontal="left" vertical="center" wrapText="1"/>
    </xf>
    <xf numFmtId="0" fontId="274" fillId="6" borderId="2" xfId="4" applyFont="1" applyFill="1" applyBorder="1" applyAlignment="1">
      <alignment horizontal="left" vertical="center" wrapText="1"/>
    </xf>
    <xf numFmtId="0" fontId="274" fillId="6" borderId="33" xfId="4" applyFont="1" applyFill="1" applyBorder="1" applyAlignment="1">
      <alignment horizontal="left" vertical="center"/>
    </xf>
    <xf numFmtId="0" fontId="274" fillId="6" borderId="66" xfId="4" applyFont="1" applyFill="1" applyBorder="1" applyAlignment="1">
      <alignment horizontal="left" vertical="center"/>
    </xf>
    <xf numFmtId="0" fontId="106" fillId="6" borderId="11" xfId="4" applyFont="1" applyFill="1" applyBorder="1" applyAlignment="1">
      <alignment horizontal="left" vertical="center"/>
    </xf>
    <xf numFmtId="0" fontId="106" fillId="6" borderId="41" xfId="4" applyFont="1" applyFill="1" applyBorder="1" applyAlignment="1">
      <alignment horizontal="left"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53" fillId="6" borderId="13" xfId="10" applyFont="1" applyFill="1" applyBorder="1" applyAlignment="1" applyProtection="1">
      <alignment horizontal="center" vertical="center"/>
    </xf>
    <xf numFmtId="0" fontId="53" fillId="6" borderId="15" xfId="10" applyFont="1" applyFill="1" applyBorder="1" applyAlignment="1" applyProtection="1">
      <alignment horizontal="center" vertical="center"/>
    </xf>
    <xf numFmtId="0" fontId="53" fillId="6" borderId="2" xfId="10" applyFont="1" applyFill="1" applyBorder="1" applyAlignment="1" applyProtection="1">
      <alignment horizontal="center" vertical="center"/>
    </xf>
    <xf numFmtId="0" fontId="53" fillId="6" borderId="6" xfId="10" applyFont="1" applyFill="1" applyBorder="1" applyAlignment="1" applyProtection="1">
      <alignment horizontal="center" vertical="center" wrapText="1"/>
    </xf>
    <xf numFmtId="0" fontId="53" fillId="6" borderId="10" xfId="10" applyFont="1" applyFill="1" applyBorder="1" applyAlignment="1" applyProtection="1">
      <alignment horizontal="center" vertical="center" wrapText="1"/>
    </xf>
    <xf numFmtId="0" fontId="53" fillId="6" borderId="46" xfId="10" applyFont="1" applyFill="1" applyBorder="1" applyAlignment="1" applyProtection="1">
      <alignment horizontal="center" vertical="center" wrapText="1"/>
    </xf>
    <xf numFmtId="0" fontId="53" fillId="6" borderId="22" xfId="10" applyFont="1" applyFill="1" applyBorder="1" applyAlignment="1" applyProtection="1">
      <alignment horizontal="center" vertical="center" wrapText="1"/>
    </xf>
    <xf numFmtId="0" fontId="53" fillId="6" borderId="58" xfId="10" applyFont="1" applyFill="1" applyBorder="1" applyAlignment="1" applyProtection="1">
      <alignment horizontal="center" vertical="center" wrapText="1"/>
    </xf>
    <xf numFmtId="0" fontId="53" fillId="6" borderId="35" xfId="10" applyFont="1" applyFill="1" applyBorder="1" applyAlignment="1" applyProtection="1">
      <alignment horizontal="center" vertical="center" wrapText="1"/>
    </xf>
    <xf numFmtId="0" fontId="53" fillId="6" borderId="4" xfId="10" applyFont="1" applyFill="1" applyBorder="1" applyAlignment="1" applyProtection="1">
      <alignment horizontal="center" vertical="center" wrapText="1"/>
    </xf>
    <xf numFmtId="0" fontId="53" fillId="6" borderId="7" xfId="10" applyFont="1" applyFill="1" applyBorder="1" applyAlignment="1" applyProtection="1">
      <alignment horizontal="center" vertical="center" wrapText="1"/>
    </xf>
    <xf numFmtId="0" fontId="53" fillId="6" borderId="46" xfId="10" applyFont="1" applyFill="1" applyBorder="1" applyAlignment="1" applyProtection="1">
      <alignment horizontal="center" vertical="center"/>
    </xf>
    <xf numFmtId="0" fontId="53" fillId="6" borderId="22" xfId="10" applyFont="1" applyFill="1" applyBorder="1" applyAlignment="1" applyProtection="1">
      <alignment horizontal="center" vertical="center"/>
    </xf>
    <xf numFmtId="0" fontId="53" fillId="6" borderId="58" xfId="10" applyFont="1" applyFill="1" applyBorder="1" applyAlignment="1" applyProtection="1">
      <alignment horizontal="center" vertical="center"/>
    </xf>
    <xf numFmtId="0" fontId="53" fillId="6" borderId="35" xfId="10" applyFont="1" applyFill="1" applyBorder="1" applyAlignment="1" applyProtection="1">
      <alignment horizontal="center" vertical="center"/>
    </xf>
    <xf numFmtId="49" fontId="174" fillId="0" borderId="23" xfId="10" applyNumberFormat="1" applyFont="1" applyFill="1" applyBorder="1" applyAlignment="1" applyProtection="1">
      <alignment horizontal="center" vertical="center" wrapText="1"/>
      <protection locked="0"/>
    </xf>
    <xf numFmtId="0" fontId="174" fillId="0" borderId="24" xfId="10" applyFont="1" applyFill="1" applyBorder="1" applyAlignment="1" applyProtection="1">
      <alignment horizontal="center" vertical="center" wrapText="1"/>
      <protection locked="0"/>
    </xf>
    <xf numFmtId="0" fontId="174" fillId="0" borderId="23" xfId="10" applyFont="1" applyFill="1" applyBorder="1" applyAlignment="1" applyProtection="1">
      <alignment horizontal="center" vertical="center" wrapText="1"/>
      <protection locked="0"/>
    </xf>
    <xf numFmtId="0" fontId="174" fillId="0" borderId="25" xfId="10" applyFont="1" applyFill="1" applyBorder="1" applyAlignment="1" applyProtection="1">
      <alignment horizontal="center" vertical="center" wrapText="1"/>
      <protection locked="0"/>
    </xf>
    <xf numFmtId="0" fontId="174" fillId="0" borderId="49" xfId="10" applyFont="1" applyFill="1" applyBorder="1" applyAlignment="1" applyProtection="1">
      <alignment horizontal="center" vertical="center" wrapText="1"/>
      <protection locked="0"/>
    </xf>
    <xf numFmtId="0" fontId="174" fillId="0" borderId="11" xfId="10" applyFont="1" applyFill="1" applyBorder="1" applyAlignment="1" applyProtection="1">
      <alignment horizontal="center" vertical="center" wrapText="1"/>
      <protection locked="0"/>
    </xf>
    <xf numFmtId="0" fontId="174" fillId="0" borderId="61" xfId="10" applyFont="1" applyFill="1" applyBorder="1" applyAlignment="1" applyProtection="1">
      <alignment horizontal="center" vertical="center" wrapText="1"/>
      <protection locked="0"/>
    </xf>
    <xf numFmtId="0" fontId="53" fillId="6" borderId="4" xfId="10" applyFont="1" applyFill="1" applyBorder="1" applyAlignment="1" applyProtection="1">
      <alignment horizontal="center" vertical="center"/>
    </xf>
    <xf numFmtId="0" fontId="53" fillId="6" borderId="7" xfId="10" applyFont="1" applyFill="1" applyBorder="1" applyAlignment="1" applyProtection="1">
      <alignment horizontal="center" vertical="center"/>
    </xf>
    <xf numFmtId="0" fontId="53" fillId="6" borderId="1" xfId="10" applyFont="1" applyFill="1" applyBorder="1" applyAlignment="1" applyProtection="1">
      <alignment horizontal="center" vertical="center"/>
    </xf>
    <xf numFmtId="0" fontId="46" fillId="6" borderId="5" xfId="10" applyFont="1" applyFill="1" applyBorder="1" applyAlignment="1" applyProtection="1">
      <alignment horizontal="center" vertical="center"/>
    </xf>
    <xf numFmtId="0" fontId="46" fillId="6" borderId="54" xfId="10" applyFont="1" applyFill="1" applyBorder="1" applyAlignment="1" applyProtection="1">
      <alignment horizontal="center" vertical="center"/>
    </xf>
    <xf numFmtId="0" fontId="46" fillId="6" borderId="3" xfId="10" applyFont="1" applyFill="1" applyBorder="1" applyAlignment="1" applyProtection="1">
      <alignment horizontal="center" vertical="center"/>
    </xf>
    <xf numFmtId="0" fontId="53" fillId="6" borderId="1" xfId="10" applyFont="1" applyFill="1" applyBorder="1" applyAlignment="1" applyProtection="1">
      <alignment horizontal="center" vertical="center" wrapText="1"/>
    </xf>
    <xf numFmtId="0" fontId="46" fillId="6" borderId="1" xfId="10" applyFont="1" applyFill="1" applyBorder="1" applyAlignment="1" applyProtection="1">
      <alignment horizontal="center" vertical="center" wrapText="1"/>
    </xf>
    <xf numFmtId="0" fontId="53" fillId="6" borderId="13" xfId="10" applyFont="1" applyFill="1" applyBorder="1" applyAlignment="1" applyProtection="1">
      <alignment horizontal="center" vertical="center" wrapText="1"/>
    </xf>
    <xf numFmtId="0" fontId="53" fillId="6" borderId="15" xfId="10" applyFont="1" applyFill="1" applyBorder="1" applyAlignment="1" applyProtection="1">
      <alignment horizontal="center" vertical="center" wrapText="1"/>
    </xf>
    <xf numFmtId="186" fontId="53" fillId="6" borderId="1" xfId="10" applyNumberFormat="1" applyFont="1" applyFill="1" applyBorder="1" applyAlignment="1" applyProtection="1">
      <alignment horizontal="center" vertical="center"/>
    </xf>
    <xf numFmtId="0" fontId="53" fillId="6" borderId="5" xfId="10" applyFont="1" applyFill="1" applyBorder="1" applyAlignment="1" applyProtection="1">
      <alignment horizontal="center" vertical="center" wrapText="1"/>
    </xf>
    <xf numFmtId="0" fontId="53" fillId="6" borderId="3" xfId="10" applyFont="1" applyFill="1" applyBorder="1" applyAlignment="1" applyProtection="1">
      <alignment horizontal="center" vertical="center" wrapText="1"/>
    </xf>
    <xf numFmtId="186" fontId="52" fillId="19" borderId="1" xfId="10" applyNumberFormat="1" applyFont="1" applyFill="1" applyBorder="1" applyAlignment="1" applyProtection="1">
      <alignment horizontal="center" vertical="center"/>
    </xf>
    <xf numFmtId="0" fontId="53" fillId="6" borderId="13" xfId="10" applyFont="1" applyFill="1" applyBorder="1" applyAlignment="1" applyProtection="1">
      <alignment horizontal="center" vertical="center" textRotation="255" wrapText="1"/>
    </xf>
    <xf numFmtId="0" fontId="53" fillId="6" borderId="15" xfId="10" applyFont="1" applyFill="1" applyBorder="1" applyAlignment="1" applyProtection="1">
      <alignment horizontal="center" vertical="center" textRotation="255" wrapText="1"/>
    </xf>
    <xf numFmtId="0" fontId="97" fillId="6" borderId="6" xfId="10" applyFont="1" applyFill="1" applyBorder="1" applyAlignment="1" applyProtection="1">
      <alignment horizontal="center" vertical="center" wrapText="1"/>
    </xf>
    <xf numFmtId="0" fontId="97" fillId="6" borderId="9" xfId="10" applyFont="1" applyFill="1" applyBorder="1" applyAlignment="1" applyProtection="1">
      <alignment horizontal="center" vertical="center" wrapText="1"/>
    </xf>
    <xf numFmtId="0" fontId="97" fillId="6" borderId="23" xfId="10" applyFont="1" applyFill="1" applyBorder="1" applyAlignment="1" applyProtection="1">
      <alignment horizontal="center" vertical="center" wrapText="1"/>
    </xf>
    <xf numFmtId="0" fontId="97" fillId="6" borderId="1" xfId="10" applyFont="1" applyFill="1" applyBorder="1" applyAlignment="1" applyProtection="1">
      <alignment horizontal="center" vertical="center" wrapText="1"/>
    </xf>
    <xf numFmtId="0" fontId="128" fillId="6" borderId="23" xfId="10" applyFont="1" applyFill="1" applyBorder="1" applyAlignment="1" applyProtection="1">
      <alignment horizontal="center" vertical="center"/>
    </xf>
  </cellXfs>
  <cellStyles count="18">
    <cellStyle name="百分比 2" xfId="14" xr:uid="{00000000-0005-0000-0000-000000000000}"/>
    <cellStyle name="常规" xfId="0" builtinId="0"/>
    <cellStyle name="常规 10" xfId="17" xr:uid="{00000000-0005-0000-0000-000002000000}"/>
    <cellStyle name="常规 16" xfId="10" xr:uid="{00000000-0005-0000-0000-000003000000}"/>
    <cellStyle name="常规 2" xfId="1" xr:uid="{00000000-0005-0000-0000-000004000000}"/>
    <cellStyle name="常规 2 2" xfId="8" xr:uid="{00000000-0005-0000-0000-000005000000}"/>
    <cellStyle name="常规 2 2 2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6" xr:uid="{00000000-0005-0000-0000-00000B000000}"/>
    <cellStyle name="常规 6 2" xfId="9" xr:uid="{00000000-0005-0000-0000-00000C000000}"/>
    <cellStyle name="常规 6 2 2" xfId="16" xr:uid="{00000000-0005-0000-0000-00000D000000}"/>
    <cellStyle name="常规 6 2 3" xfId="13" xr:uid="{00000000-0005-0000-0000-00000E000000}"/>
    <cellStyle name="常规 7" xfId="7" xr:uid="{00000000-0005-0000-0000-00000F000000}"/>
    <cellStyle name="常规 8" xfId="11" xr:uid="{00000000-0005-0000-0000-000010000000}"/>
    <cellStyle name="常规 9" xfId="12" xr:uid="{00000000-0005-0000-0000-000011000000}"/>
  </cellStyles>
  <dxfs count="249">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5</xdr:col>
      <xdr:colOff>437398</xdr:colOff>
      <xdr:row>83</xdr:row>
      <xdr:rowOff>151754</xdr:rowOff>
    </xdr:to>
    <xdr:pic>
      <xdr:nvPicPr>
        <xdr:cNvPr id="2" name="图片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0" y="8439150"/>
          <a:ext cx="6019048" cy="5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113686</xdr:colOff>
      <xdr:row>26</xdr:row>
      <xdr:rowOff>47062</xdr:rowOff>
    </xdr:to>
    <xdr:pic>
      <xdr:nvPicPr>
        <xdr:cNvPr id="2" name="图片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4914286" cy="4504762"/>
        </a:xfrm>
        <a:prstGeom prst="rect">
          <a:avLst/>
        </a:prstGeom>
      </xdr:spPr>
    </xdr:pic>
    <xdr:clientData/>
  </xdr:twoCellAnchor>
  <xdr:twoCellAnchor editAs="oneCell">
    <xdr:from>
      <xdr:col>0</xdr:col>
      <xdr:colOff>0</xdr:colOff>
      <xdr:row>33</xdr:row>
      <xdr:rowOff>85725</xdr:rowOff>
    </xdr:from>
    <xdr:to>
      <xdr:col>10</xdr:col>
      <xdr:colOff>246762</xdr:colOff>
      <xdr:row>36</xdr:row>
      <xdr:rowOff>171375</xdr:rowOff>
    </xdr:to>
    <xdr:pic>
      <xdr:nvPicPr>
        <xdr:cNvPr id="3" name="图片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2"/>
        <a:stretch>
          <a:fillRect/>
        </a:stretch>
      </xdr:blipFill>
      <xdr:spPr>
        <a:xfrm>
          <a:off x="0" y="5743575"/>
          <a:ext cx="7104762" cy="600000"/>
        </a:xfrm>
        <a:prstGeom prst="rect">
          <a:avLst/>
        </a:prstGeom>
      </xdr:spPr>
    </xdr:pic>
    <xdr:clientData/>
  </xdr:twoCellAnchor>
  <xdr:twoCellAnchor editAs="oneCell">
    <xdr:from>
      <xdr:col>0</xdr:col>
      <xdr:colOff>47625</xdr:colOff>
      <xdr:row>26</xdr:row>
      <xdr:rowOff>38100</xdr:rowOff>
    </xdr:from>
    <xdr:to>
      <xdr:col>13</xdr:col>
      <xdr:colOff>627464</xdr:colOff>
      <xdr:row>33</xdr:row>
      <xdr:rowOff>85569</xdr:rowOff>
    </xdr:to>
    <xdr:pic>
      <xdr:nvPicPr>
        <xdr:cNvPr id="4" name="图片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3"/>
        <a:stretch>
          <a:fillRect/>
        </a:stretch>
      </xdr:blipFill>
      <xdr:spPr>
        <a:xfrm>
          <a:off x="47625" y="4495800"/>
          <a:ext cx="9495239" cy="12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53;&#21578;&#20204;\&#22303;&#22320;\2021-1-0363&#21513;&#26519;&#30465;&#24310;&#21513;&#24066;&#29233;&#20025;&#36335;1709&#21495;101\&#27979;&#31639;&#8212;&#8212;&#24310;&#215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成本逼近法"/>
      <sheetName val="收益还原法"/>
      <sheetName val="剩余法-现房"/>
      <sheetName val="不动产收益法"/>
      <sheetName val="比较法-商业"/>
      <sheetName val="比较法-工业"/>
      <sheetName val="土地案例（延吉）"/>
      <sheetName val="土地案例（白山市）"/>
      <sheetName val="基准地价"/>
      <sheetName val="修正"/>
      <sheetName val="区片价"/>
      <sheetName val="容积率修正"/>
      <sheetName val="因素修正幅度"/>
      <sheetName val="地价"/>
      <sheetName val="基准地价（汇总）"/>
      <sheetName val="酒店收入计算"/>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资料"/>
      <sheetName val="房屋"/>
    </sheetNames>
    <sheetDataSet>
      <sheetData sheetId="0"/>
      <sheetData sheetId="1"/>
      <sheetData sheetId="2"/>
      <sheetData sheetId="3"/>
      <sheetData sheetId="4"/>
      <sheetData sheetId="5"/>
      <sheetData sheetId="6"/>
      <sheetData sheetId="7"/>
      <sheetData sheetId="8">
        <row r="1">
          <cell r="A1" t="str">
            <v>用途类型</v>
          </cell>
        </row>
        <row r="2">
          <cell r="A2" t="str">
            <v>平层住宅</v>
          </cell>
        </row>
        <row r="3">
          <cell r="A3" t="str">
            <v>LOFT住宅</v>
          </cell>
        </row>
        <row r="4">
          <cell r="A4" t="str">
            <v>普通住宅</v>
          </cell>
        </row>
        <row r="5">
          <cell r="A5" t="str">
            <v>公寓</v>
          </cell>
        </row>
        <row r="6">
          <cell r="A6" t="str">
            <v>洋房</v>
          </cell>
        </row>
        <row r="7">
          <cell r="A7" t="str">
            <v>叠拼</v>
          </cell>
        </row>
        <row r="8">
          <cell r="A8" t="str">
            <v>联排</v>
          </cell>
        </row>
        <row r="9">
          <cell r="A9" t="str">
            <v>双拼</v>
          </cell>
        </row>
        <row r="10">
          <cell r="A10" t="str">
            <v>独栋</v>
          </cell>
        </row>
        <row r="11">
          <cell r="A11" t="str">
            <v>底商</v>
          </cell>
        </row>
        <row r="12">
          <cell r="A12" t="str">
            <v>独立商业</v>
          </cell>
        </row>
        <row r="13">
          <cell r="A13" t="str">
            <v>商业街</v>
          </cell>
        </row>
        <row r="14">
          <cell r="A14" t="str">
            <v>酒店</v>
          </cell>
        </row>
        <row r="15">
          <cell r="A15" t="str">
            <v>标准厂房</v>
          </cell>
        </row>
        <row r="16">
          <cell r="A16" t="str">
            <v>特殊厂房</v>
          </cell>
        </row>
        <row r="17">
          <cell r="A17" t="str">
            <v>办公楼</v>
          </cell>
        </row>
        <row r="18">
          <cell r="A18" t="str">
            <v>宿舍</v>
          </cell>
        </row>
        <row r="19">
          <cell r="A19" t="str">
            <v>食堂</v>
          </cell>
        </row>
        <row r="20">
          <cell r="A20" t="str">
            <v>车库</v>
          </cell>
        </row>
        <row r="21">
          <cell r="A21" t="str">
            <v>戊类库房</v>
          </cell>
        </row>
        <row r="22">
          <cell r="A22" t="str">
            <v>燃品库房</v>
          </cell>
        </row>
        <row r="23">
          <cell r="A23" t="str">
            <v>非燃品库房</v>
          </cell>
        </row>
        <row r="24">
          <cell r="A24" t="str">
            <v>——</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9">
        <row r="10">
          <cell r="F10" t="str">
            <v>爱丹路1709号101</v>
          </cell>
        </row>
        <row r="41">
          <cell r="F41" t="str">
            <v>吉林省延吉市</v>
          </cell>
        </row>
      </sheetData>
      <sheetData sheetId="10"/>
      <sheetData sheetId="11"/>
      <sheetData sheetId="12">
        <row r="3">
          <cell r="D3">
            <v>1442.46</v>
          </cell>
          <cell r="E3">
            <v>198.07</v>
          </cell>
          <cell r="I3">
            <v>0.14000000000000001</v>
          </cell>
        </row>
        <row r="8">
          <cell r="E8">
            <v>198.07</v>
          </cell>
        </row>
        <row r="9">
          <cell r="E9">
            <v>0</v>
          </cell>
        </row>
        <row r="11">
          <cell r="E11">
            <v>0</v>
          </cell>
        </row>
        <row r="12">
          <cell r="E12">
            <v>0</v>
          </cell>
        </row>
        <row r="13">
          <cell r="E13">
            <v>0</v>
          </cell>
        </row>
        <row r="14">
          <cell r="E14">
            <v>0</v>
          </cell>
        </row>
        <row r="15">
          <cell r="E15">
            <v>0</v>
          </cell>
        </row>
        <row r="19">
          <cell r="D19">
            <v>1442.46</v>
          </cell>
        </row>
      </sheetData>
      <sheetData sheetId="13">
        <row r="2">
          <cell r="B2">
            <v>44357</v>
          </cell>
        </row>
        <row r="16">
          <cell r="G16">
            <v>1</v>
          </cell>
        </row>
      </sheetData>
      <sheetData sheetId="14">
        <row r="15">
          <cell r="C15" t="str">
            <v>估价对象周边居住用地比例、居住小区规模和社区发展完善程度，综合评价居住社区成熟度一般</v>
          </cell>
        </row>
        <row r="16">
          <cell r="C16" t="str">
            <v>估价对象位于XX商圈，周边商业氛围成熟，人流量大，商业繁华度好</v>
          </cell>
        </row>
        <row r="17">
          <cell r="C17" t="str">
            <v>估价对象位于XX商圈，周边办公楼项目较多，入驻率高，办公集聚程度较好</v>
          </cell>
        </row>
        <row r="18">
          <cell r="C18" t="str">
            <v>估价对象周边道路状况、公共交通通达情况、停车便捷程度，综合评价交通便捷度较好</v>
          </cell>
        </row>
        <row r="20">
          <cell r="C20" t="str">
            <v>区域自然环境：；人文环境；综合评价环境状况一般</v>
          </cell>
        </row>
        <row r="21">
          <cell r="C21" t="str">
            <v>估价对象所在区域公共配套设施齐备情况</v>
          </cell>
        </row>
        <row r="22">
          <cell r="C22" t="str">
            <v>估价对象所在区域基础设施水平</v>
          </cell>
        </row>
      </sheetData>
      <sheetData sheetId="15"/>
      <sheetData sheetId="16"/>
      <sheetData sheetId="17"/>
      <sheetData sheetId="18"/>
      <sheetData sheetId="19"/>
      <sheetData sheetId="20"/>
      <sheetData sheetId="21"/>
      <sheetData sheetId="22"/>
      <sheetData sheetId="23">
        <row r="99">
          <cell r="B99" t="str">
            <v>毗邻道路的类型与等级</v>
          </cell>
        </row>
        <row r="114">
          <cell r="B114" t="str">
            <v>宗地开发程度</v>
          </cell>
        </row>
        <row r="116">
          <cell r="B116" t="str">
            <v>工程地质条件</v>
          </cell>
        </row>
      </sheetData>
      <sheetData sheetId="24"/>
      <sheetData sheetId="25">
        <row r="13">
          <cell r="H13" t="str">
            <v>其他商服用地</v>
          </cell>
          <cell r="K13" t="str">
            <v>2021-05-16</v>
          </cell>
        </row>
        <row r="14">
          <cell r="K14" t="str">
            <v>2021-05-16</v>
          </cell>
        </row>
        <row r="28">
          <cell r="H28" t="str">
            <v>零售商业用地</v>
          </cell>
          <cell r="K28" t="str">
            <v>2020-08-06</v>
          </cell>
        </row>
      </sheetData>
      <sheetData sheetId="26">
        <row r="21">
          <cell r="N21" t="str">
            <v>商业</v>
          </cell>
          <cell r="P21">
            <v>1.09E-2</v>
          </cell>
        </row>
        <row r="22">
          <cell r="N22" t="str">
            <v>办公</v>
          </cell>
          <cell r="P22">
            <v>1.09E-2</v>
          </cell>
        </row>
        <row r="23">
          <cell r="N23" t="str">
            <v>住宅</v>
          </cell>
          <cell r="P23">
            <v>1.9E-2</v>
          </cell>
        </row>
        <row r="24">
          <cell r="N24" t="str">
            <v>工业</v>
          </cell>
          <cell r="P24">
            <v>1.2500000000000001E-2</v>
          </cell>
        </row>
        <row r="25">
          <cell r="N25" t="str">
            <v>综合</v>
          </cell>
          <cell r="P25">
            <v>1.7299999999999999E-2</v>
          </cell>
        </row>
      </sheetData>
      <sheetData sheetId="27">
        <row r="45">
          <cell r="A45" t="str">
            <v>一级</v>
          </cell>
          <cell r="B45">
            <v>0.8</v>
          </cell>
          <cell r="C45">
            <v>0.5</v>
          </cell>
          <cell r="D45">
            <v>0.36</v>
          </cell>
          <cell r="E45">
            <v>0.3</v>
          </cell>
          <cell r="F45">
            <v>0.3</v>
          </cell>
          <cell r="G45">
            <v>0.3</v>
          </cell>
          <cell r="H45">
            <v>0.25</v>
          </cell>
        </row>
        <row r="46">
          <cell r="A46" t="str">
            <v>二级</v>
          </cell>
          <cell r="B46">
            <v>0.8</v>
          </cell>
          <cell r="C46">
            <v>0.5</v>
          </cell>
          <cell r="D46">
            <v>0.36</v>
          </cell>
          <cell r="E46">
            <v>0.3</v>
          </cell>
          <cell r="F46">
            <v>0.3</v>
          </cell>
          <cell r="G46">
            <v>0.3</v>
          </cell>
          <cell r="H46">
            <v>0.25</v>
          </cell>
        </row>
        <row r="47">
          <cell r="A47" t="str">
            <v>三级</v>
          </cell>
          <cell r="B47">
            <v>0.7</v>
          </cell>
          <cell r="C47">
            <v>0.4</v>
          </cell>
          <cell r="D47">
            <v>0.28000000000000003</v>
          </cell>
          <cell r="E47">
            <v>0.25</v>
          </cell>
          <cell r="F47">
            <v>0.25</v>
          </cell>
          <cell r="G47">
            <v>0.25</v>
          </cell>
          <cell r="H47">
            <v>0.2</v>
          </cell>
        </row>
        <row r="48">
          <cell r="A48" t="str">
            <v>四级</v>
          </cell>
          <cell r="B48">
            <v>0.7</v>
          </cell>
          <cell r="C48">
            <v>0.4</v>
          </cell>
          <cell r="D48">
            <v>0.28000000000000003</v>
          </cell>
          <cell r="E48">
            <v>0.25</v>
          </cell>
          <cell r="F48">
            <v>0.25</v>
          </cell>
          <cell r="G48">
            <v>0.25</v>
          </cell>
          <cell r="H48">
            <v>0.2</v>
          </cell>
        </row>
        <row r="49">
          <cell r="A49" t="str">
            <v>五级</v>
          </cell>
          <cell r="B49">
            <v>0.7</v>
          </cell>
          <cell r="C49">
            <v>0.4</v>
          </cell>
          <cell r="D49">
            <v>0.28000000000000003</v>
          </cell>
          <cell r="E49">
            <v>0.25</v>
          </cell>
          <cell r="F49">
            <v>0.25</v>
          </cell>
          <cell r="G49">
            <v>0.25</v>
          </cell>
          <cell r="H49">
            <v>0.2</v>
          </cell>
        </row>
        <row r="50">
          <cell r="A50" t="str">
            <v>六级</v>
          </cell>
          <cell r="B50">
            <v>0.7</v>
          </cell>
          <cell r="C50">
            <v>0.4</v>
          </cell>
          <cell r="D50">
            <v>0.28000000000000003</v>
          </cell>
          <cell r="E50">
            <v>0.25</v>
          </cell>
          <cell r="F50">
            <v>0.25</v>
          </cell>
          <cell r="G50">
            <v>0.25</v>
          </cell>
          <cell r="H50">
            <v>0.2</v>
          </cell>
        </row>
        <row r="51">
          <cell r="A51" t="str">
            <v>七级</v>
          </cell>
          <cell r="B51">
            <v>0.7</v>
          </cell>
          <cell r="C51">
            <v>0.4</v>
          </cell>
          <cell r="D51">
            <v>0.28000000000000003</v>
          </cell>
          <cell r="E51">
            <v>0.25</v>
          </cell>
          <cell r="F51">
            <v>0.25</v>
          </cell>
          <cell r="G51">
            <v>0.25</v>
          </cell>
          <cell r="H51">
            <v>0.2</v>
          </cell>
        </row>
        <row r="52">
          <cell r="A52" t="str">
            <v>八级</v>
          </cell>
          <cell r="B52">
            <v>0.6</v>
          </cell>
          <cell r="C52">
            <v>0.3</v>
          </cell>
          <cell r="D52">
            <v>0.2</v>
          </cell>
          <cell r="E52">
            <v>0.2</v>
          </cell>
          <cell r="F52">
            <v>0.2</v>
          </cell>
          <cell r="G52">
            <v>0.2</v>
          </cell>
          <cell r="H52">
            <v>0.15</v>
          </cell>
        </row>
        <row r="53">
          <cell r="A53" t="str">
            <v>九级</v>
          </cell>
          <cell r="B53">
            <v>0.6</v>
          </cell>
          <cell r="C53">
            <v>0.3</v>
          </cell>
          <cell r="D53">
            <v>0.2</v>
          </cell>
          <cell r="E53">
            <v>0.2</v>
          </cell>
          <cell r="F53">
            <v>0.2</v>
          </cell>
          <cell r="G53">
            <v>0.2</v>
          </cell>
          <cell r="H53">
            <v>0.15</v>
          </cell>
        </row>
        <row r="54">
          <cell r="A54" t="str">
            <v>十级</v>
          </cell>
          <cell r="B54">
            <v>0.6</v>
          </cell>
          <cell r="C54">
            <v>0.3</v>
          </cell>
          <cell r="D54">
            <v>0.2</v>
          </cell>
          <cell r="E54">
            <v>0.2</v>
          </cell>
          <cell r="F54">
            <v>0.2</v>
          </cell>
          <cell r="G54">
            <v>0.2</v>
          </cell>
          <cell r="H54">
            <v>0.15</v>
          </cell>
        </row>
        <row r="55">
          <cell r="A55" t="str">
            <v>十一级</v>
          </cell>
          <cell r="B55">
            <v>0.6</v>
          </cell>
          <cell r="C55">
            <v>0.3</v>
          </cell>
          <cell r="D55">
            <v>0.2</v>
          </cell>
          <cell r="E55">
            <v>0.2</v>
          </cell>
          <cell r="F55">
            <v>0.2</v>
          </cell>
          <cell r="G55">
            <v>0.2</v>
          </cell>
          <cell r="H55">
            <v>0.15</v>
          </cell>
        </row>
        <row r="56">
          <cell r="A56" t="str">
            <v>十二级</v>
          </cell>
          <cell r="B56">
            <v>0.6</v>
          </cell>
          <cell r="C56">
            <v>0.3</v>
          </cell>
          <cell r="D56">
            <v>0.2</v>
          </cell>
          <cell r="E56">
            <v>0.2</v>
          </cell>
          <cell r="F56">
            <v>0.2</v>
          </cell>
          <cell r="G56">
            <v>0.2</v>
          </cell>
          <cell r="H56">
            <v>0.15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房地产市场价值预评估</v>
      </c>
    </row>
    <row r="3" spans="1:2" s="1365" customFormat="1">
      <c r="A3" s="1363" t="s">
        <v>1188</v>
      </c>
      <c r="B3" s="1364">
        <f>'预评函-封皮'!B40</f>
        <v>0</v>
      </c>
    </row>
    <row r="4" spans="1:2" s="1365" customFormat="1">
      <c r="A4" s="1363" t="s">
        <v>1189</v>
      </c>
      <c r="B4" s="1364" t="str">
        <f ca="1">'预评函-封皮'!B46</f>
        <v>陈颖（注册号：1120060040)、叶凌（注册号：1119970111)</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受贵公司委托，我公司对房地产市场价值进行了预评估。</v>
      </c>
    </row>
    <row r="7" spans="1:2" s="1365" customFormat="1">
      <c r="A7" s="1363" t="s">
        <v>1231</v>
      </c>
      <c r="B7" s="1364" t="str">
        <f>'预评函-1'!A7</f>
        <v>估价对象为房地产，为所有。根据《国有土地使用证》[]，估价对象（分摊）出让国有建设用地使用权面积为1442.46平方米，建筑面积为198.07平方米。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估价对象为房地产,属开发建设的，该项目尚在开发建设中。根据《国有土地使用证》[]，估价对象（分摊）出让国有建设用地使用权面积为1442.46平方米，规划建筑面积为198.07平方米。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为估价委托人了解估价对象房地产市场价值提供参考依据。</v>
      </c>
    </row>
    <row r="12" spans="1:2" s="1365" customFormat="1">
      <c r="A12" s="1363" t="s">
        <v>1193</v>
      </c>
      <c r="B12" s="1364" t="str">
        <f>'预评函-1'!A15</f>
        <v>2021年6月10日（评估专业人员实地查勘之日）</v>
      </c>
    </row>
    <row r="13" spans="1:2" s="1365" customFormat="1">
      <c r="A13" s="1363" t="s">
        <v>1194</v>
      </c>
      <c r="B13" s="1364" t="str">
        <f>'预评函-1'!A18</f>
        <v>本次估价的“房地产价值”是指在正常市场情况下，在价值时点2021年6月10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v>
      </c>
    </row>
    <row r="16" spans="1:2" s="1365" customFormat="1">
      <c r="A16" s="1363" t="s">
        <v>1197</v>
      </c>
      <c r="B16" s="1364" t="str">
        <f>'预评函-1'!A21</f>
        <v>——</v>
      </c>
    </row>
    <row r="17" spans="1:2" s="1365" customFormat="1">
      <c r="A17" s="1363" t="s">
        <v>1198</v>
      </c>
      <c r="B17" s="1364" t="str">
        <f>'预评函-1'!A22</f>
        <v>——</v>
      </c>
    </row>
    <row r="18" spans="1:2" s="1359" customFormat="1" ht="15" thickBot="1">
      <c r="A18" s="1366" t="s">
        <v>1199</v>
      </c>
      <c r="B18" s="1367" t="str">
        <f>'预评函-1'!A24</f>
        <v>本次评估采用的主估价方法为成本法和收益法。</v>
      </c>
    </row>
    <row r="19" spans="1:2" s="1362" customFormat="1" ht="15" thickTop="1">
      <c r="A19" s="1360" t="s">
        <v>1200</v>
      </c>
      <c r="B19" s="1361"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65" customFormat="1">
      <c r="A20" s="1363" t="s">
        <v>1201</v>
      </c>
      <c r="B20" s="1364">
        <f ca="1">'预评函-2'!D5</f>
        <v>329</v>
      </c>
    </row>
    <row r="21" spans="1:2" s="1365" customFormat="1">
      <c r="A21" s="1363" t="s">
        <v>1202</v>
      </c>
      <c r="B21" s="1364">
        <f ca="1">'预评函-2'!D7</f>
        <v>16621</v>
      </c>
    </row>
    <row r="22" spans="1:2" s="1365" customFormat="1">
      <c r="A22" s="1363" t="s">
        <v>1203</v>
      </c>
      <c r="B22" s="1364" t="str">
        <f ca="1">'预评函-2'!D6</f>
        <v>叁佰贰拾玖万元整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v>
      </c>
    </row>
    <row r="30" spans="1:2" s="1365" customFormat="1">
      <c r="A30" s="1363" t="s">
        <v>1259</v>
      </c>
      <c r="B30" s="1364" t="str">
        <f>'预评函-2'!D13</f>
        <v>——</v>
      </c>
    </row>
    <row r="31" spans="1:2" s="1365" customFormat="1">
      <c r="A31" s="1363" t="s">
        <v>1241</v>
      </c>
      <c r="B31" s="1364" t="e">
        <f>'预评函-2'!D15</f>
        <v>#VALUE!</v>
      </c>
    </row>
    <row r="32" spans="1:2" s="1365" customFormat="1">
      <c r="A32" s="1363" t="s">
        <v>1208</v>
      </c>
      <c r="B32" s="1364" t="e">
        <f>'预评函-2'!D14</f>
        <v>#VALUE!</v>
      </c>
    </row>
    <row r="33" spans="1:2" s="1365" customFormat="1">
      <c r="A33" s="1363" t="s">
        <v>1243</v>
      </c>
      <c r="B33" s="1364" t="str">
        <f>'预评函-2'!B16</f>
        <v>3.抵押担保权已注销时的房地产抵押价值</v>
      </c>
    </row>
    <row r="34" spans="1:2" s="1365" customFormat="1">
      <c r="A34" s="1363" t="s">
        <v>1261</v>
      </c>
      <c r="B34" s="1364">
        <f ca="1">'预评函-2'!D16</f>
        <v>329</v>
      </c>
    </row>
    <row r="35" spans="1:2" s="1365" customFormat="1">
      <c r="A35" s="1363" t="s">
        <v>1242</v>
      </c>
      <c r="B35" s="1364">
        <f ca="1">'预评函-2'!D18</f>
        <v>16610</v>
      </c>
    </row>
    <row r="36" spans="1:2" s="1365" customFormat="1">
      <c r="A36" s="1363" t="s">
        <v>1209</v>
      </c>
      <c r="B36" s="1364" t="str">
        <f ca="1">'预评函-2'!D17</f>
        <v>叁佰贰拾玖万元整</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房地产</v>
      </c>
    </row>
    <row r="42" spans="1:2" s="1365" customFormat="1">
      <c r="A42" s="1363" t="s">
        <v>1255</v>
      </c>
      <c r="B42" s="1364" t="str">
        <f>'预评函-3'!B2</f>
        <v>建筑面积</v>
      </c>
    </row>
    <row r="43" spans="1:2" s="1365" customFormat="1">
      <c r="A43" s="1363" t="s">
        <v>1256</v>
      </c>
      <c r="B43" s="1364">
        <f>'预评函-3'!B4</f>
        <v>198.07</v>
      </c>
    </row>
    <row r="44" spans="1:2" s="1365" customFormat="1">
      <c r="A44" s="1363" t="s">
        <v>1240</v>
      </c>
      <c r="B44" s="1364" t="str">
        <f>'预评函-3'!C2</f>
        <v>(分摊)土地面积</v>
      </c>
    </row>
    <row r="45" spans="1:2" s="1365" customFormat="1">
      <c r="A45" s="1363" t="s">
        <v>1212</v>
      </c>
      <c r="B45" s="1364">
        <f>'预评函-3'!C4</f>
        <v>1442.46</v>
      </c>
    </row>
    <row r="46" spans="1:2" s="1365" customFormat="1">
      <c r="A46" s="1363" t="s">
        <v>1238</v>
      </c>
      <c r="B46" s="1364" t="str">
        <f>'预评函-3'!D2</f>
        <v>出让国有建设用地使用权价值</v>
      </c>
    </row>
    <row r="47" spans="1:2" s="1365" customFormat="1">
      <c r="A47" s="1363" t="s">
        <v>1213</v>
      </c>
      <c r="B47" s="1364">
        <f ca="1">'预评函-3'!D4</f>
        <v>246</v>
      </c>
    </row>
    <row r="48" spans="1:2" s="1365" customFormat="1">
      <c r="A48" s="1363" t="s">
        <v>1214</v>
      </c>
      <c r="B48" s="1364">
        <f ca="1">'预评函-3'!E4</f>
        <v>12416</v>
      </c>
    </row>
    <row r="49" spans="1:2" s="1365" customFormat="1">
      <c r="A49" s="1363" t="s">
        <v>1215</v>
      </c>
      <c r="B49" s="1364" t="str">
        <f ca="1">'预评函-3'!D5</f>
        <v>贰佰肆拾陆万元整</v>
      </c>
    </row>
    <row r="50" spans="1:2" s="1365" customFormat="1">
      <c r="A50" s="1363" t="s">
        <v>1239</v>
      </c>
      <c r="B50" s="1364" t="str">
        <f>'预评函-3'!F2</f>
        <v>在建建筑物价值</v>
      </c>
    </row>
    <row r="51" spans="1:2" s="1365" customFormat="1">
      <c r="A51" s="1363" t="s">
        <v>1216</v>
      </c>
      <c r="B51" s="1364">
        <f ca="1">'预评函-3'!F4</f>
        <v>83</v>
      </c>
    </row>
    <row r="52" spans="1:2" s="1365" customFormat="1">
      <c r="A52" s="1363" t="s">
        <v>1217</v>
      </c>
      <c r="B52" s="1364">
        <f ca="1">'预评函-3'!G4</f>
        <v>4205</v>
      </c>
    </row>
    <row r="53" spans="1:2" s="1365" customFormat="1">
      <c r="A53" s="1363" t="s">
        <v>1245</v>
      </c>
      <c r="B53" s="1364" t="str">
        <f ca="1">'预评函-3'!F5</f>
        <v>捌拾叁万元整</v>
      </c>
    </row>
    <row r="54" spans="1:2" s="1365" customFormat="1">
      <c r="A54" s="1363" t="s">
        <v>1263</v>
      </c>
      <c r="B54" s="1364" t="str">
        <f>'预评函-3'!A8</f>
        <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
      </c>
    </row>
    <row r="58" spans="1:2" s="1362" customFormat="1" ht="15" thickTop="1">
      <c r="A58" s="1360" t="s">
        <v>1218</v>
      </c>
      <c r="B58" s="1361" t="str">
        <f>'预评函-4'!A12</f>
        <v>2.本次评估设定估价对象房地产权属无争议，未被查封或者以其他形式限制其房地产权利，未设定抵押权等他项权利，不涉及第三方权利义务。</v>
      </c>
    </row>
    <row r="59" spans="1:2" s="1365" customFormat="1">
      <c r="A59" s="1363" t="s">
        <v>1219</v>
      </c>
      <c r="B59" s="1364" t="str">
        <f>'预评函-4'!A13</f>
        <v>——</v>
      </c>
    </row>
    <row r="60" spans="1:2" s="1365" customFormat="1">
      <c r="A60" s="1363" t="s">
        <v>1220</v>
      </c>
      <c r="B60" s="1364" t="str">
        <f>'预评函-4'!A14</f>
        <v>——</v>
      </c>
    </row>
    <row r="61" spans="1:2" s="1365" customFormat="1">
      <c r="A61" s="1363" t="s">
        <v>1221</v>
      </c>
      <c r="B61" s="1364" t="str">
        <f>'预评函-4'!A15</f>
        <v>——</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v>
      </c>
    </row>
    <row r="65" spans="1:2" s="1365" customFormat="1">
      <c r="A65" s="1363" t="s">
        <v>1224</v>
      </c>
      <c r="B65" s="1364"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t="str">
        <f>'预评函-4'!A4</f>
        <v>陈颖</v>
      </c>
    </row>
    <row r="71" spans="1:2">
      <c r="A71" s="1363" t="s">
        <v>1228</v>
      </c>
      <c r="B71" s="1364">
        <f ca="1">'预评函-4'!B4</f>
        <v>1120060040</v>
      </c>
    </row>
    <row r="72" spans="1:2">
      <c r="A72" s="1363" t="s">
        <v>1229</v>
      </c>
      <c r="B72" s="1372" t="str">
        <f>'预评函-4'!A5</f>
        <v>叶凌</v>
      </c>
    </row>
    <row r="73" spans="1:2" s="1359" customFormat="1" ht="15" thickBot="1">
      <c r="A73" s="1366" t="s">
        <v>1230</v>
      </c>
      <c r="B73" s="1367">
        <f ca="1">'预评函-4'!B5</f>
        <v>1119970111</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G17" sqref="G17"/>
    </sheetView>
  </sheetViews>
  <sheetFormatPr defaultColWidth="9" defaultRowHeight="13.5"/>
  <cols>
    <col min="1" max="1" width="13.5" style="1741" customWidth="1"/>
    <col min="2" max="2" width="23.125" style="1692" customWidth="1"/>
    <col min="3" max="3" width="13" style="1736" customWidth="1"/>
    <col min="4" max="4" width="5.62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3040</v>
      </c>
      <c r="C17" s="1732"/>
    </row>
    <row r="18" spans="1:3">
      <c r="A18" s="1731" t="s">
        <v>1732</v>
      </c>
      <c r="B18" s="1731" t="s">
        <v>757</v>
      </c>
      <c r="C18" s="1732"/>
    </row>
    <row r="19" spans="1:3">
      <c r="A19" s="1731" t="s">
        <v>1733</v>
      </c>
      <c r="B19" s="1731" t="s">
        <v>757</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706"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6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706"/>
      <c r="B54" s="1739" t="s">
        <v>832</v>
      </c>
      <c r="C54" s="1736" t="s">
        <v>1248</v>
      </c>
    </row>
    <row r="55" spans="1:4">
      <c r="A55" s="3706"/>
      <c r="B55" s="1739" t="s">
        <v>833</v>
      </c>
      <c r="C55" s="1736" t="s">
        <v>1249</v>
      </c>
    </row>
    <row r="56" spans="1:4">
      <c r="A56" s="3706"/>
      <c r="B56" s="1739" t="s">
        <v>834</v>
      </c>
      <c r="C56" s="1736" t="s">
        <v>1253</v>
      </c>
    </row>
    <row r="57" spans="1:4">
      <c r="A57" s="3706"/>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topLeftCell="A4" zoomScaleNormal="100" zoomScaleSheetLayoutView="100" workbookViewId="0">
      <selection activeCell="F14" sqref="F14"/>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625" style="1931" customWidth="1"/>
    <col min="8" max="8" width="10" style="1931" customWidth="1"/>
    <col min="9" max="9" width="11.125" style="1764" customWidth="1"/>
    <col min="10" max="10" width="10" style="1929" customWidth="1"/>
    <col min="11" max="11" width="10" style="2855" customWidth="1"/>
    <col min="12" max="13" width="10" style="2856"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2915</v>
      </c>
      <c r="B1" s="3715" t="str">
        <f>IF(B10="北京市","北京市",C10)&amp;F10&amp;IF(结果表!G1="在建","出让国有建设用地使用权及在建建筑物",IF(结果表!G1="土地","出让国有建设用地使用权",))&amp;B9&amp;"预评估"</f>
        <v>房地产市场价值预评估</v>
      </c>
      <c r="C1" s="3716"/>
      <c r="D1" s="3716"/>
      <c r="E1" s="3716"/>
      <c r="F1" s="3716"/>
      <c r="G1" s="3716"/>
      <c r="H1" s="3716"/>
      <c r="I1" s="3717"/>
      <c r="J1" s="2697"/>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房地产市场价值</v>
      </c>
      <c r="T1" s="1931"/>
      <c r="U1" s="1931"/>
      <c r="V1" s="1931"/>
      <c r="W1" s="1931"/>
      <c r="X1" s="1931"/>
      <c r="Y1" s="1931"/>
      <c r="Z1" s="1931"/>
      <c r="AA1" s="1931"/>
      <c r="AB1" s="1931"/>
    </row>
    <row r="2" spans="1:28">
      <c r="A2" s="2591" t="s">
        <v>2916</v>
      </c>
      <c r="B2" s="2595"/>
      <c r="C2" s="2596"/>
      <c r="D2" s="2899"/>
      <c r="E2" s="2889"/>
      <c r="F2" s="2889"/>
      <c r="G2" s="2890"/>
      <c r="H2" s="2890"/>
      <c r="I2" s="2890"/>
      <c r="J2" s="2697"/>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房地产</v>
      </c>
      <c r="T2" s="1931"/>
      <c r="U2" s="1931"/>
      <c r="V2" s="1931"/>
      <c r="W2" s="1931"/>
      <c r="X2" s="1931"/>
      <c r="Y2" s="1931"/>
      <c r="Z2" s="1931"/>
      <c r="AA2" s="1931"/>
      <c r="AB2" s="1931"/>
    </row>
    <row r="3" spans="1:28">
      <c r="A3" s="308" t="s">
        <v>2917</v>
      </c>
      <c r="B3" s="2597">
        <f>D3</f>
        <v>44357</v>
      </c>
      <c r="C3" s="2598" t="s">
        <v>2918</v>
      </c>
      <c r="D3" s="2597">
        <v>44357</v>
      </c>
      <c r="E3" s="2890"/>
      <c r="F3" s="2890"/>
      <c r="G3" s="2890"/>
      <c r="H3" s="2890"/>
      <c r="I3" s="2890"/>
      <c r="J3" s="2697"/>
      <c r="K3" s="2592"/>
      <c r="L3" s="2593"/>
      <c r="M3" s="2593"/>
      <c r="N3" s="2594"/>
      <c r="O3" s="1761"/>
      <c r="P3" s="2594"/>
      <c r="Q3" s="2594"/>
      <c r="R3" s="2594"/>
      <c r="S3" s="1868"/>
      <c r="T3" s="1931"/>
      <c r="U3" s="1931"/>
      <c r="V3" s="1931"/>
      <c r="W3" s="1931"/>
      <c r="X3" s="1931"/>
      <c r="Y3" s="1931"/>
      <c r="Z3" s="1931"/>
      <c r="AA3" s="1931"/>
      <c r="AB3" s="1931"/>
    </row>
    <row r="4" spans="1:28" ht="13.5" thickBot="1">
      <c r="A4" s="1250" t="s">
        <v>2919</v>
      </c>
      <c r="B4" s="2599" t="s">
        <v>3065</v>
      </c>
      <c r="C4" s="2600">
        <f ca="1">SUMIF(注册房地产估价师,B4,估价师及机构信息!B3:B24)</f>
        <v>1120060040</v>
      </c>
      <c r="D4" s="2599" t="s">
        <v>3066</v>
      </c>
      <c r="E4" s="2601">
        <f ca="1">SUMIF(注册房地产估价师,D4,估价师及机构信息!B3:B24)</f>
        <v>1119970111</v>
      </c>
      <c r="F4" s="2599"/>
      <c r="G4" s="2601">
        <f>SUMIF(注册房地产估价师,F4,估价师及机构信息!B3:B24)</f>
        <v>0</v>
      </c>
      <c r="H4" s="2599"/>
      <c r="I4" s="2601">
        <f>SUMIF(注册房地产估价师,H4,估价师及机构信息!B3:B24)</f>
        <v>0</v>
      </c>
      <c r="J4" s="2665"/>
      <c r="K4" s="2602" t="str">
        <f ca="1">CONCATENATE(B4,"（注册号：",C4,")、",D4,"（注册号：",E4,")")</f>
        <v>陈颖（注册号：1120060040)、叶凌（注册号：1119970111)</v>
      </c>
      <c r="L4" s="2593"/>
      <c r="M4" s="2593"/>
      <c r="N4" s="2594"/>
      <c r="O4" s="1761"/>
      <c r="P4" s="2594"/>
      <c r="Q4" s="2594"/>
      <c r="R4" s="2594"/>
      <c r="S4" s="1868"/>
      <c r="T4" s="1931"/>
      <c r="U4" s="1931"/>
      <c r="V4" s="1931"/>
      <c r="W4" s="1931"/>
      <c r="X4" s="1931"/>
      <c r="Y4" s="1931"/>
      <c r="Z4" s="1931"/>
      <c r="AA4" s="1931"/>
      <c r="AB4" s="1931"/>
    </row>
    <row r="5" spans="1:28" ht="13.5" thickTop="1">
      <c r="A5" s="2603" t="s">
        <v>2920</v>
      </c>
      <c r="B5" s="2604"/>
      <c r="C5" s="2605"/>
      <c r="D5" s="2606"/>
      <c r="E5" s="2891"/>
      <c r="F5" s="2891"/>
      <c r="G5" s="2891"/>
      <c r="H5" s="2891"/>
      <c r="I5" s="2891"/>
      <c r="J5" s="2665"/>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7" t="s">
        <v>2921</v>
      </c>
      <c r="B6" s="2608"/>
      <c r="C6" s="2609"/>
      <c r="D6" s="2610"/>
      <c r="E6" s="2889"/>
      <c r="F6" s="2891"/>
      <c r="G6" s="2891"/>
      <c r="H6" s="2891"/>
      <c r="I6" s="2891"/>
      <c r="J6" s="2665"/>
      <c r="K6" s="2841" t="str">
        <f>IF(COUNTIF(B6,"*上海银行*"),"上海银行","")</f>
        <v/>
      </c>
      <c r="L6" s="2839"/>
      <c r="M6" s="2839"/>
      <c r="N6" s="2665"/>
      <c r="O6" s="2676"/>
      <c r="P6" s="2665"/>
      <c r="Q6" s="2665"/>
      <c r="R6" s="2665"/>
    </row>
    <row r="7" spans="1:28">
      <c r="A7" s="2607" t="s">
        <v>2922</v>
      </c>
      <c r="B7" s="2611"/>
      <c r="C7" s="2609"/>
      <c r="D7" s="2610"/>
      <c r="E7" s="2889"/>
      <c r="F7" s="2891"/>
      <c r="G7" s="2891"/>
      <c r="H7" s="2891"/>
      <c r="I7" s="2891"/>
      <c r="J7" s="2665"/>
      <c r="K7" s="2842"/>
      <c r="L7" s="2839"/>
      <c r="M7" s="2839"/>
      <c r="N7" s="2665"/>
      <c r="O7" s="2676"/>
      <c r="P7" s="2665"/>
      <c r="Q7" s="2665"/>
      <c r="R7" s="2665"/>
    </row>
    <row r="8" spans="1:28">
      <c r="A8" s="2612" t="s">
        <v>2923</v>
      </c>
      <c r="B8" s="2613" t="s">
        <v>3067</v>
      </c>
      <c r="C8" s="2614"/>
      <c r="D8" s="3718" t="s">
        <v>2924</v>
      </c>
      <c r="E8" s="2615" t="s">
        <v>3070</v>
      </c>
      <c r="F8" s="2616"/>
      <c r="G8" s="2890"/>
      <c r="H8" s="2890"/>
      <c r="I8" s="2890"/>
      <c r="J8" s="2665"/>
      <c r="K8" s="2840"/>
      <c r="L8" s="2839"/>
      <c r="M8" s="2839"/>
      <c r="N8" s="2665"/>
      <c r="O8" s="2676"/>
      <c r="P8" s="2665"/>
      <c r="Q8" s="2665"/>
      <c r="R8" s="2665"/>
    </row>
    <row r="9" spans="1:28" ht="13.5" thickBot="1">
      <c r="A9" s="2617" t="s">
        <v>2925</v>
      </c>
      <c r="B9" s="2618" t="s">
        <v>3069</v>
      </c>
      <c r="C9" s="2619"/>
      <c r="D9" s="3719"/>
      <c r="E9" s="2618"/>
      <c r="F9" s="2620"/>
      <c r="G9" s="2892"/>
      <c r="H9" s="2892"/>
      <c r="I9" s="2892"/>
      <c r="J9" s="2665"/>
      <c r="K9" s="2842"/>
      <c r="L9" s="2839"/>
      <c r="M9" s="2839"/>
      <c r="N9" s="2665"/>
      <c r="O9" s="2676"/>
      <c r="P9" s="2665"/>
      <c r="Q9" s="2665"/>
      <c r="R9" s="2665"/>
    </row>
    <row r="10" spans="1:28" ht="13.5" thickTop="1">
      <c r="A10" s="2621" t="s">
        <v>2926</v>
      </c>
      <c r="B10" s="2622" t="s">
        <v>3071</v>
      </c>
      <c r="C10" s="2623"/>
      <c r="D10" s="2606"/>
      <c r="E10" s="2624" t="s">
        <v>2927</v>
      </c>
      <c r="F10" s="2893"/>
      <c r="G10" s="2894"/>
      <c r="H10" s="2895"/>
      <c r="I10" s="2896"/>
      <c r="J10" s="2665"/>
      <c r="K10" s="2842"/>
      <c r="L10" s="2839"/>
      <c r="M10" s="2839"/>
      <c r="N10" s="2665"/>
      <c r="O10" s="2676"/>
      <c r="P10" s="2665"/>
      <c r="Q10" s="2665"/>
      <c r="R10" s="2665"/>
    </row>
    <row r="11" spans="1:28">
      <c r="A11" s="2625" t="s">
        <v>2928</v>
      </c>
      <c r="B11" s="2626" t="s">
        <v>3072</v>
      </c>
      <c r="C11" s="2627"/>
      <c r="D11" s="2628"/>
      <c r="E11" s="2594"/>
      <c r="F11" s="2594"/>
      <c r="G11" s="2594"/>
      <c r="H11" s="2594"/>
      <c r="I11" s="2594"/>
      <c r="J11" s="2665"/>
      <c r="K11" s="2842"/>
      <c r="L11" s="2839"/>
      <c r="M11" s="2839"/>
      <c r="N11" s="2665"/>
      <c r="O11" s="2676"/>
      <c r="P11" s="2665"/>
      <c r="Q11" s="2665"/>
      <c r="R11" s="2665"/>
    </row>
    <row r="12" spans="1:28">
      <c r="A12" s="2629" t="s">
        <v>2929</v>
      </c>
      <c r="B12" s="2626" t="s">
        <v>3068</v>
      </c>
      <c r="C12" s="329" t="s">
        <v>2930</v>
      </c>
      <c r="D12" s="2630" t="s">
        <v>2931</v>
      </c>
      <c r="E12" s="2630" t="s">
        <v>2932</v>
      </c>
      <c r="F12" s="2630" t="s">
        <v>2933</v>
      </c>
      <c r="G12" s="2630" t="s">
        <v>2934</v>
      </c>
      <c r="H12" s="2630" t="s">
        <v>2935</v>
      </c>
      <c r="I12" s="2630" t="s">
        <v>2936</v>
      </c>
      <c r="J12" s="2665"/>
      <c r="K12" s="2842"/>
      <c r="L12" s="2839"/>
      <c r="M12" s="2839"/>
      <c r="N12" s="2665"/>
      <c r="O12" s="2676"/>
      <c r="P12" s="2665"/>
      <c r="Q12" s="2665"/>
      <c r="R12" s="2665"/>
    </row>
    <row r="13" spans="1:28">
      <c r="A13" s="1241"/>
      <c r="B13" s="2631"/>
      <c r="C13" s="2632" t="s">
        <v>2937</v>
      </c>
      <c r="D13" s="965"/>
      <c r="E13" s="965">
        <v>58986</v>
      </c>
      <c r="F13" s="965">
        <v>45869</v>
      </c>
      <c r="G13" s="965"/>
      <c r="H13" s="965"/>
      <c r="I13" s="965"/>
      <c r="J13" s="2665"/>
      <c r="K13" s="2842"/>
      <c r="L13" s="2839"/>
      <c r="M13" s="2839"/>
      <c r="N13" s="2665"/>
      <c r="O13" s="2676"/>
      <c r="P13" s="2665"/>
      <c r="Q13" s="2665"/>
      <c r="R13" s="2665"/>
    </row>
    <row r="14" spans="1:28">
      <c r="A14" s="1241"/>
      <c r="B14" s="2631"/>
      <c r="C14" s="2632" t="s">
        <v>2938</v>
      </c>
      <c r="D14" s="2633"/>
      <c r="E14" s="2633">
        <v>40</v>
      </c>
      <c r="F14" s="2633"/>
      <c r="G14" s="2633"/>
      <c r="H14" s="2633"/>
      <c r="I14" s="2633"/>
      <c r="J14" s="2665"/>
      <c r="K14" s="2843"/>
      <c r="L14" s="2839"/>
      <c r="M14" s="2839"/>
      <c r="N14" s="2665"/>
      <c r="O14" s="2676"/>
      <c r="P14" s="2665"/>
      <c r="Q14" s="2665"/>
      <c r="R14" s="2665"/>
    </row>
    <row r="15" spans="1:28">
      <c r="A15" s="326"/>
      <c r="B15" s="2634"/>
      <c r="C15" s="2635" t="s">
        <v>2939</v>
      </c>
      <c r="D15" s="2636" t="str">
        <f>IF(B12="出让",IF(D13="","",ROUNDDOWN(MIN((D13-$D$3)/365,D14),2)),D14)</f>
        <v/>
      </c>
      <c r="E15" s="2636">
        <f>IF(B12="出让",IF(E13="","",ROUNDDOWN(MIN((E13-$D$3)/365,E14),2)),E14)</f>
        <v>40</v>
      </c>
      <c r="F15" s="2636">
        <f>IF(B12="出让",IF(F13="","",ROUNDDOWN(MIN((F13-$D$3)/365,F14),2)),F14)</f>
        <v>4.1399999999999997</v>
      </c>
      <c r="G15" s="2636" t="str">
        <f>IF(B12="出让",IF(G13="","",ROUNDDOWN(MIN((G13-$D$3)/365,G14),2)),G14)</f>
        <v/>
      </c>
      <c r="H15" s="2636" t="str">
        <f>IF(B12="出让",IF(H13="","",ROUNDDOWN(MIN((H13-$D$3)/365,H14),2)),H14)</f>
        <v/>
      </c>
      <c r="I15" s="2636" t="str">
        <f>IF(B12="出让",IF(I13="","",ROUNDDOWN(MIN((I13-$D$3)/365,I14),2)),I14)</f>
        <v/>
      </c>
      <c r="J15" s="2665"/>
      <c r="K15" s="2844"/>
      <c r="L15" s="2677"/>
      <c r="M15" s="2677"/>
      <c r="N15" s="2735"/>
      <c r="O15" s="2677"/>
      <c r="P15" s="2735"/>
      <c r="Q15" s="2665"/>
      <c r="R15" s="2665"/>
    </row>
    <row r="16" spans="1:28">
      <c r="A16" s="2624" t="s">
        <v>2940</v>
      </c>
      <c r="B16" s="3725"/>
      <c r="C16" s="3726"/>
      <c r="D16" s="3727"/>
      <c r="E16" s="2639" t="s">
        <v>2941</v>
      </c>
      <c r="F16" s="3728"/>
      <c r="G16" s="3729"/>
      <c r="H16" s="3729"/>
      <c r="I16" s="3730"/>
      <c r="J16" s="2665"/>
      <c r="K16" s="2844"/>
      <c r="L16" s="2677"/>
      <c r="M16" s="2677"/>
      <c r="N16" s="2735"/>
      <c r="O16" s="2677"/>
      <c r="P16" s="2735"/>
      <c r="Q16" s="2665"/>
      <c r="R16" s="2665"/>
    </row>
    <row r="17" spans="1:28">
      <c r="A17" s="319" t="s">
        <v>2942</v>
      </c>
      <c r="B17" s="308" t="s">
        <v>2943</v>
      </c>
      <c r="C17" s="11">
        <f>'数据-汇总表'!E3</f>
        <v>198.07</v>
      </c>
      <c r="D17" s="2545" t="s">
        <v>2944</v>
      </c>
      <c r="E17" s="3731" t="s">
        <v>2945</v>
      </c>
      <c r="F17" s="3732"/>
      <c r="G17" s="3732"/>
      <c r="H17" s="3732"/>
      <c r="I17" s="3733"/>
      <c r="J17" s="2665"/>
      <c r="K17" s="2845"/>
      <c r="L17" s="2677"/>
      <c r="M17" s="2677"/>
      <c r="N17" s="2735"/>
      <c r="O17" s="2677"/>
      <c r="P17" s="2735"/>
      <c r="Q17" s="2665"/>
      <c r="R17" s="2665"/>
      <c r="S17" s="2665"/>
      <c r="T17" s="2665"/>
      <c r="U17" s="2665"/>
      <c r="V17" s="2665"/>
    </row>
    <row r="18" spans="1:28" ht="24.75" thickBot="1">
      <c r="A18" s="2640" t="s">
        <v>2946</v>
      </c>
      <c r="B18" s="1250" t="s">
        <v>2947</v>
      </c>
      <c r="C18" s="2641">
        <f>'数据-汇总表'!D3</f>
        <v>1442.46</v>
      </c>
      <c r="D18" s="1252" t="s">
        <v>2948</v>
      </c>
      <c r="E18" s="3734" t="s">
        <v>2949</v>
      </c>
      <c r="F18" s="3735"/>
      <c r="G18" s="3735"/>
      <c r="H18" s="3735"/>
      <c r="I18" s="3736"/>
      <c r="J18" s="2665"/>
      <c r="K18" s="2845"/>
      <c r="L18" s="2677"/>
      <c r="M18" s="2677"/>
      <c r="N18" s="2735"/>
      <c r="O18" s="2677"/>
      <c r="P18" s="2735"/>
      <c r="Q18" s="2665"/>
      <c r="R18" s="2665"/>
      <c r="S18" s="2665"/>
      <c r="T18" s="2665"/>
      <c r="U18" s="2665"/>
      <c r="V18" s="2665"/>
    </row>
    <row r="19" spans="1:28" ht="37.5" thickTop="1" thickBot="1">
      <c r="A19" s="333" t="s">
        <v>1741</v>
      </c>
      <c r="B19" s="313" t="s">
        <v>2950</v>
      </c>
      <c r="C19" s="1748"/>
      <c r="D19" s="1749" t="s">
        <v>2951</v>
      </c>
      <c r="E19" s="1750"/>
      <c r="F19" s="1751" t="str">
        <f>IF(AND(C19="是",E19="否"),"是否提供他项权证或相关说明","")</f>
        <v/>
      </c>
      <c r="G19" s="1752"/>
      <c r="H19" s="2891"/>
      <c r="I19" s="2891"/>
      <c r="J19" s="2665"/>
      <c r="K19" s="2842"/>
      <c r="L19" s="2839"/>
      <c r="M19" s="2839"/>
      <c r="N19" s="2735"/>
      <c r="O19" s="2677"/>
      <c r="P19" s="2735"/>
      <c r="Q19" s="2665"/>
      <c r="R19" s="2665"/>
      <c r="S19" s="2665"/>
      <c r="T19" s="2665"/>
      <c r="U19" s="2665"/>
      <c r="V19" s="2665"/>
    </row>
    <row r="20" spans="1:28">
      <c r="A20" s="2859" t="s">
        <v>2952</v>
      </c>
      <c r="B20" s="3721" t="s">
        <v>2953</v>
      </c>
      <c r="C20" s="3722"/>
      <c r="D20" s="3723" t="s">
        <v>2954</v>
      </c>
      <c r="E20" s="3724"/>
      <c r="F20" s="2874" t="s">
        <v>1742</v>
      </c>
      <c r="G20" s="2891"/>
      <c r="H20" s="2891"/>
      <c r="I20" s="2891"/>
      <c r="J20" s="2665"/>
      <c r="K20" s="3720" t="s">
        <v>2955</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3"/>
      <c r="N20" s="2638"/>
      <c r="O20" s="2637"/>
      <c r="P20" s="2638"/>
      <c r="Q20" s="2594"/>
      <c r="R20" s="2594"/>
      <c r="S20" s="2594"/>
      <c r="T20" s="2594"/>
      <c r="U20" s="2594"/>
      <c r="V20" s="2594"/>
      <c r="W20" s="1931"/>
      <c r="X20" s="1931"/>
      <c r="Y20" s="1931"/>
      <c r="Z20" s="1931"/>
      <c r="AA20" s="1931"/>
      <c r="AB20" s="1931"/>
    </row>
    <row r="21" spans="1:28" ht="24.75" thickBot="1">
      <c r="A21" s="2859"/>
      <c r="B21" s="2860" t="s">
        <v>2956</v>
      </c>
      <c r="C21" s="2861" t="s">
        <v>1743</v>
      </c>
      <c r="D21" s="1753" t="s">
        <v>2957</v>
      </c>
      <c r="E21" s="2862" t="s">
        <v>1743</v>
      </c>
      <c r="F21" s="2875"/>
      <c r="G21" s="2891"/>
      <c r="H21" s="2891"/>
      <c r="I21" s="2891"/>
      <c r="J21" s="2665"/>
      <c r="K21" s="3720"/>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8"/>
      <c r="O21" s="2637"/>
      <c r="P21" s="2638"/>
      <c r="Q21" s="2594"/>
      <c r="R21" s="2594"/>
      <c r="S21" s="2594"/>
      <c r="T21" s="2594"/>
      <c r="U21" s="2594"/>
      <c r="V21" s="2594"/>
      <c r="W21" s="1931"/>
      <c r="X21" s="1931"/>
      <c r="Y21" s="1931"/>
      <c r="Z21" s="1931"/>
      <c r="AA21" s="1931"/>
      <c r="AB21" s="1931"/>
    </row>
    <row r="22" spans="1:28" ht="24.75" thickBot="1">
      <c r="A22" s="2859"/>
      <c r="B22" s="2863" t="s">
        <v>2958</v>
      </c>
      <c r="C22" s="2861" t="s">
        <v>1744</v>
      </c>
      <c r="D22" s="2890"/>
      <c r="E22" s="2890"/>
      <c r="F22" s="2890"/>
      <c r="G22" s="2891"/>
      <c r="H22" s="2891"/>
      <c r="I22" s="2891"/>
      <c r="J22" s="2665"/>
      <c r="K22" s="3720"/>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8"/>
      <c r="O22" s="2637"/>
      <c r="P22" s="2638"/>
      <c r="Q22" s="2594"/>
      <c r="R22" s="2594"/>
      <c r="S22" s="2594"/>
      <c r="T22" s="2594"/>
      <c r="U22" s="2594"/>
      <c r="V22" s="2594"/>
      <c r="W22" s="1931"/>
      <c r="X22" s="1931"/>
      <c r="Y22" s="1931"/>
      <c r="Z22" s="1931"/>
      <c r="AA22" s="1931"/>
      <c r="AB22" s="1931"/>
    </row>
    <row r="23" spans="1:28">
      <c r="A23" s="2864" t="s">
        <v>2959</v>
      </c>
      <c r="B23" s="2728" t="s">
        <v>2960</v>
      </c>
      <c r="C23" s="2865"/>
      <c r="D23" s="2866" t="s">
        <v>2960</v>
      </c>
      <c r="E23" s="2867"/>
      <c r="F23" s="2890"/>
      <c r="G23" s="2891"/>
      <c r="H23" s="2891"/>
      <c r="I23" s="2891"/>
      <c r="J23" s="2665"/>
      <c r="K23" s="2846"/>
      <c r="L23" s="2701"/>
      <c r="M23" s="2839"/>
      <c r="N23" s="2735"/>
      <c r="O23" s="2677"/>
      <c r="P23" s="2735"/>
      <c r="Q23" s="2665"/>
      <c r="R23" s="2665"/>
      <c r="S23" s="2665"/>
      <c r="T23" s="2665"/>
      <c r="U23" s="2665"/>
      <c r="V23" s="2665"/>
    </row>
    <row r="24" spans="1:28">
      <c r="A24" s="2864"/>
      <c r="B24" s="2728" t="s">
        <v>1745</v>
      </c>
      <c r="C24" s="2868"/>
      <c r="D24" s="2864" t="s">
        <v>1745</v>
      </c>
      <c r="E24" s="2869"/>
      <c r="F24" s="2890"/>
      <c r="G24" s="2891"/>
      <c r="H24" s="2891"/>
      <c r="I24" s="2891"/>
      <c r="J24" s="2665"/>
      <c r="K24" s="2846"/>
      <c r="L24" s="2701"/>
      <c r="M24" s="2839"/>
      <c r="N24" s="2735"/>
      <c r="O24" s="2677"/>
      <c r="P24" s="2735"/>
      <c r="Q24" s="2665"/>
      <c r="R24" s="2665"/>
      <c r="S24" s="2665"/>
      <c r="T24" s="2665"/>
      <c r="U24" s="2665"/>
      <c r="V24" s="2665"/>
    </row>
    <row r="25" spans="1:28">
      <c r="A25" s="2864"/>
      <c r="B25" s="2728" t="s">
        <v>1746</v>
      </c>
      <c r="C25" s="2868"/>
      <c r="D25" s="2864" t="s">
        <v>1746</v>
      </c>
      <c r="E25" s="2869"/>
      <c r="F25" s="2890"/>
      <c r="G25" s="2891"/>
      <c r="H25" s="2891"/>
      <c r="I25" s="2891"/>
      <c r="J25" s="2665"/>
      <c r="K25" s="2842"/>
      <c r="L25" s="2839"/>
      <c r="M25" s="2839"/>
      <c r="N25" s="2735"/>
      <c r="O25" s="2677"/>
      <c r="P25" s="2735"/>
      <c r="Q25" s="2665"/>
      <c r="R25" s="2665"/>
      <c r="S25" s="2665"/>
      <c r="T25" s="2665"/>
      <c r="U25" s="2665"/>
      <c r="V25" s="2665"/>
    </row>
    <row r="26" spans="1:28" ht="13.5" thickBot="1">
      <c r="A26" s="2870"/>
      <c r="B26" s="2871" t="s">
        <v>1747</v>
      </c>
      <c r="C26" s="2872"/>
      <c r="D26" s="2870" t="s">
        <v>1747</v>
      </c>
      <c r="E26" s="2873"/>
      <c r="F26" s="2892"/>
      <c r="G26" s="2892"/>
      <c r="H26" s="2892"/>
      <c r="I26" s="2892"/>
      <c r="J26" s="2665"/>
      <c r="K26" s="2842"/>
      <c r="L26" s="2839"/>
      <c r="M26" s="2839"/>
      <c r="N26" s="2735"/>
      <c r="O26" s="2677"/>
      <c r="P26" s="2735"/>
      <c r="Q26" s="2665"/>
      <c r="R26" s="2665"/>
      <c r="S26" s="2665"/>
      <c r="T26" s="2665"/>
      <c r="U26" s="2665"/>
      <c r="V26" s="2665"/>
    </row>
    <row r="27" spans="1:28" ht="13.5" thickTop="1">
      <c r="A27" s="3708" t="s">
        <v>2961</v>
      </c>
      <c r="B27" s="326" t="s">
        <v>2962</v>
      </c>
      <c r="C27" s="2642"/>
      <c r="D27" s="2643"/>
      <c r="E27" s="2891"/>
      <c r="F27" s="2891"/>
      <c r="G27" s="2891"/>
      <c r="H27" s="2891"/>
      <c r="I27" s="2891"/>
      <c r="J27" s="2665"/>
      <c r="K27" s="2844"/>
      <c r="L27" s="2677"/>
      <c r="M27" s="2677"/>
      <c r="N27" s="2735"/>
      <c r="O27" s="2677"/>
      <c r="P27" s="2735"/>
      <c r="Q27" s="2665"/>
      <c r="R27" s="2665"/>
      <c r="S27" s="2665"/>
      <c r="T27" s="2665"/>
      <c r="U27" s="2665"/>
      <c r="V27" s="2665"/>
    </row>
    <row r="28" spans="1:28">
      <c r="A28" s="3708"/>
      <c r="B28" s="308" t="s">
        <v>2963</v>
      </c>
      <c r="C28" s="2644"/>
      <c r="D28" s="2645"/>
      <c r="E28" s="2891"/>
      <c r="F28" s="2891"/>
      <c r="G28" s="2891"/>
      <c r="H28" s="2891"/>
      <c r="I28" s="2891"/>
      <c r="J28" s="2665"/>
      <c r="K28" s="2842"/>
      <c r="L28" s="2839"/>
      <c r="M28" s="2839"/>
      <c r="N28" s="2665"/>
      <c r="O28" s="2676"/>
      <c r="P28" s="2665"/>
      <c r="Q28" s="2665"/>
      <c r="R28" s="2665"/>
      <c r="S28" s="2665"/>
      <c r="T28" s="2665"/>
      <c r="U28" s="2665"/>
      <c r="V28" s="2665"/>
    </row>
    <row r="29" spans="1:28">
      <c r="A29" s="3708"/>
      <c r="B29" s="308" t="s">
        <v>2964</v>
      </c>
      <c r="C29" s="2646"/>
      <c r="D29" s="2647"/>
      <c r="E29" s="2891"/>
      <c r="F29" s="2891"/>
      <c r="G29" s="2891"/>
      <c r="H29" s="2891"/>
      <c r="I29" s="2891"/>
      <c r="J29" s="2665"/>
      <c r="K29" s="2842"/>
      <c r="L29" s="2839"/>
      <c r="M29" s="2839"/>
      <c r="N29" s="2665"/>
      <c r="O29" s="2676"/>
      <c r="P29" s="2665"/>
      <c r="Q29" s="2665"/>
      <c r="R29" s="2665"/>
      <c r="S29" s="2665"/>
      <c r="T29" s="2665"/>
      <c r="U29" s="2665"/>
      <c r="V29" s="2665"/>
    </row>
    <row r="30" spans="1:28">
      <c r="A30" s="3709"/>
      <c r="B30" s="308" t="s">
        <v>2965</v>
      </c>
      <c r="C30" s="3710"/>
      <c r="D30" s="3711"/>
      <c r="E30" s="2891"/>
      <c r="F30" s="2891"/>
      <c r="G30" s="2891"/>
      <c r="H30" s="2891"/>
      <c r="I30" s="2891"/>
      <c r="J30" s="2665"/>
      <c r="K30" s="2842"/>
      <c r="L30" s="2839"/>
      <c r="M30" s="2839"/>
      <c r="N30" s="2665"/>
      <c r="O30" s="2676"/>
      <c r="P30" s="2665"/>
      <c r="Q30" s="2665"/>
      <c r="R30" s="2665"/>
      <c r="S30" s="2665"/>
      <c r="T30" s="2665"/>
      <c r="U30" s="2665"/>
      <c r="V30" s="2665"/>
    </row>
    <row r="31" spans="1:28">
      <c r="A31" s="3712" t="s">
        <v>2966</v>
      </c>
      <c r="B31" s="2648"/>
      <c r="C31" s="2546" t="str">
        <f>IF(B31="现房","成新及维护状况正常否",IF(B31="在建","工程状态是否正常",IF(B31="土地","是否闲置","-")))</f>
        <v>-</v>
      </c>
      <c r="D31" s="1557"/>
      <c r="E31" s="2649"/>
      <c r="F31" s="2891"/>
      <c r="G31" s="2891"/>
      <c r="H31" s="2891"/>
      <c r="I31" s="2891"/>
      <c r="J31" s="2665"/>
      <c r="K31" s="2841"/>
      <c r="L31" s="2839"/>
      <c r="M31" s="2839"/>
      <c r="N31" s="2665"/>
      <c r="O31" s="2676"/>
      <c r="P31" s="2665"/>
      <c r="Q31" s="2665"/>
      <c r="R31" s="2665"/>
      <c r="S31" s="2665"/>
      <c r="T31" s="2665"/>
      <c r="U31" s="2665"/>
      <c r="V31" s="2665"/>
    </row>
    <row r="32" spans="1:28">
      <c r="A32" s="3713"/>
      <c r="B32" s="2648"/>
      <c r="C32" s="2546" t="str">
        <f>IF(B32="现房","成新及维护状况是否正常",IF(B32="在建","工程状态是否正常",IF(B32="土地","是否闲置","-")))</f>
        <v>-</v>
      </c>
      <c r="D32" s="1557"/>
      <c r="E32" s="2649"/>
      <c r="F32" s="2891"/>
      <c r="G32" s="2891"/>
      <c r="H32" s="2891"/>
      <c r="I32" s="2891"/>
      <c r="J32" s="2665"/>
      <c r="K32" s="2842"/>
      <c r="L32" s="2839"/>
      <c r="M32" s="2839"/>
      <c r="N32" s="2665"/>
      <c r="O32" s="2676"/>
      <c r="P32" s="2665"/>
      <c r="Q32" s="2665"/>
      <c r="R32" s="2665"/>
      <c r="S32" s="2665"/>
      <c r="T32" s="2665"/>
      <c r="U32" s="2665"/>
      <c r="V32" s="2665"/>
    </row>
    <row r="33" spans="1:30">
      <c r="A33" s="3713"/>
      <c r="B33" s="2651"/>
      <c r="C33" s="1775" t="str">
        <f>IF(B33="现房","成新及维护状况是否正常",IF(B33="在建","工程状态是否正常",IF(B33="土地","是否闲置","-")))</f>
        <v>-</v>
      </c>
      <c r="D33" s="1549"/>
      <c r="E33" s="2652"/>
      <c r="F33" s="2891"/>
      <c r="G33" s="2891"/>
      <c r="H33" s="2891"/>
      <c r="I33" s="2891"/>
      <c r="J33" s="2665"/>
      <c r="K33" s="2842"/>
      <c r="L33" s="2839"/>
      <c r="M33" s="2839"/>
      <c r="N33" s="2665"/>
      <c r="O33" s="2676"/>
      <c r="P33" s="2665"/>
      <c r="Q33" s="2665"/>
      <c r="R33" s="2665"/>
      <c r="S33" s="2665"/>
      <c r="T33" s="2665"/>
      <c r="U33" s="2665"/>
      <c r="V33" s="2665"/>
    </row>
    <row r="34" spans="1:30">
      <c r="A34" s="308" t="s">
        <v>2967</v>
      </c>
      <c r="B34" s="2214"/>
      <c r="C34" s="2214"/>
      <c r="D34" s="2214"/>
      <c r="E34" s="2214"/>
      <c r="F34" s="2214"/>
      <c r="G34" s="2214"/>
      <c r="H34" s="2214"/>
      <c r="I34" s="2891"/>
      <c r="J34" s="2665"/>
      <c r="K34" s="2653">
        <f>COUNTIF(B34:H34,"——")</f>
        <v>0</v>
      </c>
      <c r="L34" s="329" t="s">
        <v>2968</v>
      </c>
      <c r="M34" s="329" t="s">
        <v>2969</v>
      </c>
      <c r="N34" s="329" t="s">
        <v>2970</v>
      </c>
      <c r="O34" s="329" t="s">
        <v>2971</v>
      </c>
      <c r="P34" s="329" t="s">
        <v>2972</v>
      </c>
      <c r="Q34" s="329" t="s">
        <v>2973</v>
      </c>
      <c r="R34" s="329" t="s">
        <v>2974</v>
      </c>
      <c r="S34" s="3707" t="s">
        <v>2975</v>
      </c>
      <c r="T34" s="2654" t="str">
        <f>NUMBERSTRING(7-K34,1)&amp;"通"</f>
        <v>七通</v>
      </c>
      <c r="U34" s="2665"/>
      <c r="V34" s="2665"/>
    </row>
    <row r="35" spans="1:30">
      <c r="A35" s="2655"/>
      <c r="B35" s="3714" t="s">
        <v>2976</v>
      </c>
      <c r="C35" s="3714"/>
      <c r="D35" s="3714"/>
      <c r="E35" s="3714"/>
      <c r="F35" s="673">
        <f>C10</f>
        <v>0</v>
      </c>
      <c r="G35" s="2891"/>
      <c r="H35" s="2891"/>
      <c r="I35" s="2891"/>
      <c r="J35" s="266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707"/>
      <c r="T35" s="335" t="str">
        <f>IF(T34="一通",L35,IF(T34="二通",M35,IF(T34="三通",N35,IF(T34="四通",O35,IF(T34="五通",P35,IF(T34="六通",Q35,R35))))))</f>
        <v>、、、、、、</v>
      </c>
      <c r="U35" s="2665"/>
      <c r="V35" s="2665"/>
    </row>
    <row r="36" spans="1:30">
      <c r="A36" s="2656"/>
      <c r="B36" s="673" t="s">
        <v>2932</v>
      </c>
      <c r="C36" s="673" t="s">
        <v>2933</v>
      </c>
      <c r="D36" s="673" t="s">
        <v>2931</v>
      </c>
      <c r="E36" s="673" t="s">
        <v>2936</v>
      </c>
      <c r="F36" s="2897"/>
      <c r="G36" s="2891"/>
      <c r="H36" s="2891"/>
      <c r="I36" s="2891"/>
      <c r="J36" s="2665"/>
      <c r="K36" s="2842"/>
      <c r="L36" s="2839"/>
      <c r="M36" s="2839"/>
      <c r="N36" s="2665"/>
      <c r="O36" s="2676"/>
      <c r="P36" s="2665"/>
      <c r="Q36" s="2665"/>
      <c r="R36" s="2665"/>
      <c r="S36" s="2665"/>
      <c r="T36" s="2665"/>
      <c r="U36" s="2665"/>
      <c r="V36" s="2665"/>
    </row>
    <row r="37" spans="1:30">
      <c r="A37" s="2857" t="s">
        <v>2977</v>
      </c>
      <c r="B37" s="2657"/>
      <c r="C37" s="2657"/>
      <c r="D37" s="2657"/>
      <c r="E37" s="2657"/>
      <c r="F37" s="2897"/>
      <c r="G37" s="2891"/>
      <c r="H37" s="2891"/>
      <c r="I37" s="2891"/>
      <c r="J37" s="2665"/>
      <c r="K37" s="2842"/>
      <c r="L37" s="2839"/>
      <c r="M37" s="2839"/>
      <c r="N37" s="2665"/>
      <c r="O37" s="2676"/>
      <c r="P37" s="2665"/>
      <c r="Q37" s="2665"/>
      <c r="R37" s="2665"/>
      <c r="S37" s="2665"/>
      <c r="T37" s="2665"/>
      <c r="U37" s="2665"/>
      <c r="V37" s="2665"/>
    </row>
    <row r="38" spans="1:30" ht="13.5" thickBot="1">
      <c r="A38" s="2858" t="s">
        <v>2978</v>
      </c>
      <c r="B38" s="2658"/>
      <c r="C38" s="2658"/>
      <c r="D38" s="2658"/>
      <c r="E38" s="2658"/>
      <c r="F38" s="2898"/>
      <c r="G38" s="2892"/>
      <c r="H38" s="2892"/>
      <c r="I38" s="2892"/>
      <c r="J38" s="2665"/>
      <c r="K38" s="2842"/>
      <c r="L38" s="2839"/>
      <c r="M38" s="2839"/>
      <c r="N38" s="2665"/>
      <c r="O38" s="2676"/>
      <c r="P38" s="2665"/>
      <c r="Q38" s="2665"/>
      <c r="R38" s="2665"/>
      <c r="S38" s="2665"/>
      <c r="T38" s="2665"/>
      <c r="U38" s="2665"/>
      <c r="V38" s="2665"/>
    </row>
    <row r="39" spans="1:30" s="2661" customFormat="1" ht="14.25" thickTop="1" thickBot="1">
      <c r="A39" s="2659" t="s">
        <v>2979</v>
      </c>
      <c r="B39" s="2660"/>
      <c r="C39" s="2660"/>
      <c r="D39" s="2660"/>
      <c r="E39" s="2660"/>
      <c r="F39" s="2660"/>
      <c r="G39" s="2660"/>
      <c r="H39" s="2660"/>
      <c r="I39" s="2660"/>
      <c r="J39" s="2849"/>
      <c r="K39" s="2850"/>
      <c r="L39" s="2849"/>
      <c r="M39" s="2849"/>
      <c r="N39" s="2849"/>
      <c r="O39" s="2851"/>
      <c r="P39" s="2849"/>
      <c r="Q39" s="2849"/>
      <c r="R39" s="2849"/>
      <c r="S39" s="2849"/>
      <c r="T39" s="2849"/>
      <c r="U39" s="2849"/>
      <c r="V39" s="2849"/>
      <c r="W39" s="2852"/>
      <c r="X39" s="2852"/>
      <c r="Y39" s="2852"/>
      <c r="Z39" s="2852"/>
      <c r="AA39" s="2852"/>
      <c r="AB39" s="2852"/>
      <c r="AC39" s="2852"/>
      <c r="AD39" s="2852"/>
    </row>
    <row r="40" spans="1:30">
      <c r="A40" s="2594"/>
      <c r="B40" s="2594"/>
      <c r="C40" s="2594"/>
      <c r="D40" s="2594"/>
      <c r="E40" s="2594"/>
      <c r="F40" s="2594"/>
      <c r="G40" s="2594"/>
      <c r="H40" s="2594"/>
      <c r="I40" s="1763"/>
      <c r="J40" s="2735"/>
      <c r="K40" s="2841"/>
      <c r="L40" s="2677"/>
      <c r="M40" s="2677"/>
      <c r="N40" s="2735"/>
      <c r="O40" s="2677"/>
      <c r="P40" s="2665"/>
      <c r="Q40" s="2665"/>
      <c r="R40" s="2665"/>
      <c r="S40" s="2665"/>
      <c r="T40" s="2665"/>
      <c r="U40" s="2665"/>
      <c r="V40" s="2665"/>
    </row>
    <row r="41" spans="1:30">
      <c r="A41" s="2662" t="s">
        <v>2980</v>
      </c>
      <c r="B41" s="1943"/>
      <c r="C41" s="1557"/>
      <c r="D41" s="2594"/>
      <c r="E41" s="2594"/>
      <c r="F41" s="2594"/>
      <c r="G41" s="2594"/>
      <c r="H41" s="2594"/>
      <c r="I41" s="1761"/>
      <c r="J41" s="2665"/>
      <c r="K41" s="2842"/>
      <c r="L41" s="2839"/>
      <c r="M41" s="2839"/>
      <c r="N41" s="2665"/>
      <c r="O41" s="2676"/>
      <c r="P41" s="2665"/>
      <c r="Q41" s="2665"/>
      <c r="R41" s="2665"/>
      <c r="S41" s="2665"/>
      <c r="T41" s="2665"/>
      <c r="U41" s="2665"/>
      <c r="V41" s="2665"/>
    </row>
    <row r="42" spans="1:30" ht="25.5">
      <c r="A42" s="329" t="s">
        <v>2981</v>
      </c>
      <c r="B42" s="11" t="s">
        <v>2982</v>
      </c>
      <c r="C42" s="11" t="s">
        <v>2983</v>
      </c>
      <c r="D42" s="11" t="s">
        <v>2984</v>
      </c>
      <c r="E42" s="11" t="s">
        <v>2985</v>
      </c>
      <c r="F42" s="11" t="s">
        <v>2986</v>
      </c>
      <c r="G42" s="11" t="s">
        <v>2987</v>
      </c>
      <c r="H42" s="11" t="s">
        <v>2988</v>
      </c>
      <c r="I42" s="11" t="s">
        <v>2989</v>
      </c>
      <c r="J42" s="2853" t="s">
        <v>2990</v>
      </c>
      <c r="K42" s="2854" t="s">
        <v>2991</v>
      </c>
      <c r="L42" s="2854" t="s">
        <v>2992</v>
      </c>
      <c r="M42" s="2854" t="s">
        <v>2993</v>
      </c>
      <c r="N42" s="2847" t="s">
        <v>2994</v>
      </c>
      <c r="O42" s="2847" t="s">
        <v>2995</v>
      </c>
      <c r="P42" s="2847" t="s">
        <v>2996</v>
      </c>
      <c r="Q42" s="2848" t="s">
        <v>2997</v>
      </c>
      <c r="R42" s="2848" t="s">
        <v>2998</v>
      </c>
      <c r="S42" s="2665"/>
      <c r="T42" s="2665"/>
      <c r="U42" s="2665"/>
      <c r="V42" s="2665"/>
    </row>
    <row r="43" spans="1:30" s="1929" customFormat="1">
      <c r="A43" s="1755"/>
      <c r="B43" s="1182"/>
      <c r="C43" s="1182"/>
      <c r="D43" s="1182"/>
      <c r="E43" s="1182"/>
      <c r="F43" s="1182"/>
      <c r="G43" s="1182"/>
      <c r="H43" s="1182"/>
      <c r="I43" s="1182"/>
      <c r="J43" s="2663"/>
      <c r="K43" s="2664"/>
      <c r="L43" s="2664"/>
      <c r="M43" s="1182"/>
      <c r="N43" s="1182"/>
      <c r="O43" s="1182"/>
      <c r="P43" s="1182"/>
      <c r="Q43" s="1182"/>
      <c r="R43" s="1182"/>
      <c r="S43" s="2665"/>
      <c r="T43" s="2665"/>
      <c r="U43" s="2665"/>
      <c r="V43" s="2665"/>
    </row>
    <row r="44" spans="1:30" s="1929" customFormat="1">
      <c r="A44" s="1755"/>
      <c r="B44" s="1755"/>
      <c r="C44" s="1182"/>
      <c r="D44" s="1182"/>
      <c r="E44" s="1182"/>
      <c r="F44" s="1182"/>
      <c r="G44" s="1182"/>
      <c r="H44" s="1182"/>
      <c r="I44" s="1182"/>
      <c r="J44" s="2663"/>
      <c r="K44" s="2664"/>
      <c r="L44" s="2664"/>
      <c r="M44" s="1182"/>
      <c r="N44" s="1182"/>
      <c r="O44" s="1182"/>
      <c r="P44" s="1182"/>
      <c r="Q44" s="1182"/>
      <c r="R44" s="1182"/>
      <c r="S44" s="2665"/>
      <c r="T44" s="2665"/>
      <c r="U44" s="2665"/>
      <c r="V44" s="2665"/>
    </row>
    <row r="45" spans="1:30" s="1929" customFormat="1">
      <c r="A45" s="1755"/>
      <c r="B45" s="1755"/>
      <c r="C45" s="1182"/>
      <c r="D45" s="1182"/>
      <c r="E45" s="1182"/>
      <c r="F45" s="1182"/>
      <c r="G45" s="1182"/>
      <c r="H45" s="1182"/>
      <c r="I45" s="1182"/>
      <c r="J45" s="2663"/>
      <c r="K45" s="2664"/>
      <c r="L45" s="2664"/>
      <c r="M45" s="1182"/>
      <c r="N45" s="1182"/>
      <c r="O45" s="1182"/>
      <c r="P45" s="1182"/>
      <c r="Q45" s="1182"/>
      <c r="R45" s="1182"/>
      <c r="S45" s="2665"/>
      <c r="T45" s="2665"/>
      <c r="U45" s="2665"/>
      <c r="V45" s="2665"/>
    </row>
    <row r="46" spans="1:30" s="1929" customFormat="1">
      <c r="A46" s="1755"/>
      <c r="B46" s="1755"/>
      <c r="C46" s="1182"/>
      <c r="D46" s="1182"/>
      <c r="E46" s="1182"/>
      <c r="F46" s="1182"/>
      <c r="G46" s="1182"/>
      <c r="H46" s="1182"/>
      <c r="I46" s="1182"/>
      <c r="J46" s="2663"/>
      <c r="K46" s="2664"/>
      <c r="L46" s="2664"/>
      <c r="M46" s="1182"/>
      <c r="N46" s="1182"/>
      <c r="O46" s="1182"/>
      <c r="P46" s="1182"/>
      <c r="Q46" s="1182"/>
      <c r="R46" s="1182"/>
      <c r="S46" s="2665"/>
      <c r="T46" s="2665"/>
      <c r="U46" s="2665"/>
      <c r="V46" s="2665"/>
    </row>
    <row r="47" spans="1:30" s="1929" customFormat="1">
      <c r="A47" s="1755"/>
      <c r="B47" s="1755"/>
      <c r="C47" s="1182"/>
      <c r="D47" s="1182"/>
      <c r="E47" s="1182"/>
      <c r="F47" s="1182"/>
      <c r="G47" s="1182"/>
      <c r="H47" s="1182"/>
      <c r="I47" s="1182"/>
      <c r="J47" s="2663"/>
      <c r="K47" s="2664"/>
      <c r="L47" s="2664"/>
      <c r="M47" s="1182"/>
      <c r="N47" s="1182"/>
      <c r="O47" s="1182"/>
      <c r="P47" s="1182"/>
      <c r="Q47" s="1182"/>
      <c r="R47" s="1182"/>
      <c r="S47" s="2665"/>
      <c r="T47" s="2665"/>
      <c r="U47" s="2665"/>
      <c r="V47" s="2665"/>
    </row>
    <row r="48" spans="1:30" s="1929" customFormat="1">
      <c r="A48" s="1755"/>
      <c r="B48" s="1755"/>
      <c r="C48" s="1182"/>
      <c r="D48" s="1182"/>
      <c r="E48" s="1182"/>
      <c r="F48" s="1182"/>
      <c r="G48" s="1182"/>
      <c r="H48" s="1182"/>
      <c r="I48" s="1182"/>
      <c r="J48" s="2663"/>
      <c r="K48" s="2664"/>
      <c r="L48" s="2664"/>
      <c r="M48" s="1182"/>
      <c r="N48" s="1182"/>
      <c r="O48" s="1182"/>
      <c r="P48" s="1182"/>
      <c r="Q48" s="1182"/>
      <c r="R48" s="1182"/>
      <c r="S48" s="2665"/>
      <c r="T48" s="2665"/>
      <c r="U48" s="2665"/>
      <c r="V48" s="2665"/>
    </row>
    <row r="49" spans="1:22" s="1929" customFormat="1">
      <c r="A49" s="1755"/>
      <c r="B49" s="1755"/>
      <c r="C49" s="1182"/>
      <c r="D49" s="1182"/>
      <c r="E49" s="1182"/>
      <c r="F49" s="1182"/>
      <c r="G49" s="1182"/>
      <c r="H49" s="1182"/>
      <c r="I49" s="1182"/>
      <c r="J49" s="2663"/>
      <c r="K49" s="2664"/>
      <c r="L49" s="2664"/>
      <c r="M49" s="1182"/>
      <c r="N49" s="1182"/>
      <c r="O49" s="1182"/>
      <c r="P49" s="1182"/>
      <c r="Q49" s="1182"/>
      <c r="R49" s="1182"/>
      <c r="S49" s="2665"/>
      <c r="T49" s="2665"/>
      <c r="U49" s="2665"/>
      <c r="V49" s="2665"/>
    </row>
    <row r="50" spans="1:22" s="1929" customFormat="1">
      <c r="A50" s="1755"/>
      <c r="B50" s="1755"/>
      <c r="C50" s="1182"/>
      <c r="D50" s="1182"/>
      <c r="E50" s="1182"/>
      <c r="F50" s="1182"/>
      <c r="G50" s="1182"/>
      <c r="H50" s="1182"/>
      <c r="I50" s="1182"/>
      <c r="J50" s="2663"/>
      <c r="K50" s="2664"/>
      <c r="L50" s="2664"/>
      <c r="M50" s="1182"/>
      <c r="N50" s="1182"/>
      <c r="O50" s="1182"/>
      <c r="P50" s="1182"/>
      <c r="Q50" s="1182"/>
      <c r="R50" s="1182"/>
      <c r="S50" s="2665"/>
      <c r="T50" s="2665"/>
      <c r="U50" s="2665"/>
      <c r="V50" s="2665"/>
    </row>
    <row r="51" spans="1:22" s="1929" customFormat="1">
      <c r="A51" s="1755"/>
      <c r="B51" s="1755"/>
      <c r="C51" s="1182"/>
      <c r="D51" s="1182"/>
      <c r="E51" s="1182"/>
      <c r="F51" s="1182"/>
      <c r="G51" s="1182"/>
      <c r="H51" s="1182"/>
      <c r="I51" s="1182"/>
      <c r="J51" s="2663"/>
      <c r="K51" s="2664"/>
      <c r="L51" s="2664"/>
      <c r="M51" s="1182"/>
      <c r="N51" s="1182"/>
      <c r="O51" s="1182"/>
      <c r="P51" s="1182"/>
      <c r="Q51" s="1182"/>
      <c r="R51" s="1182"/>
    </row>
    <row r="52" spans="1:22" s="1929" customFormat="1">
      <c r="A52" s="1755"/>
      <c r="B52" s="1755"/>
      <c r="C52" s="1755"/>
      <c r="D52" s="1755"/>
      <c r="E52" s="1755"/>
      <c r="F52" s="1182"/>
      <c r="G52" s="1755"/>
      <c r="H52" s="1755"/>
      <c r="I52" s="1755"/>
      <c r="J52" s="2666"/>
      <c r="K52" s="2664"/>
      <c r="L52" s="2664"/>
      <c r="M52" s="2664"/>
      <c r="N52" s="1755"/>
      <c r="O52" s="1755"/>
      <c r="P52" s="1755"/>
      <c r="Q52" s="1755"/>
      <c r="R52" s="1755"/>
    </row>
    <row r="53" spans="1:22" s="1929" customFormat="1">
      <c r="A53" s="1755"/>
      <c r="B53" s="1755"/>
      <c r="C53" s="1755"/>
      <c r="D53" s="1755"/>
      <c r="E53" s="1755"/>
      <c r="F53" s="1182"/>
      <c r="G53" s="1755"/>
      <c r="H53" s="1755"/>
      <c r="I53" s="1755"/>
      <c r="J53" s="2666"/>
      <c r="K53" s="2664"/>
      <c r="L53" s="2664"/>
      <c r="M53" s="2664"/>
      <c r="N53" s="1755"/>
      <c r="O53" s="1755"/>
      <c r="P53" s="1755"/>
      <c r="Q53" s="1755"/>
      <c r="R53" s="1755"/>
    </row>
    <row r="54" spans="1:22" s="1929" customFormat="1">
      <c r="A54" s="1755"/>
      <c r="B54" s="1755"/>
      <c r="C54" s="1755"/>
      <c r="D54" s="1755"/>
      <c r="E54" s="1755"/>
      <c r="F54" s="1182"/>
      <c r="G54" s="1755"/>
      <c r="H54" s="1755"/>
      <c r="I54" s="1755"/>
      <c r="J54" s="2666"/>
      <c r="K54" s="2664"/>
      <c r="L54" s="2664"/>
      <c r="M54" s="2664"/>
      <c r="N54" s="1755"/>
      <c r="O54" s="1755"/>
      <c r="P54" s="1755"/>
      <c r="Q54" s="1755"/>
      <c r="R54" s="1755"/>
    </row>
    <row r="55" spans="1:22" s="1929" customFormat="1">
      <c r="A55" s="1755"/>
      <c r="B55" s="1755"/>
      <c r="C55" s="1755"/>
      <c r="D55" s="1755"/>
      <c r="E55" s="1755"/>
      <c r="F55" s="1182"/>
      <c r="G55" s="1755"/>
      <c r="H55" s="1755"/>
      <c r="I55" s="1755"/>
      <c r="J55" s="2666"/>
      <c r="K55" s="2664"/>
      <c r="L55" s="2664"/>
      <c r="M55" s="2664"/>
      <c r="N55" s="1755"/>
      <c r="O55" s="1755"/>
      <c r="P55" s="1755"/>
      <c r="Q55" s="1755"/>
      <c r="R55" s="1755"/>
    </row>
    <row r="56" spans="1:22" s="1929" customFormat="1">
      <c r="A56" s="1755"/>
      <c r="B56" s="1755"/>
      <c r="C56" s="1755"/>
      <c r="D56" s="1755"/>
      <c r="E56" s="1755"/>
      <c r="F56" s="1182"/>
      <c r="G56" s="1755"/>
      <c r="H56" s="1755"/>
      <c r="I56" s="1755"/>
      <c r="J56" s="2666"/>
      <c r="K56" s="2664"/>
      <c r="L56" s="2664"/>
      <c r="M56" s="2664"/>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J13" sqref="J13"/>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625" style="1758" customWidth="1"/>
    <col min="17" max="17" width="9.375" style="1758" customWidth="1"/>
    <col min="18" max="18" width="9.125" style="1758" customWidth="1"/>
    <col min="19" max="19" width="10.875" style="1758" customWidth="1"/>
    <col min="20" max="21" width="10.625" style="1758" customWidth="1"/>
    <col min="22" max="22" width="10.875" style="1758" customWidth="1"/>
    <col min="23" max="27" width="10.625" style="1758" customWidth="1"/>
    <col min="28" max="28" width="10.875" style="1758" customWidth="1"/>
    <col min="29" max="29" width="11" style="1758" bestFit="1" customWidth="1"/>
    <col min="30" max="30" width="10" style="1758" bestFit="1" customWidth="1"/>
    <col min="31" max="31" width="9.625" style="1758" customWidth="1"/>
    <col min="32" max="46" width="9.5" style="1758" customWidth="1"/>
    <col min="47" max="47" width="18.125" style="1758" customWidth="1"/>
    <col min="48" max="50" width="9.62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9" t="s">
        <v>1753</v>
      </c>
      <c r="AZ2" s="1180"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1442.46</v>
      </c>
      <c r="B3" s="14">
        <f>IF(C3="否",G5-AT5,G5)</f>
        <v>198.07</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81"/>
      <c r="AZ3" s="1182"/>
      <c r="BA3" s="1183"/>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198.07</v>
      </c>
      <c r="H5" s="16">
        <f t="shared" ref="H5:AT5" si="0">SUM(H13:H656)</f>
        <v>198.07</v>
      </c>
      <c r="I5" s="16">
        <f t="shared" si="0"/>
        <v>198.07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198.07</v>
      </c>
      <c r="BA5" s="18">
        <f t="shared" si="1"/>
        <v>198.07</v>
      </c>
      <c r="BB5" s="18">
        <f t="shared" si="1"/>
        <v>198.07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1442.46</v>
      </c>
      <c r="F6" s="16" t="s">
        <v>1</v>
      </c>
      <c r="G6" s="16" t="s">
        <v>2</v>
      </c>
      <c r="H6" s="20">
        <f>SUMIF(I$12:AB$12,"总值",I6:AB6)</f>
        <v>1442.46</v>
      </c>
      <c r="I6" s="16">
        <f t="shared" ref="I6:AB6" si="2">ROUND($A$3*I5/$B$3,2)</f>
        <v>1442.46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1442.46</v>
      </c>
      <c r="AZ6" s="16" t="s">
        <v>3</v>
      </c>
      <c r="BA6" s="16">
        <f>ROUND($AY$6*BA5/$AZ$5,2)</f>
        <v>1442.46</v>
      </c>
      <c r="BB6" s="16">
        <f>ROUND($AY$6*BB5/$AZ$5,2)</f>
        <v>1442.46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8" t="s">
        <v>1772</v>
      </c>
      <c r="AD8" s="1785"/>
      <c r="AE8" s="1777"/>
      <c r="AF8" s="1544"/>
      <c r="AG8" s="1544"/>
      <c r="AH8" s="1544"/>
      <c r="AI8" s="1544"/>
      <c r="AJ8" s="1544"/>
      <c r="AK8" s="1544"/>
      <c r="AL8" s="1544"/>
      <c r="AM8" s="1544"/>
      <c r="AN8" s="1544"/>
      <c r="AO8" s="1544"/>
      <c r="AP8" s="1544"/>
      <c r="AQ8" s="1544"/>
      <c r="AR8" s="1544"/>
      <c r="AS8" s="1544"/>
      <c r="AT8" s="1202" t="s">
        <v>1773</v>
      </c>
      <c r="AU8" s="1779" t="s">
        <v>1774</v>
      </c>
      <c r="AV8" s="1202"/>
      <c r="AW8" s="1762"/>
      <c r="AX8" s="1202"/>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2"/>
      <c r="H9" s="1787" t="s">
        <v>1777</v>
      </c>
      <c r="I9" s="1788" t="s">
        <v>3074</v>
      </c>
      <c r="J9" s="918"/>
      <c r="K9" s="1788"/>
      <c r="L9" s="918"/>
      <c r="M9" s="1788"/>
      <c r="N9" s="918"/>
      <c r="O9" s="1788"/>
      <c r="P9" s="918"/>
      <c r="Q9" s="1788"/>
      <c r="R9" s="918"/>
      <c r="S9" s="1788"/>
      <c r="T9" s="918"/>
      <c r="U9" s="1788"/>
      <c r="V9" s="918"/>
      <c r="W9" s="1788"/>
      <c r="X9" s="1789"/>
      <c r="Y9" s="1788"/>
      <c r="Z9" s="918"/>
      <c r="AA9" s="1788"/>
      <c r="AB9" s="918"/>
      <c r="AC9" s="1780"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0"/>
      <c r="AT9" s="1779"/>
      <c r="AU9" s="1779" t="s">
        <v>1780</v>
      </c>
      <c r="AV9" s="1202"/>
      <c r="AW9" s="1762"/>
      <c r="AX9" s="1202"/>
      <c r="AY9" s="28"/>
      <c r="AZ9" s="28" t="s">
        <v>1770</v>
      </c>
      <c r="BA9" s="1791" t="s">
        <v>1781</v>
      </c>
      <c r="BB9" s="1792"/>
      <c r="BC9" s="1248"/>
      <c r="BD9" s="1248"/>
      <c r="BE9" s="1248"/>
      <c r="BF9" s="1248"/>
      <c r="BG9" s="1248"/>
      <c r="BH9" s="1248"/>
      <c r="BI9" s="1248"/>
      <c r="BJ9" s="1248"/>
      <c r="BK9" s="1793"/>
      <c r="BL9" s="15" t="s">
        <v>1782</v>
      </c>
      <c r="BM9" s="1544"/>
      <c r="BN9" s="1782"/>
      <c r="BO9" s="1544"/>
      <c r="BP9" s="1544"/>
      <c r="BQ9" s="1544"/>
      <c r="BR9" s="1544"/>
      <c r="BS9" s="1544"/>
      <c r="BT9" s="26"/>
    </row>
    <row r="10" spans="1:72" s="1786" customFormat="1" ht="12.75">
      <c r="A10" s="1779"/>
      <c r="B10" s="1779"/>
      <c r="C10" s="1779"/>
      <c r="D10" s="1779"/>
      <c r="E10" s="1779"/>
      <c r="F10" s="1779"/>
      <c r="G10" s="1202"/>
      <c r="H10" s="28"/>
      <c r="I10" s="1788" t="s">
        <v>1343</v>
      </c>
      <c r="J10" s="918"/>
      <c r="K10" s="1794"/>
      <c r="L10" s="918"/>
      <c r="M10" s="1794"/>
      <c r="N10" s="918"/>
      <c r="O10" s="1794"/>
      <c r="P10" s="918"/>
      <c r="Q10" s="1794"/>
      <c r="R10" s="918"/>
      <c r="S10" s="1794"/>
      <c r="T10" s="918"/>
      <c r="U10" s="1794"/>
      <c r="V10" s="918"/>
      <c r="W10" s="1794"/>
      <c r="X10" s="918"/>
      <c r="Y10" s="1794"/>
      <c r="Z10" s="918"/>
      <c r="AA10" s="1794"/>
      <c r="AB10" s="918"/>
      <c r="AC10" s="1202"/>
      <c r="AD10" s="15" t="s">
        <v>1783</v>
      </c>
      <c r="AE10" s="1795"/>
      <c r="AF10" s="15" t="s">
        <v>1783</v>
      </c>
      <c r="AG10" s="1795"/>
      <c r="AH10" s="15" t="s">
        <v>1784</v>
      </c>
      <c r="AI10" s="1795"/>
      <c r="AJ10" s="15" t="s">
        <v>1784</v>
      </c>
      <c r="AK10" s="1795"/>
      <c r="AL10" s="15" t="s">
        <v>1785</v>
      </c>
      <c r="AM10" s="1208"/>
      <c r="AN10" s="15" t="s">
        <v>1785</v>
      </c>
      <c r="AO10" s="1208"/>
      <c r="AP10" s="15" t="s">
        <v>1786</v>
      </c>
      <c r="AQ10" s="1208"/>
      <c r="AR10" s="15" t="s">
        <v>1786</v>
      </c>
      <c r="AS10" s="1208"/>
      <c r="AT10" s="1779"/>
      <c r="AU10" s="1779"/>
      <c r="AV10" s="1202"/>
      <c r="AW10" s="1762"/>
      <c r="AX10" s="1202"/>
      <c r="AY10" s="28"/>
      <c r="AZ10" s="28"/>
      <c r="BA10" s="1796" t="s">
        <v>1777</v>
      </c>
      <c r="BB10" s="1797" t="str">
        <f>I9</f>
        <v>地上</v>
      </c>
      <c r="BC10" s="29">
        <f>K9</f>
        <v>0</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2"/>
      <c r="H11" s="1796"/>
      <c r="I11" s="1799"/>
      <c r="J11" s="1800"/>
      <c r="K11" s="1799"/>
      <c r="L11" s="1800"/>
      <c r="M11" s="1799"/>
      <c r="N11" s="1800"/>
      <c r="O11" s="1799"/>
      <c r="P11" s="1800"/>
      <c r="Q11" s="1799"/>
      <c r="R11" s="1800"/>
      <c r="S11" s="1799"/>
      <c r="T11" s="1800"/>
      <c r="U11" s="1799"/>
      <c r="V11" s="1800"/>
      <c r="W11" s="1799"/>
      <c r="X11" s="1800"/>
      <c r="Y11" s="1799"/>
      <c r="Z11" s="1800"/>
      <c r="AA11" s="1799"/>
      <c r="AB11" s="1800"/>
      <c r="AC11" s="1202"/>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2"/>
      <c r="AW11" s="1762"/>
      <c r="AX11" s="1202"/>
      <c r="AY11" s="28"/>
      <c r="AZ11" s="28"/>
      <c r="BA11" s="28"/>
      <c r="BB11" s="1784" t="str">
        <f>I10</f>
        <v>商业</v>
      </c>
      <c r="BC11" s="1784">
        <f>K10</f>
        <v>0</v>
      </c>
      <c r="BD11" s="1784">
        <f>M10</f>
        <v>0</v>
      </c>
      <c r="BE11" s="1784">
        <f>O10</f>
        <v>0</v>
      </c>
      <c r="BF11" s="1784">
        <f>Q10</f>
        <v>0</v>
      </c>
      <c r="BG11" s="1784">
        <f>S10</f>
        <v>0</v>
      </c>
      <c r="BH11" s="1784">
        <f>U10</f>
        <v>0</v>
      </c>
      <c r="BI11" s="1784">
        <f>W10</f>
        <v>0</v>
      </c>
      <c r="BJ11" s="1784">
        <f>Y10</f>
        <v>0</v>
      </c>
      <c r="BK11" s="1784">
        <f>AA10</f>
        <v>0</v>
      </c>
      <c r="BL11" s="1202"/>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f>I11</f>
        <v>0</v>
      </c>
      <c r="BC12" s="1809">
        <f>K11</f>
        <v>0</v>
      </c>
      <c r="BD12" s="1809">
        <f>M11</f>
        <v>0</v>
      </c>
      <c r="BE12" s="1784">
        <f>O11</f>
        <v>0</v>
      </c>
      <c r="BF12" s="1784">
        <f>Q11</f>
        <v>0</v>
      </c>
      <c r="BG12" s="1784">
        <f>S11</f>
        <v>0</v>
      </c>
      <c r="BH12" s="1784">
        <f>U11</f>
        <v>0</v>
      </c>
      <c r="BI12" s="1784">
        <f>W11</f>
        <v>0</v>
      </c>
      <c r="BJ12" s="1784">
        <f>Y11</f>
        <v>0</v>
      </c>
      <c r="BK12" s="1784">
        <f>AA11</f>
        <v>0</v>
      </c>
      <c r="BL12" s="1202"/>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2"/>
      <c r="B13" s="1182"/>
      <c r="C13" s="1182"/>
      <c r="D13" s="1810" t="s">
        <v>3073</v>
      </c>
      <c r="E13" s="16">
        <f>IF($C$3="是",ROUND($A$3*G13/$B$3,2),ROUND($A$3*(G13-AT13)/$B$3,2))</f>
        <v>1442.46</v>
      </c>
      <c r="F13" s="32"/>
      <c r="G13" s="33">
        <f>H13+AC13+AT13</f>
        <v>198.07</v>
      </c>
      <c r="H13" s="20">
        <f>SUMIF(I$12:AB$12,"总值",I13:AB13)</f>
        <v>198.07</v>
      </c>
      <c r="I13" s="1811">
        <v>198.07</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0</v>
      </c>
      <c r="AY13" s="1533">
        <f>ROUND($AY$6*AZ13/$AZ$5,2)</f>
        <v>1442.46</v>
      </c>
      <c r="AZ13" s="16">
        <f>BA13+BL13</f>
        <v>198.07</v>
      </c>
      <c r="BA13" s="16">
        <f>SUM(BB13:BK13)</f>
        <v>198.07</v>
      </c>
      <c r="BB13" s="16">
        <f>IF($D13="是",I13-J13,0)</f>
        <v>198.07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2"/>
      <c r="B14" s="1182"/>
      <c r="C14" s="1755"/>
      <c r="D14" s="1810"/>
      <c r="E14" s="16">
        <f>IF($C$3="是",ROUND($A$3*G14/$B$3,2),ROUND($A$3*(G14-AT14)/$B$3,2))</f>
        <v>0</v>
      </c>
      <c r="F14" s="32"/>
      <c r="G14" s="33">
        <f>H14+AC14+AT14</f>
        <v>0</v>
      </c>
      <c r="H14" s="20">
        <f>SUMIF(I$12:AB$12,"总值",I14:AB14)</f>
        <v>0</v>
      </c>
      <c r="I14" s="1811"/>
      <c r="J14" s="1811"/>
      <c r="K14" s="1811"/>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0</v>
      </c>
      <c r="AY14" s="153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2"/>
      <c r="B15" s="1182"/>
      <c r="C15" s="1755"/>
      <c r="D15" s="1810"/>
      <c r="E15" s="16">
        <f>IF($C$3="是",ROUND($A$3*G15/$B$3,2),ROUND($A$3*(G15-AT15)/$B$3,2))</f>
        <v>0</v>
      </c>
      <c r="F15" s="32"/>
      <c r="G15" s="33">
        <f>H15+AC15+AT15</f>
        <v>0</v>
      </c>
      <c r="H15" s="20">
        <f>SUMIF(I$12:AB$12,"总值",I15:AB15)</f>
        <v>0</v>
      </c>
      <c r="I15" s="1811"/>
      <c r="J15" s="1811"/>
      <c r="K15" s="1811"/>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0</v>
      </c>
      <c r="AY15" s="153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2"/>
      <c r="B16" s="1182"/>
      <c r="C16" s="1755"/>
      <c r="D16" s="1810"/>
      <c r="E16" s="16">
        <f>IF($C$3="是",ROUND($A$3*G16/$B$3,2),ROUND($A$3*(G16-AT16)/$B$3,2))</f>
        <v>0</v>
      </c>
      <c r="F16" s="32"/>
      <c r="G16" s="33">
        <f>H16+AC16+AT16</f>
        <v>0</v>
      </c>
      <c r="H16" s="20">
        <f>SUMIF(I$12:AB$12,"总值",I16:AB16)</f>
        <v>0</v>
      </c>
      <c r="I16" s="1811"/>
      <c r="J16" s="1811"/>
      <c r="K16" s="1811"/>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0</v>
      </c>
      <c r="AY16" s="153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2"/>
      <c r="B17" s="1182"/>
      <c r="C17" s="1755"/>
      <c r="D17" s="1810"/>
      <c r="E17" s="16">
        <f>IF($C$3="是",ROUND($A$3*G17/$B$3,2),ROUND($A$3*(G17-AT17)/$B$3,2))</f>
        <v>0</v>
      </c>
      <c r="F17" s="32"/>
      <c r="G17" s="33">
        <f>H17+AC17+AT17</f>
        <v>0</v>
      </c>
      <c r="H17" s="20">
        <f>SUMIF(I$12:AB$12,"总值",I17:AB17)</f>
        <v>0</v>
      </c>
      <c r="I17" s="1811"/>
      <c r="J17" s="1811"/>
      <c r="K17" s="1811"/>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0</v>
      </c>
      <c r="AY17" s="153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625" style="3" customWidth="1"/>
    <col min="4" max="7" width="9.5" style="3" bestFit="1" customWidth="1"/>
    <col min="8" max="13" width="9.125" style="3" bestFit="1" customWidth="1"/>
    <col min="14" max="16384" width="9" style="3"/>
  </cols>
  <sheetData>
    <row r="1" spans="1:13" ht="14.25">
      <c r="A1" s="3737" t="s">
        <v>0</v>
      </c>
      <c r="B1" s="3737" t="s">
        <v>4</v>
      </c>
      <c r="C1" s="3737" t="s">
        <v>5</v>
      </c>
      <c r="D1" s="3738" t="s">
        <v>53</v>
      </c>
      <c r="E1" s="3738" t="s">
        <v>54</v>
      </c>
      <c r="F1" s="3738"/>
      <c r="G1" s="3738"/>
      <c r="H1" s="3738"/>
      <c r="I1" s="3738"/>
      <c r="J1" s="3738"/>
      <c r="K1" s="3738"/>
      <c r="L1" s="3738"/>
      <c r="M1" s="3738"/>
    </row>
    <row r="2" spans="1:13" ht="27" customHeight="1">
      <c r="A2" s="3737"/>
      <c r="B2" s="3737"/>
      <c r="C2" s="3737"/>
      <c r="D2" s="3738"/>
      <c r="E2" s="3738" t="s">
        <v>37</v>
      </c>
      <c r="F2" s="3738" t="s">
        <v>38</v>
      </c>
      <c r="G2" s="3738"/>
      <c r="H2" s="3738"/>
      <c r="I2" s="3738"/>
      <c r="J2" s="3738" t="s">
        <v>39</v>
      </c>
      <c r="K2" s="3738"/>
      <c r="L2" s="3738"/>
      <c r="M2" s="3738"/>
    </row>
    <row r="3" spans="1:13" ht="28.5">
      <c r="A3" s="3737"/>
      <c r="B3" s="3737"/>
      <c r="C3" s="3737"/>
      <c r="D3" s="3738"/>
      <c r="E3" s="37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738" t="s">
        <v>55</v>
      </c>
      <c r="B9" s="3738"/>
      <c r="C9" s="37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C20" sqref="C20"/>
    </sheetView>
  </sheetViews>
  <sheetFormatPr defaultColWidth="9.125" defaultRowHeight="14.25"/>
  <cols>
    <col min="1" max="1" width="12.125" style="1823" customWidth="1"/>
    <col min="2" max="2" width="10.1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6" customWidth="1"/>
    <col min="11" max="16" width="10" style="1823" customWidth="1"/>
    <col min="17" max="17" width="2.625" style="1823" customWidth="1"/>
    <col min="18" max="18" width="9.375" style="1823" bestFit="1" customWidth="1"/>
    <col min="19" max="19" width="10.5" style="1823" bestFit="1" customWidth="1"/>
    <col min="20" max="16384" width="9.125" style="1823"/>
  </cols>
  <sheetData>
    <row r="1" spans="1:16" ht="19.5" thickBot="1">
      <c r="A1" s="1822" t="s">
        <v>1816</v>
      </c>
      <c r="B1" s="1301"/>
      <c r="C1" s="1301"/>
      <c r="D1" s="1301"/>
      <c r="E1" s="1301"/>
      <c r="F1" s="1301"/>
      <c r="G1" s="1301"/>
      <c r="H1" s="1301"/>
      <c r="I1" s="1301"/>
      <c r="J1" s="1301"/>
      <c r="K1" s="1301"/>
      <c r="L1" s="1301"/>
      <c r="M1" s="1301"/>
      <c r="N1" s="1301"/>
      <c r="O1" s="1301"/>
      <c r="P1" s="1301"/>
    </row>
    <row r="2" spans="1:16" ht="15">
      <c r="A2" s="3748" t="s">
        <v>1817</v>
      </c>
      <c r="B2" s="3748"/>
      <c r="C2" s="3748"/>
      <c r="D2" s="904" t="s">
        <v>1793</v>
      </c>
      <c r="E2" s="1824" t="s">
        <v>1794</v>
      </c>
      <c r="F2" s="2886"/>
      <c r="G2" s="2877"/>
      <c r="H2" s="2878"/>
      <c r="I2" s="2548" t="s">
        <v>1818</v>
      </c>
      <c r="J2" s="2886"/>
      <c r="K2" s="2886"/>
      <c r="L2" s="2886"/>
      <c r="M2" s="2886"/>
      <c r="N2" s="2888"/>
      <c r="O2" s="2886"/>
      <c r="P2" s="2886"/>
    </row>
    <row r="3" spans="1:16" ht="15.75" thickBot="1">
      <c r="A3" s="3749" t="s">
        <v>1791</v>
      </c>
      <c r="B3" s="3749"/>
      <c r="C3" s="3749"/>
      <c r="D3" s="46">
        <f>'数据-基础表'!AY6</f>
        <v>1442.46</v>
      </c>
      <c r="E3" s="46">
        <f>'数据-基础表'!AZ5</f>
        <v>198.07</v>
      </c>
      <c r="F3" s="2886"/>
      <c r="G3" s="1307"/>
      <c r="H3" s="1157" t="s">
        <v>1792</v>
      </c>
      <c r="I3" s="964">
        <f>ROUND('数据-基础表'!B3/'数据-基础表'!A3,2)</f>
        <v>0.14000000000000001</v>
      </c>
      <c r="J3" s="2886"/>
      <c r="K3" s="2886"/>
      <c r="L3" s="2886"/>
      <c r="M3" s="2886"/>
      <c r="N3" s="2888"/>
      <c r="O3" s="2886"/>
      <c r="P3" s="2886"/>
    </row>
    <row r="4" spans="1:16" ht="15">
      <c r="A4" s="3750"/>
      <c r="B4" s="3751"/>
      <c r="C4" s="3752"/>
      <c r="D4" s="1826" t="s">
        <v>1793</v>
      </c>
      <c r="E4" s="1827" t="s">
        <v>1794</v>
      </c>
      <c r="F4" s="2886"/>
      <c r="G4" s="2879" t="s">
        <v>1819</v>
      </c>
      <c r="H4" s="1157" t="s">
        <v>1799</v>
      </c>
      <c r="I4" s="964">
        <f>ROUND(SUMIF('数据-基础表'!I9:AS9,"地上",'数据-基础表'!I5:AS5)/'数据-基础表'!A3,2)</f>
        <v>0.14000000000000001</v>
      </c>
      <c r="J4" s="2886"/>
      <c r="K4" s="2886"/>
      <c r="L4" s="2886"/>
      <c r="M4" s="2886"/>
      <c r="N4" s="2888"/>
      <c r="O4" s="2886"/>
      <c r="P4" s="2886"/>
    </row>
    <row r="5" spans="1:16">
      <c r="A5" s="47" t="s">
        <v>1795</v>
      </c>
      <c r="B5" s="3753" t="s">
        <v>1796</v>
      </c>
      <c r="C5" s="3753"/>
      <c r="D5" s="48">
        <f>ROUND($D$3*E5/$E$3,2)</f>
        <v>0</v>
      </c>
      <c r="E5" s="49">
        <f>SUMIF('数据-基础表'!$11:$11,"住宅",'数据-基础表'!$5:$5)</f>
        <v>0</v>
      </c>
      <c r="F5" s="2886"/>
      <c r="G5" s="1307"/>
      <c r="H5" s="1157" t="s">
        <v>1792</v>
      </c>
      <c r="I5" s="964">
        <f>ROUND(E31/D31,2)</f>
        <v>0.14000000000000001</v>
      </c>
      <c r="J5" s="2886"/>
      <c r="K5" s="2886"/>
      <c r="L5" s="2886"/>
      <c r="M5" s="2886"/>
      <c r="N5" s="2886"/>
      <c r="O5" s="2886"/>
      <c r="P5" s="2886"/>
    </row>
    <row r="6" spans="1:16" ht="15" thickBot="1">
      <c r="A6" s="1829"/>
      <c r="B6" s="3753" t="s">
        <v>1797</v>
      </c>
      <c r="C6" s="3753"/>
      <c r="D6" s="48">
        <f>ROUND($D$3*E6/$E$3,2)</f>
        <v>1442.46</v>
      </c>
      <c r="E6" s="49">
        <f>E3-E5</f>
        <v>198.07</v>
      </c>
      <c r="F6" s="2886"/>
      <c r="G6" s="2880" t="s">
        <v>1798</v>
      </c>
      <c r="H6" s="1308" t="s">
        <v>1799</v>
      </c>
      <c r="I6" s="2881">
        <f>ROUND(F31/D31,2)</f>
        <v>0.14000000000000001</v>
      </c>
      <c r="J6" s="2886"/>
      <c r="K6" s="2886"/>
      <c r="L6" s="2886"/>
      <c r="M6" s="2886"/>
      <c r="N6" s="2886"/>
      <c r="O6" s="2886"/>
      <c r="P6" s="2886"/>
    </row>
    <row r="7" spans="1:16" ht="15.75" thickBot="1">
      <c r="A7" s="3745"/>
      <c r="B7" s="3746"/>
      <c r="C7" s="3747"/>
      <c r="D7" s="1826" t="s">
        <v>1793</v>
      </c>
      <c r="E7" s="1830" t="s">
        <v>1800</v>
      </c>
      <c r="F7" s="2886"/>
      <c r="G7" s="2882" t="s">
        <v>1801</v>
      </c>
      <c r="H7" s="2883"/>
      <c r="I7" s="2884"/>
      <c r="J7" s="2886"/>
      <c r="K7" s="2886"/>
      <c r="L7" s="2886"/>
      <c r="M7" s="2886"/>
      <c r="N7" s="2886"/>
      <c r="O7" s="2886"/>
      <c r="P7" s="2886"/>
    </row>
    <row r="8" spans="1:16">
      <c r="A8" s="47" t="s">
        <v>1802</v>
      </c>
      <c r="B8" s="50" t="s">
        <v>1803</v>
      </c>
      <c r="C8" s="48" t="s">
        <v>1804</v>
      </c>
      <c r="D8" s="48">
        <f t="shared" ref="D8:D15" si="0">ROUND($D$3*E8/$E$3,2)</f>
        <v>1442.46</v>
      </c>
      <c r="E8" s="51">
        <f>SUMIF('数据-基础表'!BB10:BK10,"地上",'数据-基础表'!BB5:BK5)</f>
        <v>198.07</v>
      </c>
      <c r="F8" s="2886"/>
      <c r="G8" s="2887"/>
      <c r="H8" s="2887"/>
      <c r="I8" s="2886"/>
      <c r="J8" s="2886"/>
      <c r="K8" s="2886"/>
      <c r="L8" s="2886"/>
      <c r="M8" s="2886"/>
      <c r="N8" s="2886"/>
      <c r="O8" s="2886"/>
      <c r="P8" s="2886"/>
    </row>
    <row r="9" spans="1:16">
      <c r="A9" s="1831"/>
      <c r="B9" s="1832"/>
      <c r="C9" s="48" t="s">
        <v>1805</v>
      </c>
      <c r="D9" s="48">
        <f t="shared" si="0"/>
        <v>0</v>
      </c>
      <c r="E9" s="52">
        <v>0</v>
      </c>
      <c r="F9" s="2886"/>
      <c r="G9" s="2887"/>
      <c r="H9" s="2887"/>
      <c r="I9" s="2886"/>
      <c r="J9" s="2886"/>
      <c r="K9" s="2886"/>
      <c r="L9" s="2886"/>
      <c r="M9" s="2886"/>
      <c r="N9" s="2886"/>
      <c r="O9" s="2886"/>
      <c r="P9" s="2886"/>
    </row>
    <row r="10" spans="1:16">
      <c r="A10" s="1831"/>
      <c r="B10" s="1832"/>
      <c r="C10" s="48" t="s">
        <v>1814</v>
      </c>
      <c r="D10" s="48">
        <f t="shared" si="0"/>
        <v>0</v>
      </c>
      <c r="E10" s="51">
        <f>SUMPRODUCT(('数据-基础表'!BB10:BK10="地下")*('数据-基础表'!BB11:BK11="商业")*('数据-基础表'!BB5:BK5))</f>
        <v>0</v>
      </c>
      <c r="F10" s="2886"/>
      <c r="G10" s="2887"/>
      <c r="H10" s="2887"/>
      <c r="I10" s="2886"/>
      <c r="J10" s="2886"/>
      <c r="K10" s="2886"/>
      <c r="L10" s="2886"/>
      <c r="M10" s="2886"/>
      <c r="N10" s="2886"/>
      <c r="O10" s="2886"/>
      <c r="P10" s="2886"/>
    </row>
    <row r="11" spans="1:16">
      <c r="A11" s="1831"/>
      <c r="B11" s="1832"/>
      <c r="C11" s="48" t="s">
        <v>1806</v>
      </c>
      <c r="D11" s="48">
        <f t="shared" si="0"/>
        <v>0</v>
      </c>
      <c r="E11" s="51">
        <f>SUMPRODUCT(('数据-基础表'!BB10:BK10="地下")*('数据-基础表'!BB11:BK11="办公")*('数据-基础表'!BB5:BK5))+'数据-基础表'!BP5</f>
        <v>0</v>
      </c>
      <c r="F11" s="2886"/>
      <c r="G11" s="2887"/>
      <c r="H11" s="2887"/>
      <c r="I11" s="2886"/>
      <c r="J11" s="2886"/>
      <c r="K11" s="2886"/>
      <c r="L11" s="2886"/>
      <c r="M11" s="2886"/>
      <c r="N11" s="2886"/>
      <c r="O11" s="2886"/>
      <c r="P11" s="2886"/>
    </row>
    <row r="12" spans="1:16">
      <c r="A12" s="1831"/>
      <c r="B12" s="1832"/>
      <c r="C12" s="48" t="s">
        <v>1807</v>
      </c>
      <c r="D12" s="48">
        <f t="shared" si="0"/>
        <v>0</v>
      </c>
      <c r="E12" s="51">
        <f>SUMPRODUCT(('数据-基础表'!BB10:BK10="地下")*('数据-基础表'!BB11:BK11="仓储")*('数据-基础表'!BB5:BK5))</f>
        <v>0</v>
      </c>
      <c r="F12" s="2886"/>
      <c r="G12" s="2887"/>
      <c r="H12" s="2887"/>
      <c r="I12" s="2886"/>
      <c r="J12" s="2886"/>
      <c r="K12" s="2886"/>
      <c r="L12" s="2886"/>
      <c r="M12" s="2886"/>
      <c r="N12" s="2886"/>
      <c r="O12" s="2886"/>
      <c r="P12" s="2886"/>
    </row>
    <row r="13" spans="1:16">
      <c r="A13" s="1831"/>
      <c r="B13" s="1832"/>
      <c r="C13" s="48" t="s">
        <v>1808</v>
      </c>
      <c r="D13" s="48">
        <f t="shared" si="0"/>
        <v>0</v>
      </c>
      <c r="E13" s="51">
        <f>SUMPRODUCT(('数据-基础表'!BB10:BK10="地下")*('数据-基础表'!BB11:BK11="车库")*('数据-基础表'!BB5:BK5))</f>
        <v>0</v>
      </c>
      <c r="F13" s="2886"/>
      <c r="G13" s="2887"/>
      <c r="H13" s="2887"/>
      <c r="I13" s="2886"/>
      <c r="J13" s="2886"/>
      <c r="K13" s="2886"/>
      <c r="L13" s="2886"/>
      <c r="M13" s="2886"/>
      <c r="N13" s="2886"/>
      <c r="O13" s="2886"/>
      <c r="P13" s="2886"/>
    </row>
    <row r="14" spans="1:16">
      <c r="A14" s="1831"/>
      <c r="B14" s="1832"/>
      <c r="C14" s="48" t="s">
        <v>1820</v>
      </c>
      <c r="D14" s="48">
        <f t="shared" si="0"/>
        <v>0</v>
      </c>
      <c r="E14" s="51">
        <f>SUMPRODUCT(('数据-基础表'!BB10:BK10="地下")*('数据-基础表'!BB11:BK11="车库—商业")*('数据-基础表'!BB5:BK5))</f>
        <v>0</v>
      </c>
      <c r="F14" s="2886"/>
      <c r="G14" s="2887"/>
      <c r="H14" s="2887"/>
      <c r="I14" s="2886"/>
      <c r="J14" s="2886"/>
      <c r="K14" s="2886"/>
      <c r="L14" s="2886"/>
      <c r="M14" s="2886"/>
      <c r="N14" s="2886"/>
      <c r="O14" s="2886"/>
      <c r="P14" s="2886"/>
    </row>
    <row r="15" spans="1:16" ht="15" thickBot="1">
      <c r="A15" s="1831"/>
      <c r="B15" s="1832"/>
      <c r="C15" s="48" t="s">
        <v>1815</v>
      </c>
      <c r="D15" s="48">
        <f t="shared" si="0"/>
        <v>0</v>
      </c>
      <c r="E15" s="51">
        <f>SUMPRODUCT(('数据-基础表'!BB10:BK10="地下")*('数据-基础表'!BB11:BK11="车库—办公")*('数据-基础表'!BB5:BK5))</f>
        <v>0</v>
      </c>
      <c r="F15" s="2886"/>
      <c r="G15" s="2887"/>
      <c r="H15" s="2887"/>
      <c r="I15" s="2886"/>
      <c r="J15" s="2886"/>
      <c r="K15" s="2886"/>
      <c r="L15" s="2886"/>
      <c r="M15" s="2886"/>
      <c r="N15" s="2886"/>
      <c r="O15" s="2886"/>
      <c r="P15" s="2886"/>
    </row>
    <row r="16" spans="1:16" ht="15.75" thickBot="1">
      <c r="A16" s="1829"/>
      <c r="B16" s="1832"/>
      <c r="C16" s="50" t="s">
        <v>1809</v>
      </c>
      <c r="D16" s="50">
        <f>SUM(D8:D15)</f>
        <v>1442.46</v>
      </c>
      <c r="E16" s="53">
        <f>SUM(E8:E15)</f>
        <v>198.07</v>
      </c>
      <c r="F16" s="2886"/>
      <c r="G16" s="2887"/>
      <c r="H16" s="1833" t="s">
        <v>1821</v>
      </c>
      <c r="I16" s="1834"/>
      <c r="J16" s="1301"/>
      <c r="K16" s="3742" t="s">
        <v>1821</v>
      </c>
      <c r="L16" s="3743"/>
      <c r="M16" s="3743"/>
      <c r="N16" s="3743"/>
      <c r="O16" s="3743"/>
      <c r="P16" s="3744"/>
    </row>
    <row r="17" spans="1:19" ht="15">
      <c r="A17" s="1835" t="s">
        <v>1822</v>
      </c>
      <c r="B17" s="1836" t="s">
        <v>1823</v>
      </c>
      <c r="C17" s="1837" t="s">
        <v>1824</v>
      </c>
      <c r="D17" s="1838" t="s">
        <v>1812</v>
      </c>
      <c r="E17" s="1839" t="s">
        <v>1813</v>
      </c>
      <c r="F17" s="1840"/>
      <c r="G17" s="1841"/>
      <c r="H17" s="1842" t="s">
        <v>1825</v>
      </c>
      <c r="I17" s="1843" t="s">
        <v>1810</v>
      </c>
      <c r="J17" s="1301"/>
      <c r="K17" s="3739" t="s">
        <v>1826</v>
      </c>
      <c r="L17" s="3740"/>
      <c r="M17" s="3741"/>
      <c r="N17" s="3739" t="s">
        <v>1827</v>
      </c>
      <c r="O17" s="3740"/>
      <c r="P17" s="3741"/>
      <c r="R17" s="1825" t="s">
        <v>1828</v>
      </c>
      <c r="S17" s="60"/>
    </row>
    <row r="18" spans="1:19" ht="15">
      <c r="A18" s="1831"/>
      <c r="B18" s="1844"/>
      <c r="C18" s="1845"/>
      <c r="D18" s="1846"/>
      <c r="E18" s="1847" t="s">
        <v>1829</v>
      </c>
      <c r="F18" s="1848" t="s">
        <v>1830</v>
      </c>
      <c r="G18" s="1849" t="s">
        <v>1831</v>
      </c>
      <c r="H18" s="1172" t="s">
        <v>1832</v>
      </c>
      <c r="I18" s="1850" t="s">
        <v>1833</v>
      </c>
      <c r="J18" s="1301"/>
      <c r="K18" s="1172" t="s">
        <v>1834</v>
      </c>
      <c r="L18" s="1851" t="s">
        <v>1835</v>
      </c>
      <c r="M18" s="964" t="s">
        <v>1836</v>
      </c>
      <c r="N18" s="1172" t="s">
        <v>1834</v>
      </c>
      <c r="O18" s="1851" t="s">
        <v>1835</v>
      </c>
      <c r="P18" s="964" t="s">
        <v>1836</v>
      </c>
      <c r="R18" s="1157" t="s">
        <v>1837</v>
      </c>
      <c r="S18" s="1157" t="s">
        <v>1838</v>
      </c>
    </row>
    <row r="19" spans="1:19">
      <c r="A19" s="1852"/>
      <c r="B19" s="50" t="s">
        <v>1811</v>
      </c>
      <c r="C19" s="1853" t="str">
        <f>'数据-基础表'!I10</f>
        <v>商业</v>
      </c>
      <c r="D19" s="48">
        <f>ROUND($D$3*E19/$E$3,2)</f>
        <v>1442.46</v>
      </c>
      <c r="E19" s="56">
        <f t="shared" ref="E19:E26" si="1">SUM(F19:G19)</f>
        <v>198.07</v>
      </c>
      <c r="F19" s="3026">
        <f>'数据-基础表'!I13</f>
        <v>198.07</v>
      </c>
      <c r="G19" s="3027"/>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4"/>
      <c r="O19" s="1855"/>
      <c r="P19" s="1312">
        <f>N19+O19</f>
        <v>0</v>
      </c>
      <c r="R19" s="1157">
        <f t="shared" ref="R19:S26" si="5">D19+H19</f>
        <v>1442.46</v>
      </c>
      <c r="S19" s="1158">
        <f t="shared" si="5"/>
        <v>198.07</v>
      </c>
    </row>
    <row r="20" spans="1:19">
      <c r="A20" s="1856"/>
      <c r="B20" s="50" t="s">
        <v>1839</v>
      </c>
      <c r="C20" s="1853"/>
      <c r="D20" s="48">
        <f t="shared" ref="D20:D26" si="6">ROUND($D$3*E20/$E$3,2)</f>
        <v>0</v>
      </c>
      <c r="E20" s="56">
        <f t="shared" si="1"/>
        <v>0</v>
      </c>
      <c r="F20" s="3026"/>
      <c r="G20" s="3027"/>
      <c r="H20" s="679">
        <f t="shared" ref="H20:H26" si="7">ROUND($D$3*I20/$E$3,2)</f>
        <v>0</v>
      </c>
      <c r="I20" s="51">
        <f t="shared" si="2"/>
        <v>0</v>
      </c>
      <c r="J20" s="1301"/>
      <c r="K20" s="1300">
        <f t="shared" si="3"/>
        <v>0</v>
      </c>
      <c r="L20" s="1157">
        <f t="shared" si="4"/>
        <v>0</v>
      </c>
      <c r="M20" s="1312">
        <f t="shared" ref="M20:M26" si="8">K20+L20</f>
        <v>0</v>
      </c>
      <c r="N20" s="1854"/>
      <c r="O20" s="1855"/>
      <c r="P20" s="1312">
        <f t="shared" ref="P20:P26" si="9">N20+O20</f>
        <v>0</v>
      </c>
      <c r="R20" s="1157">
        <f t="shared" si="5"/>
        <v>0</v>
      </c>
      <c r="S20" s="1158">
        <f t="shared" si="5"/>
        <v>0</v>
      </c>
    </row>
    <row r="21" spans="1:19">
      <c r="A21" s="1856"/>
      <c r="B21" s="50" t="s">
        <v>1839</v>
      </c>
      <c r="C21" s="1853"/>
      <c r="D21" s="48">
        <f t="shared" si="6"/>
        <v>0</v>
      </c>
      <c r="E21" s="56">
        <f t="shared" si="1"/>
        <v>0</v>
      </c>
      <c r="F21" s="3026"/>
      <c r="G21" s="3027"/>
      <c r="H21" s="679">
        <f t="shared" si="7"/>
        <v>0</v>
      </c>
      <c r="I21" s="51">
        <f t="shared" si="2"/>
        <v>0</v>
      </c>
      <c r="J21" s="1301"/>
      <c r="K21" s="1300">
        <f t="shared" si="3"/>
        <v>0</v>
      </c>
      <c r="L21" s="1157">
        <f t="shared" si="4"/>
        <v>0</v>
      </c>
      <c r="M21" s="1312">
        <f t="shared" si="8"/>
        <v>0</v>
      </c>
      <c r="N21" s="1854"/>
      <c r="O21" s="1855"/>
      <c r="P21" s="1312">
        <f t="shared" si="9"/>
        <v>0</v>
      </c>
      <c r="R21" s="1157">
        <f t="shared" si="5"/>
        <v>0</v>
      </c>
      <c r="S21" s="1158">
        <f t="shared" si="5"/>
        <v>0</v>
      </c>
    </row>
    <row r="22" spans="1:19">
      <c r="A22" s="1856"/>
      <c r="B22" s="50" t="s">
        <v>1839</v>
      </c>
      <c r="C22" s="58"/>
      <c r="D22" s="48">
        <f t="shared" si="6"/>
        <v>0</v>
      </c>
      <c r="E22" s="56">
        <f t="shared" si="1"/>
        <v>0</v>
      </c>
      <c r="F22" s="3028"/>
      <c r="G22" s="3029"/>
      <c r="H22" s="679">
        <f t="shared" si="7"/>
        <v>0</v>
      </c>
      <c r="I22" s="51">
        <f t="shared" si="2"/>
        <v>0</v>
      </c>
      <c r="J22" s="1301"/>
      <c r="K22" s="1300">
        <f t="shared" si="3"/>
        <v>0</v>
      </c>
      <c r="L22" s="1157">
        <f t="shared" si="4"/>
        <v>0</v>
      </c>
      <c r="M22" s="1312">
        <f t="shared" si="8"/>
        <v>0</v>
      </c>
      <c r="N22" s="1854"/>
      <c r="O22" s="1855"/>
      <c r="P22" s="1312">
        <f t="shared" si="9"/>
        <v>0</v>
      </c>
      <c r="R22" s="1157">
        <f t="shared" si="5"/>
        <v>0</v>
      </c>
      <c r="S22" s="1158">
        <f t="shared" si="5"/>
        <v>0</v>
      </c>
    </row>
    <row r="23" spans="1:19">
      <c r="A23" s="1856"/>
      <c r="B23" s="50" t="s">
        <v>1839</v>
      </c>
      <c r="C23" s="58"/>
      <c r="D23" s="48">
        <f>ROUND($D$3*E23/$E$3,2)</f>
        <v>0</v>
      </c>
      <c r="E23" s="56">
        <f>SUM(F23:G23)</f>
        <v>0</v>
      </c>
      <c r="F23" s="3028"/>
      <c r="G23" s="3029"/>
      <c r="H23" s="679">
        <f>ROUND($D$3*I23/$E$3,2)</f>
        <v>0</v>
      </c>
      <c r="I23" s="51">
        <f t="shared" si="2"/>
        <v>0</v>
      </c>
      <c r="J23" s="1301"/>
      <c r="K23" s="1300">
        <f t="shared" si="3"/>
        <v>0</v>
      </c>
      <c r="L23" s="1157">
        <f t="shared" si="4"/>
        <v>0</v>
      </c>
      <c r="M23" s="1312">
        <f t="shared" si="8"/>
        <v>0</v>
      </c>
      <c r="N23" s="1854"/>
      <c r="O23" s="1855"/>
      <c r="P23" s="1312">
        <f t="shared" si="9"/>
        <v>0</v>
      </c>
      <c r="R23" s="1157">
        <f t="shared" si="5"/>
        <v>0</v>
      </c>
      <c r="S23" s="1158">
        <f t="shared" si="5"/>
        <v>0</v>
      </c>
    </row>
    <row r="24" spans="1:19">
      <c r="A24" s="1856"/>
      <c r="B24" s="50" t="s">
        <v>1839</v>
      </c>
      <c r="C24" s="58"/>
      <c r="D24" s="48">
        <f>ROUND($D$3*E24/$E$3,2)</f>
        <v>0</v>
      </c>
      <c r="E24" s="56">
        <f>SUM(F24:G24)</f>
        <v>0</v>
      </c>
      <c r="F24" s="3028"/>
      <c r="G24" s="3029"/>
      <c r="H24" s="679">
        <f>ROUND($D$3*I24/$E$3,2)</f>
        <v>0</v>
      </c>
      <c r="I24" s="51">
        <f t="shared" si="2"/>
        <v>0</v>
      </c>
      <c r="J24" s="1301"/>
      <c r="K24" s="1300">
        <f t="shared" si="3"/>
        <v>0</v>
      </c>
      <c r="L24" s="1157">
        <f t="shared" si="4"/>
        <v>0</v>
      </c>
      <c r="M24" s="1312">
        <f t="shared" si="8"/>
        <v>0</v>
      </c>
      <c r="N24" s="1854"/>
      <c r="O24" s="1855"/>
      <c r="P24" s="1312">
        <f t="shared" si="9"/>
        <v>0</v>
      </c>
      <c r="R24" s="1157">
        <f t="shared" si="5"/>
        <v>0</v>
      </c>
      <c r="S24" s="1158">
        <f t="shared" si="5"/>
        <v>0</v>
      </c>
    </row>
    <row r="25" spans="1:19">
      <c r="A25" s="1856"/>
      <c r="B25" s="50" t="s">
        <v>1839</v>
      </c>
      <c r="C25" s="58"/>
      <c r="D25" s="48">
        <f t="shared" si="6"/>
        <v>0</v>
      </c>
      <c r="E25" s="56">
        <f t="shared" si="1"/>
        <v>0</v>
      </c>
      <c r="F25" s="3028"/>
      <c r="G25" s="3029"/>
      <c r="H25" s="47">
        <f t="shared" si="7"/>
        <v>0</v>
      </c>
      <c r="I25" s="51">
        <f t="shared" si="2"/>
        <v>0</v>
      </c>
      <c r="J25" s="1301"/>
      <c r="K25" s="1300">
        <f t="shared" si="3"/>
        <v>0</v>
      </c>
      <c r="L25" s="1157">
        <f t="shared" si="4"/>
        <v>0</v>
      </c>
      <c r="M25" s="1312">
        <f t="shared" si="8"/>
        <v>0</v>
      </c>
      <c r="N25" s="1854"/>
      <c r="O25" s="1855"/>
      <c r="P25" s="1312">
        <f t="shared" si="9"/>
        <v>0</v>
      </c>
      <c r="R25" s="1157">
        <f t="shared" si="5"/>
        <v>0</v>
      </c>
      <c r="S25" s="1158">
        <f t="shared" si="5"/>
        <v>0</v>
      </c>
    </row>
    <row r="26" spans="1:19">
      <c r="A26" s="1856"/>
      <c r="B26" s="50" t="s">
        <v>1839</v>
      </c>
      <c r="C26" s="59"/>
      <c r="D26" s="48">
        <f t="shared" si="6"/>
        <v>0</v>
      </c>
      <c r="E26" s="56">
        <f t="shared" si="1"/>
        <v>0</v>
      </c>
      <c r="F26" s="3028"/>
      <c r="G26" s="3029"/>
      <c r="H26" s="47">
        <f t="shared" si="7"/>
        <v>0</v>
      </c>
      <c r="I26" s="51">
        <f t="shared" si="2"/>
        <v>0</v>
      </c>
      <c r="J26" s="1301"/>
      <c r="K26" s="1307">
        <f t="shared" si="3"/>
        <v>0</v>
      </c>
      <c r="L26" s="1308">
        <f t="shared" si="4"/>
        <v>0</v>
      </c>
      <c r="M26" s="63">
        <f t="shared" si="8"/>
        <v>0</v>
      </c>
      <c r="N26" s="1857"/>
      <c r="O26" s="1858"/>
      <c r="P26" s="63">
        <f t="shared" si="9"/>
        <v>0</v>
      </c>
      <c r="R26" s="1157">
        <f t="shared" si="5"/>
        <v>0</v>
      </c>
      <c r="S26" s="1158">
        <f t="shared" si="5"/>
        <v>0</v>
      </c>
    </row>
    <row r="27" spans="1:19" ht="15.75" thickBot="1">
      <c r="A27" s="1856"/>
      <c r="B27" s="48"/>
      <c r="C27" s="1859" t="s">
        <v>1840</v>
      </c>
      <c r="D27" s="1302">
        <f>SUM(D19:D26)</f>
        <v>1442.46</v>
      </c>
      <c r="E27" s="1303">
        <f>IF(SUM(E19:E26)='数据-基础表'!BA5,SUM(E19:E26),IF(F27="地上面积有误","面积有误","地下面积有误"))</f>
        <v>198.07</v>
      </c>
      <c r="F27" s="1302">
        <f>IF(SUM(F19:F26)=E8,SUM(F19:F26),"地上面积有误")</f>
        <v>198.07</v>
      </c>
      <c r="G27" s="1304">
        <f>SUM(G19:G26)</f>
        <v>0</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1442.46</v>
      </c>
      <c r="S27" s="1157">
        <f>IF(SUM(S19:S26)=$E$3,SUM(S19:S26),SUM(S19:S26)&amp;"误差"&amp;ROUND(SUM(S19:S26)-E3,2))</f>
        <v>198.07</v>
      </c>
    </row>
    <row r="28" spans="1:19">
      <c r="A28" s="1856"/>
      <c r="B28" s="50" t="s">
        <v>1841</v>
      </c>
      <c r="C28" s="1169" t="s">
        <v>1842</v>
      </c>
      <c r="D28" s="48">
        <f>ROUND($D$3*E28/$E$3,2)</f>
        <v>0</v>
      </c>
      <c r="E28" s="56">
        <f>SUM(F28:G28)</f>
        <v>0</v>
      </c>
      <c r="F28" s="60">
        <f>'数据-基础表'!BQ5+'数据-基础表'!BS5</f>
        <v>0</v>
      </c>
      <c r="G28" s="61">
        <f>'数据-基础表'!BR5+'数据-基础表'!BT5</f>
        <v>0</v>
      </c>
      <c r="H28" s="2886"/>
      <c r="I28" s="2886"/>
      <c r="J28" s="2886"/>
      <c r="K28" s="2886"/>
      <c r="L28" s="2886"/>
      <c r="M28" s="2886"/>
      <c r="N28" s="2886"/>
      <c r="O28" s="2886"/>
      <c r="P28" s="2886"/>
    </row>
    <row r="29" spans="1:19">
      <c r="A29" s="1856"/>
      <c r="B29" s="50" t="s">
        <v>1841</v>
      </c>
      <c r="C29" s="1860" t="s">
        <v>1843</v>
      </c>
      <c r="D29" s="48">
        <f>ROUND($D$3*E29/$E$3,2)</f>
        <v>0</v>
      </c>
      <c r="E29" s="56">
        <f>SUM(F29:G29)</f>
        <v>0</v>
      </c>
      <c r="F29" s="62">
        <f>'数据-基础表'!BM5+'数据-基础表'!BO5</f>
        <v>0</v>
      </c>
      <c r="G29" s="63">
        <f>'数据-基础表'!BN5+'数据-基础表'!BP5</f>
        <v>0</v>
      </c>
      <c r="H29" s="2886"/>
      <c r="I29" s="2886"/>
      <c r="J29" s="2886"/>
      <c r="K29" s="2886"/>
      <c r="L29" s="2886"/>
      <c r="M29" s="2886"/>
      <c r="N29" s="2886"/>
      <c r="O29" s="2886"/>
      <c r="P29" s="2886"/>
    </row>
    <row r="30" spans="1:19" ht="15">
      <c r="A30" s="1856"/>
      <c r="B30" s="50"/>
      <c r="C30" s="1861" t="s">
        <v>1840</v>
      </c>
      <c r="D30" s="1302">
        <f>SUM(D28:D29)</f>
        <v>0</v>
      </c>
      <c r="E30" s="1302">
        <f>SUM(E28:E29)</f>
        <v>0</v>
      </c>
      <c r="F30" s="1302">
        <f>SUM(F28:F29)</f>
        <v>0</v>
      </c>
      <c r="G30" s="1304">
        <f>SUM(G28:G29)</f>
        <v>0</v>
      </c>
      <c r="H30" s="2886"/>
      <c r="I30" s="2886"/>
      <c r="J30" s="2886"/>
      <c r="K30" s="2886"/>
      <c r="L30" s="2886"/>
      <c r="M30" s="2886"/>
      <c r="N30" s="2886"/>
      <c r="O30" s="2886"/>
      <c r="P30" s="2886"/>
    </row>
    <row r="31" spans="1:19" ht="15.75" thickBot="1">
      <c r="A31" s="1862"/>
      <c r="B31" s="1863"/>
      <c r="C31" s="944" t="s">
        <v>1844</v>
      </c>
      <c r="D31" s="685">
        <f>D27+D30</f>
        <v>1442.46</v>
      </c>
      <c r="E31" s="685">
        <f>E27+E30</f>
        <v>198.07</v>
      </c>
      <c r="F31" s="686">
        <f>F27+F30</f>
        <v>198.07</v>
      </c>
      <c r="G31" s="687">
        <f>G27+G30</f>
        <v>0</v>
      </c>
      <c r="H31" s="2886"/>
      <c r="I31" s="2886"/>
      <c r="J31" s="2886"/>
      <c r="K31" s="2886"/>
      <c r="L31" s="2886"/>
      <c r="M31" s="2886"/>
      <c r="N31" s="2886"/>
      <c r="O31" s="2886"/>
      <c r="P31" s="2886"/>
    </row>
    <row r="32" spans="1:19">
      <c r="A32" s="1828"/>
      <c r="B32" s="1828" t="s">
        <v>1845</v>
      </c>
      <c r="C32" s="1828"/>
      <c r="D32" s="1828"/>
      <c r="E32" s="1184">
        <f>SUMIF(C19:C26,"*住宅*",E19:E26)</f>
        <v>0</v>
      </c>
      <c r="F32" s="1828"/>
      <c r="G32" s="1828"/>
      <c r="H32" s="2886"/>
      <c r="I32" s="2886"/>
      <c r="J32" s="2886"/>
      <c r="K32" s="2886"/>
      <c r="L32" s="2886"/>
      <c r="M32" s="2886"/>
      <c r="N32" s="2886"/>
      <c r="O32" s="2886"/>
      <c r="P32" s="2886"/>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6" priority="1" stopIfTrue="1" operator="containsText" text="面积有误">
      <formula>NOT(ISERROR(SEARCH("面积有误",E27)))</formula>
    </cfRule>
    <cfRule type="cellIs" dxfId="195" priority="3" stopIfTrue="1" operator="equal">
      <formula>"地下面积有误"</formula>
    </cfRule>
  </conditionalFormatting>
  <conditionalFormatting sqref="F27">
    <cfRule type="cellIs" dxfId="194"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A9" sqref="A9"/>
    </sheetView>
  </sheetViews>
  <sheetFormatPr defaultColWidth="13.625" defaultRowHeight="12.75"/>
  <cols>
    <col min="1" max="1" width="20.875" style="1931" customWidth="1"/>
    <col min="2" max="2" width="12" style="1868" customWidth="1"/>
    <col min="3" max="3" width="12.62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8.875" style="1868" customWidth="1"/>
    <col min="22" max="22" width="6.375" style="1868" customWidth="1"/>
    <col min="23" max="25" width="6.625" style="1868" customWidth="1"/>
    <col min="26" max="26" width="8.375" style="1868" customWidth="1"/>
    <col min="27" max="30" width="6.625" style="1868" customWidth="1"/>
    <col min="31" max="31" width="8" style="1868" customWidth="1"/>
    <col min="32" max="34" width="7.125" style="1868" customWidth="1"/>
    <col min="35" max="39" width="8" style="1868" customWidth="1"/>
    <col min="40" max="40" width="13.625" style="1867"/>
    <col min="41" max="41" width="11.625" style="1867" customWidth="1"/>
    <col min="42" max="42" width="9.625" style="1867" customWidth="1"/>
    <col min="43" max="67" width="13.625" style="1867"/>
    <col min="68" max="16384" width="13.625" style="1868"/>
  </cols>
  <sheetData>
    <row r="1" spans="1:67" ht="19.5" thickBot="1">
      <c r="A1" s="1865" t="s">
        <v>1846</v>
      </c>
      <c r="B1" s="688"/>
      <c r="C1" s="1353"/>
      <c r="D1" s="1866"/>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0"/>
      <c r="AO1" s="2900"/>
      <c r="AP1" s="2900"/>
      <c r="AQ1" s="2900"/>
      <c r="AR1" s="2900"/>
    </row>
    <row r="2" spans="1:67" s="1744" customFormat="1" ht="15.75" thickBot="1">
      <c r="A2" s="1869" t="s">
        <v>1847</v>
      </c>
      <c r="B2" s="1176">
        <f>项目基本情况!D3</f>
        <v>44357</v>
      </c>
      <c r="C2" s="1870"/>
      <c r="D2" s="1871"/>
      <c r="E2" s="1870"/>
      <c r="F2" s="1870"/>
      <c r="G2" s="1870"/>
      <c r="H2" s="1870"/>
      <c r="I2" s="1870"/>
      <c r="J2" s="1870"/>
      <c r="K2" s="1330"/>
      <c r="L2" s="1330"/>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902"/>
      <c r="AO2" s="2902"/>
      <c r="AP2" s="2902"/>
      <c r="AQ2" s="2902"/>
      <c r="AR2" s="2902"/>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30"/>
      <c r="L3" s="1330"/>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902"/>
      <c r="AO3" s="2902"/>
      <c r="AP3" s="2902"/>
      <c r="AQ3" s="2902"/>
      <c r="AR3" s="2902"/>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5"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902"/>
      <c r="AO4" s="2902"/>
      <c r="AP4" s="2902"/>
      <c r="AQ4" s="2902"/>
      <c r="AR4" s="2902"/>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8" t="s">
        <v>1858</v>
      </c>
      <c r="F5" s="1885" t="s">
        <v>1859</v>
      </c>
      <c r="G5" s="1178" t="s">
        <v>1860</v>
      </c>
      <c r="H5" s="1178" t="s">
        <v>1861</v>
      </c>
      <c r="I5" s="1178" t="s">
        <v>1862</v>
      </c>
      <c r="J5" s="1886" t="s">
        <v>1863</v>
      </c>
      <c r="K5" s="1887" t="s">
        <v>1864</v>
      </c>
      <c r="L5" s="1888" t="s">
        <v>1865</v>
      </c>
      <c r="M5" s="1889" t="s">
        <v>1866</v>
      </c>
      <c r="N5" s="1890" t="s">
        <v>3077</v>
      </c>
      <c r="O5" s="1888" t="s">
        <v>1867</v>
      </c>
      <c r="P5" s="1891" t="s">
        <v>1868</v>
      </c>
      <c r="Q5" s="65" t="s">
        <v>1869</v>
      </c>
      <c r="R5" s="1892" t="s">
        <v>1870</v>
      </c>
      <c r="S5" s="1893" t="s">
        <v>1871</v>
      </c>
      <c r="T5" s="1894" t="s">
        <v>1872</v>
      </c>
      <c r="U5" s="1177" t="s">
        <v>1873</v>
      </c>
      <c r="V5" s="1178" t="s">
        <v>1874</v>
      </c>
      <c r="W5" s="1178" t="s">
        <v>1875</v>
      </c>
      <c r="X5" s="67"/>
      <c r="Y5" s="66" t="s">
        <v>1876</v>
      </c>
      <c r="Z5" s="1895" t="s">
        <v>1873</v>
      </c>
      <c r="AA5" s="1178" t="s">
        <v>1874</v>
      </c>
      <c r="AB5" s="1178" t="s">
        <v>1875</v>
      </c>
      <c r="AC5" s="67"/>
      <c r="AD5" s="67" t="s">
        <v>1876</v>
      </c>
      <c r="AE5" s="1177" t="s">
        <v>1877</v>
      </c>
      <c r="AF5" s="1178" t="s">
        <v>1878</v>
      </c>
      <c r="AG5" s="66" t="s">
        <v>1879</v>
      </c>
      <c r="AH5" s="1177" t="s">
        <v>1880</v>
      </c>
      <c r="AI5" s="1895" t="s">
        <v>1881</v>
      </c>
      <c r="AJ5" s="1895" t="s">
        <v>1882</v>
      </c>
      <c r="AK5" s="1178" t="s">
        <v>1883</v>
      </c>
      <c r="AL5" s="1178" t="s">
        <v>1884</v>
      </c>
      <c r="AM5" s="66" t="s">
        <v>1885</v>
      </c>
      <c r="AN5" s="1896" t="s">
        <v>1886</v>
      </c>
      <c r="AO5" s="1747" t="s">
        <v>1887</v>
      </c>
      <c r="AP5" s="1159"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商业</v>
      </c>
      <c r="B6" s="1899" t="str">
        <f>IF(A6=0,"","经营性")</f>
        <v>经营性</v>
      </c>
      <c r="C6" s="1900" t="s">
        <v>1343</v>
      </c>
      <c r="D6" s="967">
        <f>SUMIF(项目基本情况!D$12:I$12,C6,项目基本情况!D$14:I$14)</f>
        <v>40</v>
      </c>
      <c r="E6" s="966">
        <f>IF(B6="","",SUMIF(项目基本情况!D$12:I$12,C6,项目基本情况!D$13:I$13))</f>
        <v>58986</v>
      </c>
      <c r="F6" s="68">
        <f>SUMIF(项目基本情况!D$12:I$12,C6,项目基本情况!D$15:I$15)</f>
        <v>40</v>
      </c>
      <c r="G6" s="69">
        <f>IF(ISERROR(ROUND(POWER(1+H6,D6-F6)*(POWER(1+H6,F6)-1)/(POWER(1+H6,D6)-1),3)),0,ROUND(POWER(1+H6,D6-F6)*(POWER(1+H6,F6)-1)/(POWER(1+H6,D6)-1),3))</f>
        <v>1</v>
      </c>
      <c r="H6" s="741">
        <v>6.5000000000000002E-2</v>
      </c>
      <c r="I6" s="741">
        <v>7.0000000000000007E-2</v>
      </c>
      <c r="J6" s="70">
        <v>0.08</v>
      </c>
      <c r="K6" s="1161">
        <f>SUMIF('数据-汇总表'!C$19:C$33,A6,'数据-汇总表'!E$19:E$33)</f>
        <v>198.07</v>
      </c>
      <c r="L6" s="742">
        <v>2500</v>
      </c>
      <c r="M6" s="71">
        <f t="shared" ref="M6:M14" si="0">ROUND(K6*L6/10000,0)</f>
        <v>50</v>
      </c>
      <c r="N6" s="740">
        <v>0.82</v>
      </c>
      <c r="O6" s="71" t="str">
        <f>IF($N$5="成新度","——",ROUND(M6*N6,0))</f>
        <v>——</v>
      </c>
      <c r="P6" s="72" t="str">
        <f>IF($N$5="成新度","——",M6-O6)</f>
        <v>——</v>
      </c>
      <c r="Q6" s="743">
        <v>0.05</v>
      </c>
      <c r="R6" s="73">
        <f ca="1">SUMIF('数据-汇总表'!C$19:C$33,A6,'数据-汇总表'!R$19:R$27)</f>
        <v>1442.46</v>
      </c>
      <c r="S6" s="54">
        <f>IF('数据-汇总表'!$I$17="按面积比例",SUMIF('数据-汇总表'!C$19:C$33,A6,'数据-汇总表'!K$19:K$33),SUMIF('数据-汇总表'!C$19:C$33,A6,'数据-汇总表'!N$19:N$33))</f>
        <v>0</v>
      </c>
      <c r="T6" s="1334">
        <f>ROUND($L$14*S6/10000,0)</f>
        <v>0</v>
      </c>
      <c r="U6" s="74">
        <f>Sheet1!B49</f>
        <v>738704</v>
      </c>
      <c r="V6" s="75">
        <v>0</v>
      </c>
      <c r="W6" s="75">
        <v>0</v>
      </c>
      <c r="X6" s="1171"/>
      <c r="Y6" s="76">
        <f>N6</f>
        <v>0.82</v>
      </c>
      <c r="Z6" s="77">
        <f>U6</f>
        <v>738704</v>
      </c>
      <c r="AA6" s="70">
        <v>0</v>
      </c>
      <c r="AB6" s="70">
        <v>0.15</v>
      </c>
      <c r="AC6" s="1171"/>
      <c r="AD6" s="78">
        <f>Y6</f>
        <v>0.82</v>
      </c>
      <c r="AE6" s="1172">
        <f ca="1">IF(AN6="",0,SUMIF(INDIRECT("'"&amp;AN6&amp;"'"&amp;"!E:E"),$AE$5,INDIRECT("'"&amp;AN6&amp;"'"&amp;"!F:F")))</f>
        <v>40</v>
      </c>
      <c r="AF6" s="1532"/>
      <c r="AG6" s="143">
        <f>IF(AF6="",0,AE6-AF6)</f>
        <v>0</v>
      </c>
      <c r="AH6" s="79">
        <v>1</v>
      </c>
      <c r="AI6" s="81">
        <v>1</v>
      </c>
      <c r="AJ6" s="82"/>
      <c r="AK6" s="83">
        <v>1.4999999999999999E-2</v>
      </c>
      <c r="AL6" s="84">
        <v>1.5E-3</v>
      </c>
      <c r="AM6" s="85">
        <v>0.01</v>
      </c>
      <c r="AN6" s="1901" t="s">
        <v>3081</v>
      </c>
      <c r="AO6" s="55">
        <f ca="1">SUMIF(INDIRECT("'"&amp;AN6&amp;"'"&amp;"!A:A"),"总价",INDIRECT("'"&amp;AN6&amp;"'"&amp;"!B:B"))</f>
        <v>884</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f>'数据-汇总表'!C20</f>
        <v>0</v>
      </c>
      <c r="B7" s="1899" t="str">
        <f t="shared" ref="B7:B13" si="1">IF(A7=0,"","经营性")</f>
        <v/>
      </c>
      <c r="C7" s="190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2"/>
      <c r="AG7" s="143">
        <f t="shared" ref="AG7:AG13" si="7">IF(AF7="",0,AE7-AF7)</f>
        <v>0</v>
      </c>
      <c r="AH7" s="79"/>
      <c r="AI7" s="81"/>
      <c r="AJ7" s="82"/>
      <c r="AK7" s="83"/>
      <c r="AL7" s="84"/>
      <c r="AM7" s="85"/>
      <c r="AN7" s="1901"/>
      <c r="AO7" s="55" t="e">
        <f t="shared" ref="AO7:AO13" ca="1" si="8">SUMIF(INDIRECT("'"&amp;AN7&amp;"'"&amp;"!A:A"),"总价",INDIRECT("'"&amp;AN7&amp;"'"&amp;"!B:B"))</f>
        <v>#REF!</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2"/>
      <c r="AG8" s="143">
        <f t="shared" si="7"/>
        <v>0</v>
      </c>
      <c r="AH8" s="747"/>
      <c r="AI8" s="81"/>
      <c r="AJ8" s="82"/>
      <c r="AK8" s="748"/>
      <c r="AL8" s="749"/>
      <c r="AM8" s="750"/>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1"/>
      <c r="AJ14" s="713"/>
      <c r="AK14" s="1173"/>
      <c r="AL14" s="1174"/>
      <c r="AM14" s="1175"/>
      <c r="AN14" s="2900"/>
      <c r="AO14" s="2902"/>
      <c r="AP14" s="2902"/>
      <c r="AQ14" s="2902"/>
      <c r="AR14" s="2902"/>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1"/>
      <c r="AJ15" s="713"/>
      <c r="AK15" s="1173"/>
      <c r="AL15" s="1174"/>
      <c r="AM15" s="1175"/>
      <c r="AN15" s="2900"/>
      <c r="AO15" s="2902"/>
      <c r="AP15" s="2902"/>
      <c r="AQ15" s="2902"/>
      <c r="AR15" s="2902"/>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2"/>
      <c r="D16" s="1906"/>
      <c r="E16" s="93"/>
      <c r="F16" s="93"/>
      <c r="G16" s="94">
        <f>ROUND(SUMPRODUCT(G6:G13,K6:K13)/SUMPRODUCT((G6:G13&gt;0)*(K6:K13)),3)</f>
        <v>1</v>
      </c>
      <c r="H16" s="95">
        <f>ROUND(SUMPRODUCT(H6:H13,K6:K13)/SUMPRODUCT((H6:H13&gt;0)*(K6:K13)),3)</f>
        <v>6.5000000000000002E-2</v>
      </c>
      <c r="I16" s="96"/>
      <c r="J16" s="96"/>
      <c r="K16" s="97">
        <f>SUM(K6:K15)</f>
        <v>198.07</v>
      </c>
      <c r="L16" s="98">
        <f>ROUND(M16*10000/SUM(K6:K14),0)</f>
        <v>2524</v>
      </c>
      <c r="M16" s="98">
        <f>SUM(M6:M14)</f>
        <v>50</v>
      </c>
      <c r="N16" s="99">
        <f>ROUND(SUMPRODUCT(M6:M14,N6:N14)/M16,3)</f>
        <v>0.82</v>
      </c>
      <c r="O16" s="98">
        <f>SUM(O6:O14)</f>
        <v>0</v>
      </c>
      <c r="P16" s="98">
        <f>SUM(P6:P14)</f>
        <v>0</v>
      </c>
      <c r="Q16" s="100">
        <f>ROUND(SUMPRODUCT(Q6:Q13,K6:K13)/SUMPRODUCT((Q6:Q13&gt;0)*(K6:K13)),2)</f>
        <v>0.05</v>
      </c>
      <c r="R16" s="1165">
        <f ca="1">SUM(R6:R13)</f>
        <v>1442.46</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0"/>
      <c r="AO16" s="2902"/>
      <c r="AP16" s="2902"/>
      <c r="AQ16" s="2902"/>
      <c r="AR16" s="2902"/>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11"/>
      <c r="C17" s="2900"/>
      <c r="D17" s="2904"/>
      <c r="E17" s="2904"/>
      <c r="F17" s="2900"/>
      <c r="G17" s="2900"/>
      <c r="H17" s="2900"/>
      <c r="I17" s="2900"/>
      <c r="J17" s="2900"/>
      <c r="K17" s="2901"/>
      <c r="L17" s="2901"/>
      <c r="M17" s="2900"/>
      <c r="N17" s="2900"/>
      <c r="O17" s="2900"/>
      <c r="P17" s="2900"/>
      <c r="Q17" s="2900"/>
      <c r="R17" s="2900"/>
      <c r="S17" s="2900"/>
      <c r="T17" s="2900"/>
      <c r="U17" s="2900"/>
      <c r="V17" s="2900"/>
      <c r="W17" s="2900"/>
      <c r="X17" s="2900"/>
      <c r="Y17" s="2900"/>
      <c r="Z17" s="2900"/>
      <c r="AA17" s="2900"/>
      <c r="AB17" s="2900"/>
      <c r="AC17" s="2900"/>
      <c r="AD17" s="2900"/>
      <c r="AE17" s="2900"/>
      <c r="AF17" s="2900"/>
      <c r="AG17" s="2900"/>
      <c r="AH17" s="2900"/>
      <c r="AI17" s="2900"/>
      <c r="AJ17" s="2900"/>
      <c r="AK17" s="2900"/>
      <c r="AL17" s="2900"/>
      <c r="AM17" s="2900"/>
      <c r="AN17" s="2900"/>
      <c r="AO17" s="2900"/>
      <c r="AP17" s="2900"/>
      <c r="AQ17" s="2900"/>
      <c r="AR17" s="2900"/>
    </row>
    <row r="18" spans="1:67" ht="15" thickBot="1">
      <c r="A18" s="64" t="s">
        <v>1896</v>
      </c>
      <c r="B18" s="2914"/>
      <c r="C18" s="2902"/>
      <c r="D18" s="2905"/>
      <c r="E18" s="2902"/>
      <c r="F18" s="2902"/>
      <c r="G18" s="2902"/>
      <c r="H18" s="2902"/>
      <c r="I18" s="2902"/>
      <c r="J18" s="2902"/>
      <c r="K18" s="2901"/>
      <c r="L18" s="2901"/>
      <c r="M18" s="2900"/>
      <c r="N18" s="2900"/>
      <c r="O18" s="2900"/>
      <c r="P18" s="2900"/>
      <c r="Q18" s="2900"/>
      <c r="R18" s="2900"/>
      <c r="S18" s="2900"/>
      <c r="T18" s="2900"/>
      <c r="U18" s="2900"/>
      <c r="V18" s="2900"/>
      <c r="W18" s="2900"/>
      <c r="X18" s="2900"/>
      <c r="Y18" s="2900"/>
      <c r="Z18" s="2900"/>
      <c r="AA18" s="2900"/>
      <c r="AB18" s="2900"/>
      <c r="AC18" s="2900"/>
      <c r="AD18" s="2900"/>
      <c r="AE18" s="2900"/>
      <c r="AF18" s="2900"/>
      <c r="AG18" s="2900"/>
      <c r="AH18" s="2900"/>
      <c r="AI18" s="2900"/>
      <c r="AJ18" s="2900"/>
      <c r="AK18" s="2900"/>
      <c r="AL18" s="2900"/>
      <c r="AM18" s="2900"/>
      <c r="AN18" s="2900"/>
      <c r="AO18" s="2900"/>
      <c r="AP18" s="2900"/>
      <c r="AQ18" s="2900"/>
      <c r="AR18" s="2900"/>
    </row>
    <row r="19" spans="1:67" ht="14.25">
      <c r="A19" s="1908" t="s">
        <v>1897</v>
      </c>
      <c r="B19" s="108">
        <v>0.5</v>
      </c>
      <c r="C19" s="3030" t="s">
        <v>3052</v>
      </c>
      <c r="D19" s="2905"/>
      <c r="E19" s="2902"/>
      <c r="F19" s="2902"/>
      <c r="G19" s="2902"/>
      <c r="H19" s="2902"/>
      <c r="I19" s="2902"/>
      <c r="J19" s="2902"/>
      <c r="K19" s="2901"/>
      <c r="L19" s="2901"/>
      <c r="M19" s="2900"/>
      <c r="N19" s="2900"/>
      <c r="O19" s="2900"/>
      <c r="P19" s="2900"/>
      <c r="Q19" s="2900"/>
      <c r="R19" s="2900"/>
      <c r="S19" s="2900"/>
      <c r="T19" s="2900"/>
      <c r="U19" s="2900"/>
      <c r="V19" s="2900"/>
      <c r="W19" s="2900"/>
      <c r="X19" s="2900"/>
      <c r="Y19" s="2900"/>
      <c r="Z19" s="2900"/>
      <c r="AA19" s="2900"/>
      <c r="AB19" s="2900"/>
      <c r="AC19" s="2900"/>
      <c r="AD19" s="2900"/>
      <c r="AE19" s="2900"/>
      <c r="AF19" s="2900"/>
      <c r="AG19" s="2900"/>
      <c r="AH19" s="2900"/>
      <c r="AI19" s="2900"/>
      <c r="AJ19" s="2900"/>
      <c r="AK19" s="2900"/>
      <c r="AL19" s="2900"/>
      <c r="AM19" s="2900"/>
      <c r="AN19" s="2900"/>
      <c r="AO19" s="2900"/>
      <c r="AP19" s="2900"/>
      <c r="AQ19" s="2900"/>
      <c r="AR19" s="2900"/>
    </row>
    <row r="20" spans="1:67" ht="14.25">
      <c r="A20" s="1909" t="s">
        <v>1898</v>
      </c>
      <c r="B20" s="109">
        <v>1</v>
      </c>
      <c r="C20" s="3031" t="s">
        <v>3050</v>
      </c>
      <c r="D20" s="2905"/>
      <c r="E20" s="2902"/>
      <c r="F20" s="2902"/>
      <c r="G20" s="2902"/>
      <c r="H20" s="2902"/>
      <c r="I20" s="2902"/>
      <c r="J20" s="2902"/>
      <c r="K20" s="2901"/>
      <c r="L20" s="2901"/>
      <c r="M20" s="2900"/>
      <c r="N20" s="2900"/>
      <c r="O20" s="2900"/>
      <c r="P20" s="2900"/>
      <c r="Q20" s="2900"/>
      <c r="R20" s="2900"/>
      <c r="S20" s="2900"/>
      <c r="T20" s="2900"/>
      <c r="U20" s="2900"/>
      <c r="V20" s="2900"/>
      <c r="W20" s="2900"/>
      <c r="X20" s="2900"/>
      <c r="Y20" s="2900"/>
      <c r="Z20" s="2900"/>
      <c r="AA20" s="2900"/>
      <c r="AB20" s="2900"/>
      <c r="AC20" s="2900"/>
      <c r="AD20" s="2900"/>
      <c r="AE20" s="2900"/>
      <c r="AF20" s="2900"/>
      <c r="AG20" s="2900"/>
      <c r="AH20" s="2900"/>
      <c r="AI20" s="2900"/>
      <c r="AJ20" s="2900"/>
      <c r="AK20" s="2900"/>
      <c r="AL20" s="2900"/>
      <c r="AM20" s="2900"/>
      <c r="AN20" s="2900"/>
      <c r="AO20" s="2900"/>
      <c r="AP20" s="2900"/>
      <c r="AQ20" s="2900"/>
      <c r="AR20" s="2900"/>
    </row>
    <row r="21" spans="1:67" ht="14.25">
      <c r="A21" s="1910" t="s">
        <v>1899</v>
      </c>
      <c r="B21" s="109">
        <v>1</v>
      </c>
      <c r="C21" s="2902"/>
      <c r="D21" s="2905"/>
      <c r="E21" s="2902"/>
      <c r="F21" s="2902"/>
      <c r="G21" s="2902"/>
      <c r="H21" s="2902"/>
      <c r="I21" s="2902"/>
      <c r="J21" s="2902"/>
      <c r="K21" s="2901"/>
      <c r="L21" s="2901"/>
      <c r="M21" s="2900"/>
      <c r="N21" s="2900"/>
      <c r="O21" s="2900"/>
      <c r="P21" s="2900"/>
      <c r="Q21" s="2900"/>
      <c r="R21" s="2900"/>
      <c r="S21" s="2900"/>
      <c r="T21" s="2900"/>
      <c r="U21" s="2900"/>
      <c r="V21" s="2900"/>
      <c r="W21" s="2900"/>
      <c r="X21" s="2900"/>
      <c r="Y21" s="2900"/>
      <c r="Z21" s="2900"/>
      <c r="AA21" s="2900"/>
      <c r="AB21" s="2900"/>
      <c r="AC21" s="2900"/>
      <c r="AD21" s="2900"/>
      <c r="AE21" s="2900"/>
      <c r="AF21" s="2900"/>
      <c r="AG21" s="2900"/>
      <c r="AH21" s="2900"/>
      <c r="AI21" s="2900"/>
      <c r="AJ21" s="2900"/>
      <c r="AK21" s="2900"/>
      <c r="AL21" s="2900"/>
      <c r="AM21" s="2900"/>
      <c r="AN21" s="2900"/>
      <c r="AO21" s="2900"/>
      <c r="AP21" s="2900"/>
      <c r="AQ21" s="2900"/>
      <c r="AR21" s="2900"/>
    </row>
    <row r="22" spans="1:67" ht="14.25">
      <c r="A22" s="1909" t="s">
        <v>1900</v>
      </c>
      <c r="B22" s="110">
        <f>B19+B20</f>
        <v>1.5</v>
      </c>
      <c r="C22" s="2902"/>
      <c r="D22" s="2905"/>
      <c r="E22" s="2902"/>
      <c r="F22" s="2902"/>
      <c r="G22" s="2902"/>
      <c r="H22" s="2902"/>
      <c r="I22" s="2902"/>
      <c r="J22" s="2902"/>
      <c r="K22" s="2901"/>
      <c r="L22" s="2901"/>
      <c r="M22" s="2900"/>
      <c r="N22" s="2900"/>
      <c r="O22" s="2900"/>
      <c r="P22" s="2900"/>
      <c r="Q22" s="2900"/>
      <c r="R22" s="2900"/>
      <c r="S22" s="2900"/>
      <c r="T22" s="2900"/>
      <c r="U22" s="2900"/>
      <c r="V22" s="2900"/>
      <c r="W22" s="2900"/>
      <c r="X22" s="2900"/>
      <c r="Y22" s="2900"/>
      <c r="Z22" s="2900"/>
      <c r="AA22" s="2900"/>
      <c r="AB22" s="2900"/>
      <c r="AC22" s="2900"/>
      <c r="AD22" s="2900"/>
      <c r="AE22" s="2900"/>
      <c r="AF22" s="2900"/>
      <c r="AG22" s="2900"/>
      <c r="AH22" s="2900"/>
      <c r="AI22" s="2900"/>
      <c r="AJ22" s="2900"/>
      <c r="AK22" s="2900"/>
      <c r="AL22" s="2900"/>
      <c r="AM22" s="2900"/>
      <c r="AN22" s="2900"/>
      <c r="AO22" s="2900"/>
      <c r="AP22" s="2900"/>
      <c r="AQ22" s="2900"/>
      <c r="AR22" s="2900"/>
    </row>
    <row r="23" spans="1:67" ht="14.25">
      <c r="A23" s="1910" t="s">
        <v>1901</v>
      </c>
      <c r="B23" s="110">
        <f>B19+B21</f>
        <v>1.5</v>
      </c>
      <c r="C23" s="2902"/>
      <c r="D23" s="2905"/>
      <c r="E23" s="2902"/>
      <c r="F23" s="2902"/>
      <c r="G23" s="2902"/>
      <c r="H23" s="2902"/>
      <c r="I23" s="2902"/>
      <c r="J23" s="2902"/>
      <c r="K23" s="2901"/>
      <c r="L23" s="2901"/>
      <c r="M23" s="2900"/>
      <c r="N23" s="2900"/>
      <c r="O23" s="2900"/>
      <c r="P23" s="2900"/>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row>
    <row r="24" spans="1:67" ht="15" thickBot="1">
      <c r="A24" s="1911" t="s">
        <v>1902</v>
      </c>
      <c r="B24" s="111">
        <f>B20-B21</f>
        <v>0</v>
      </c>
      <c r="C24" s="2902"/>
      <c r="D24" s="2905"/>
      <c r="E24" s="2902"/>
      <c r="F24" s="2902"/>
      <c r="G24" s="2902"/>
      <c r="H24" s="2902"/>
      <c r="I24" s="2902"/>
      <c r="J24" s="2902"/>
      <c r="K24" s="2901"/>
      <c r="L24" s="2901"/>
      <c r="M24" s="2900"/>
      <c r="N24" s="2900"/>
      <c r="O24" s="2900"/>
      <c r="P24" s="2900"/>
      <c r="Q24" s="2900"/>
      <c r="R24" s="2900"/>
      <c r="S24" s="2900"/>
      <c r="T24" s="2900"/>
      <c r="U24" s="2900"/>
      <c r="V24" s="2900"/>
      <c r="W24" s="2900"/>
      <c r="X24" s="2900"/>
      <c r="Y24" s="2900"/>
      <c r="Z24" s="2900"/>
      <c r="AA24" s="2900"/>
      <c r="AB24" s="2900"/>
      <c r="AC24" s="2900"/>
      <c r="AD24" s="2900"/>
      <c r="AE24" s="2900"/>
      <c r="AF24" s="2900"/>
      <c r="AG24" s="2900"/>
      <c r="AH24" s="2900"/>
      <c r="AI24" s="2900"/>
      <c r="AJ24" s="2900"/>
      <c r="AK24" s="2900"/>
      <c r="AL24" s="2900"/>
      <c r="AM24" s="2900"/>
      <c r="AN24" s="2900"/>
      <c r="AO24" s="2900"/>
      <c r="AP24" s="2900"/>
      <c r="AQ24" s="2900"/>
      <c r="AR24" s="2900"/>
    </row>
    <row r="25" spans="1:67" ht="15" thickBot="1">
      <c r="A25" s="1742"/>
      <c r="B25" s="1873"/>
      <c r="C25" s="2902"/>
      <c r="D25" s="2905"/>
      <c r="E25" s="2902"/>
      <c r="F25" s="2902"/>
      <c r="G25" s="2902"/>
      <c r="H25" s="2902"/>
      <c r="I25" s="2902"/>
      <c r="J25" s="2902"/>
      <c r="K25" s="2901"/>
      <c r="L25" s="2901"/>
      <c r="M25" s="2900"/>
      <c r="N25" s="2900"/>
      <c r="O25" s="2900"/>
      <c r="P25" s="2900"/>
      <c r="Q25" s="2900"/>
      <c r="R25" s="2900"/>
      <c r="S25" s="2900"/>
      <c r="T25" s="2900"/>
      <c r="U25" s="2900"/>
      <c r="V25" s="2900"/>
      <c r="W25" s="2900"/>
      <c r="X25" s="2900"/>
      <c r="Y25" s="2900"/>
      <c r="Z25" s="2900"/>
      <c r="AA25" s="2900"/>
      <c r="AB25" s="2900"/>
      <c r="AC25" s="2900"/>
      <c r="AD25" s="2900"/>
      <c r="AE25" s="2900"/>
      <c r="AF25" s="2900"/>
      <c r="AG25" s="2900"/>
      <c r="AH25" s="2900"/>
      <c r="AI25" s="2900"/>
      <c r="AJ25" s="2900"/>
      <c r="AK25" s="2900"/>
      <c r="AL25" s="2900"/>
      <c r="AM25" s="2900"/>
      <c r="AN25" s="2900"/>
      <c r="AO25" s="2900"/>
      <c r="AP25" s="2900"/>
      <c r="AQ25" s="2900"/>
      <c r="AR25" s="2900"/>
    </row>
    <row r="26" spans="1:67" ht="15" thickBot="1">
      <c r="A26" s="1869" t="s">
        <v>1903</v>
      </c>
      <c r="B26" s="1912" t="s">
        <v>1904</v>
      </c>
      <c r="C26" s="2906" t="s">
        <v>1905</v>
      </c>
      <c r="D26" s="2905"/>
      <c r="E26" s="2902"/>
      <c r="F26" s="2902"/>
      <c r="G26" s="2902"/>
      <c r="H26" s="2902"/>
      <c r="I26" s="2902"/>
      <c r="J26" s="2902"/>
      <c r="K26" s="2901"/>
      <c r="L26" s="2901"/>
      <c r="M26" s="2900"/>
      <c r="N26" s="2900"/>
      <c r="O26" s="2900"/>
      <c r="P26" s="2900"/>
      <c r="Q26" s="2900"/>
      <c r="R26" s="2900"/>
      <c r="S26" s="2900"/>
      <c r="T26" s="2900"/>
      <c r="U26" s="2900"/>
      <c r="V26" s="2900"/>
      <c r="W26" s="2900"/>
      <c r="X26" s="2900"/>
      <c r="Y26" s="2900"/>
      <c r="Z26" s="2900"/>
      <c r="AA26" s="2900"/>
      <c r="AB26" s="2900"/>
      <c r="AC26" s="2900"/>
      <c r="AD26" s="2900"/>
      <c r="AE26" s="2900"/>
      <c r="AF26" s="2900"/>
      <c r="AG26" s="2900"/>
      <c r="AH26" s="2900"/>
      <c r="AI26" s="2900"/>
      <c r="AJ26" s="2900"/>
      <c r="AK26" s="2900"/>
      <c r="AL26" s="2900"/>
      <c r="AM26" s="2900"/>
      <c r="AN26" s="2900"/>
      <c r="AO26" s="2900"/>
      <c r="AP26" s="2900"/>
      <c r="AQ26" s="2900"/>
      <c r="AR26" s="2900"/>
    </row>
    <row r="27" spans="1:67" s="1914" customFormat="1" ht="27.75">
      <c r="A27" s="1913" t="s">
        <v>1906</v>
      </c>
      <c r="B27" s="112"/>
      <c r="C27" s="3032" t="s">
        <v>3054</v>
      </c>
      <c r="D27" s="2908"/>
      <c r="E27" s="2888"/>
      <c r="F27" s="2888"/>
      <c r="G27" s="2902"/>
      <c r="H27" s="2902"/>
      <c r="I27" s="2902"/>
      <c r="J27" s="2902"/>
      <c r="K27" s="2901"/>
      <c r="L27" s="2901"/>
      <c r="M27" s="2900"/>
      <c r="N27" s="2900"/>
      <c r="O27" s="2900"/>
      <c r="P27" s="2900"/>
      <c r="Q27" s="2900"/>
      <c r="R27" s="2900"/>
      <c r="S27" s="2900"/>
      <c r="T27" s="2900"/>
      <c r="U27" s="2900"/>
      <c r="V27" s="2900"/>
      <c r="W27" s="2900"/>
      <c r="X27" s="2900"/>
      <c r="Y27" s="2900"/>
      <c r="Z27" s="2900"/>
      <c r="AA27" s="2900"/>
      <c r="AB27" s="2900"/>
      <c r="AC27" s="2900"/>
      <c r="AD27" s="2900"/>
      <c r="AE27" s="2900"/>
      <c r="AF27" s="2900"/>
      <c r="AG27" s="2900"/>
      <c r="AH27" s="2900"/>
      <c r="AI27" s="2900"/>
      <c r="AJ27" s="2900"/>
      <c r="AK27" s="2900"/>
      <c r="AL27" s="2900"/>
      <c r="AM27" s="2900"/>
      <c r="AN27" s="2900"/>
      <c r="AO27" s="2900"/>
      <c r="AP27" s="2900"/>
      <c r="AQ27" s="2900"/>
      <c r="AR27" s="290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4" customFormat="1" ht="27.75">
      <c r="A28" s="1915" t="s">
        <v>1907</v>
      </c>
      <c r="B28" s="115">
        <v>140</v>
      </c>
      <c r="C28" s="2909"/>
      <c r="D28" s="2908"/>
      <c r="E28" s="2888"/>
      <c r="F28" s="2888"/>
      <c r="G28" s="2902"/>
      <c r="H28" s="2902"/>
      <c r="I28" s="2902"/>
      <c r="J28" s="2902"/>
      <c r="K28" s="2901"/>
      <c r="L28" s="2901"/>
      <c r="M28" s="2900"/>
      <c r="N28" s="2900"/>
      <c r="O28" s="2900"/>
      <c r="P28" s="2900"/>
      <c r="Q28" s="2900"/>
      <c r="R28" s="2900"/>
      <c r="S28" s="2900"/>
      <c r="T28" s="2900"/>
      <c r="U28" s="2900"/>
      <c r="V28" s="2900"/>
      <c r="W28" s="2900"/>
      <c r="X28" s="2900"/>
      <c r="Y28" s="2900"/>
      <c r="Z28" s="2900"/>
      <c r="AA28" s="2900"/>
      <c r="AB28" s="2900"/>
      <c r="AC28" s="2900"/>
      <c r="AD28" s="2900"/>
      <c r="AE28" s="2900"/>
      <c r="AF28" s="2900"/>
      <c r="AG28" s="2900"/>
      <c r="AH28" s="2900"/>
      <c r="AI28" s="2900"/>
      <c r="AJ28" s="2900"/>
      <c r="AK28" s="2900"/>
      <c r="AL28" s="2900"/>
      <c r="AM28" s="2900"/>
      <c r="AN28" s="2900"/>
      <c r="AO28" s="2900"/>
      <c r="AP28" s="2900"/>
      <c r="AQ28" s="2900"/>
      <c r="AR28" s="290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4" customFormat="1" ht="28.5" thickBot="1">
      <c r="A29" s="1916" t="s">
        <v>1908</v>
      </c>
      <c r="B29" s="117">
        <f ca="1">成本法!C10</f>
        <v>3</v>
      </c>
      <c r="C29" s="3033" t="s">
        <v>3041</v>
      </c>
      <c r="D29" s="2908"/>
      <c r="E29" s="2888"/>
      <c r="F29" s="2888"/>
      <c r="G29" s="2902"/>
      <c r="H29" s="2902"/>
      <c r="I29" s="2902"/>
      <c r="J29" s="2902"/>
      <c r="K29" s="2901"/>
      <c r="L29" s="2901"/>
      <c r="M29" s="2900"/>
      <c r="N29" s="2900"/>
      <c r="O29" s="2900"/>
      <c r="P29" s="2900"/>
      <c r="Q29" s="2900"/>
      <c r="R29" s="2900"/>
      <c r="S29" s="2900"/>
      <c r="T29" s="2900"/>
      <c r="U29" s="2900"/>
      <c r="V29" s="2900"/>
      <c r="W29" s="2900"/>
      <c r="X29" s="2900"/>
      <c r="Y29" s="2900"/>
      <c r="Z29" s="2900"/>
      <c r="AA29" s="2900"/>
      <c r="AB29" s="2900"/>
      <c r="AC29" s="2900"/>
      <c r="AD29" s="2900"/>
      <c r="AE29" s="2900"/>
      <c r="AF29" s="2900"/>
      <c r="AG29" s="2900"/>
      <c r="AH29" s="2900"/>
      <c r="AI29" s="2900"/>
      <c r="AJ29" s="2900"/>
      <c r="AK29" s="2900"/>
      <c r="AL29" s="2900"/>
      <c r="AM29" s="2900"/>
      <c r="AN29" s="2900"/>
      <c r="AO29" s="2900"/>
      <c r="AP29" s="2900"/>
      <c r="AQ29" s="2900"/>
      <c r="AR29" s="290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4" customFormat="1" ht="27">
      <c r="A30" s="1917" t="s">
        <v>1909</v>
      </c>
      <c r="B30" s="680">
        <v>200</v>
      </c>
      <c r="C30" s="2909"/>
      <c r="D30" s="2908"/>
      <c r="E30" s="2888"/>
      <c r="F30" s="2888"/>
      <c r="G30" s="2902"/>
      <c r="H30" s="2902"/>
      <c r="I30" s="2902"/>
      <c r="J30" s="2902"/>
      <c r="K30" s="2901"/>
      <c r="L30" s="2901"/>
      <c r="M30" s="2900"/>
      <c r="N30" s="2900"/>
      <c r="O30" s="2900"/>
      <c r="P30" s="2900"/>
      <c r="Q30" s="2900"/>
      <c r="R30" s="2900"/>
      <c r="S30" s="2900"/>
      <c r="T30" s="2900"/>
      <c r="U30" s="2900"/>
      <c r="V30" s="2900"/>
      <c r="W30" s="2900"/>
      <c r="X30" s="2900"/>
      <c r="Y30" s="2900"/>
      <c r="Z30" s="2900"/>
      <c r="AA30" s="2900"/>
      <c r="AB30" s="2900"/>
      <c r="AC30" s="2900"/>
      <c r="AD30" s="2900"/>
      <c r="AE30" s="2900"/>
      <c r="AF30" s="2900"/>
      <c r="AG30" s="2900"/>
      <c r="AH30" s="2900"/>
      <c r="AI30" s="2900"/>
      <c r="AJ30" s="2900"/>
      <c r="AK30" s="2900"/>
      <c r="AL30" s="2900"/>
      <c r="AM30" s="2900"/>
      <c r="AN30" s="2900"/>
      <c r="AO30" s="2900"/>
      <c r="AP30" s="2900"/>
      <c r="AQ30" s="2900"/>
      <c r="AR30" s="290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4" customFormat="1" ht="27">
      <c r="A31" s="1915" t="s">
        <v>1910</v>
      </c>
      <c r="B31" s="116">
        <f>B30-B32</f>
        <v>200</v>
      </c>
      <c r="C31" s="2907"/>
      <c r="D31" s="2908"/>
      <c r="E31" s="2888"/>
      <c r="F31" s="2888"/>
      <c r="G31" s="2902"/>
      <c r="H31" s="2902"/>
      <c r="I31" s="2902"/>
      <c r="J31" s="2902"/>
      <c r="K31" s="2901"/>
      <c r="L31" s="2901"/>
      <c r="M31" s="2900"/>
      <c r="N31" s="2900"/>
      <c r="O31" s="2900"/>
      <c r="P31" s="2900"/>
      <c r="Q31" s="2900"/>
      <c r="R31" s="2900"/>
      <c r="S31" s="2900"/>
      <c r="T31" s="2900"/>
      <c r="U31" s="2900"/>
      <c r="V31" s="2900"/>
      <c r="W31" s="2900"/>
      <c r="X31" s="2900"/>
      <c r="Y31" s="2900"/>
      <c r="Z31" s="2900"/>
      <c r="AA31" s="2900"/>
      <c r="AB31" s="2900"/>
      <c r="AC31" s="2900"/>
      <c r="AD31" s="2900"/>
      <c r="AE31" s="2900"/>
      <c r="AF31" s="2900"/>
      <c r="AG31" s="2900"/>
      <c r="AH31" s="2900"/>
      <c r="AI31" s="2900"/>
      <c r="AJ31" s="2900"/>
      <c r="AK31" s="2900"/>
      <c r="AL31" s="2900"/>
      <c r="AM31" s="2900"/>
      <c r="AN31" s="2900"/>
      <c r="AO31" s="2900"/>
      <c r="AP31" s="2900"/>
      <c r="AQ31" s="2900"/>
      <c r="AR31" s="290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4" customFormat="1" ht="27.75" thickBot="1">
      <c r="A32" s="1918" t="s">
        <v>1911</v>
      </c>
      <c r="B32" s="681"/>
      <c r="C32" s="2909"/>
      <c r="D32" s="2905"/>
      <c r="E32" s="2902"/>
      <c r="F32" s="2902"/>
      <c r="G32" s="2902"/>
      <c r="H32" s="2902"/>
      <c r="I32" s="2902"/>
      <c r="J32" s="2902"/>
      <c r="K32" s="2901"/>
      <c r="L32" s="2901"/>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4" customFormat="1" ht="14.25">
      <c r="A33" s="1913" t="s">
        <v>1912</v>
      </c>
      <c r="B33" s="682">
        <v>0.05</v>
      </c>
      <c r="C33" s="3034" t="s">
        <v>3042</v>
      </c>
      <c r="D33" s="2905"/>
      <c r="E33" s="2902"/>
      <c r="F33" s="2902"/>
      <c r="G33" s="2902"/>
      <c r="H33" s="2902"/>
      <c r="I33" s="2902"/>
      <c r="J33" s="2902"/>
      <c r="K33" s="2901"/>
      <c r="L33" s="2901"/>
      <c r="M33" s="2900"/>
      <c r="N33" s="2900"/>
      <c r="O33" s="2900"/>
      <c r="P33" s="2900"/>
      <c r="Q33" s="2900"/>
      <c r="R33" s="2900"/>
      <c r="S33" s="2900"/>
      <c r="T33" s="2900"/>
      <c r="U33" s="2900"/>
      <c r="V33" s="2900"/>
      <c r="W33" s="2900"/>
      <c r="X33" s="2900"/>
      <c r="Y33" s="2900"/>
      <c r="Z33" s="2900"/>
      <c r="AA33" s="2900"/>
      <c r="AB33" s="2900"/>
      <c r="AC33" s="2900"/>
      <c r="AD33" s="2900"/>
      <c r="AE33" s="2900"/>
      <c r="AF33" s="2900"/>
      <c r="AG33" s="2900"/>
      <c r="AH33" s="2900"/>
      <c r="AI33" s="2900"/>
      <c r="AJ33" s="2900"/>
      <c r="AK33" s="2900"/>
      <c r="AL33" s="2900"/>
      <c r="AM33" s="2900"/>
      <c r="AN33" s="2900"/>
      <c r="AO33" s="2900"/>
      <c r="AP33" s="2900"/>
      <c r="AQ33" s="2900"/>
      <c r="AR33" s="290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4" customFormat="1" ht="14.25">
      <c r="A34" s="1915" t="s">
        <v>1913</v>
      </c>
      <c r="B34" s="118"/>
      <c r="C34" s="3034" t="s">
        <v>3043</v>
      </c>
      <c r="D34" s="2913" t="s">
        <v>3051</v>
      </c>
      <c r="E34" s="2911"/>
      <c r="F34" s="2902"/>
      <c r="G34" s="2902"/>
      <c r="H34" s="2902"/>
      <c r="I34" s="2902"/>
      <c r="J34" s="2902"/>
      <c r="K34" s="2901"/>
      <c r="L34" s="2901"/>
      <c r="M34" s="2900"/>
      <c r="N34" s="2900"/>
      <c r="O34" s="2900"/>
      <c r="P34" s="2900"/>
      <c r="Q34" s="2900"/>
      <c r="R34" s="2900"/>
      <c r="S34" s="2900"/>
      <c r="T34" s="2900"/>
      <c r="U34" s="2900"/>
      <c r="V34" s="2900"/>
      <c r="W34" s="2900"/>
      <c r="X34" s="2900"/>
      <c r="Y34" s="2900"/>
      <c r="Z34" s="2900"/>
      <c r="AA34" s="2900"/>
      <c r="AB34" s="2900"/>
      <c r="AC34" s="2900"/>
      <c r="AD34" s="2900"/>
      <c r="AE34" s="2900"/>
      <c r="AF34" s="2900"/>
      <c r="AG34" s="2900"/>
      <c r="AH34" s="2900"/>
      <c r="AI34" s="2900"/>
      <c r="AJ34" s="2900"/>
      <c r="AK34" s="2900"/>
      <c r="AL34" s="2900"/>
      <c r="AM34" s="2900"/>
      <c r="AN34" s="2900"/>
      <c r="AO34" s="2900"/>
      <c r="AP34" s="2900"/>
      <c r="AQ34" s="2900"/>
      <c r="AR34" s="290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4" customFormat="1" ht="14.25">
      <c r="A35" s="1915" t="s">
        <v>1914</v>
      </c>
      <c r="B35" s="115">
        <v>140</v>
      </c>
      <c r="C35" s="3034" t="s">
        <v>3044</v>
      </c>
      <c r="D35" s="2908"/>
      <c r="E35" s="2888"/>
      <c r="F35" s="2888"/>
      <c r="G35" s="2902"/>
      <c r="H35" s="2902"/>
      <c r="I35" s="2902"/>
      <c r="J35" s="2902"/>
      <c r="K35" s="2901"/>
      <c r="L35" s="2901"/>
      <c r="M35" s="2900"/>
      <c r="N35" s="2900"/>
      <c r="O35" s="2900"/>
      <c r="P35" s="2900"/>
      <c r="Q35" s="2900"/>
      <c r="R35" s="2900"/>
      <c r="S35" s="2900"/>
      <c r="T35" s="2900"/>
      <c r="U35" s="2900"/>
      <c r="V35" s="2900"/>
      <c r="W35" s="2900"/>
      <c r="X35" s="2900"/>
      <c r="Y35" s="2900"/>
      <c r="Z35" s="2900"/>
      <c r="AA35" s="2900"/>
      <c r="AB35" s="2900"/>
      <c r="AC35" s="2900"/>
      <c r="AD35" s="2900"/>
      <c r="AE35" s="2900"/>
      <c r="AF35" s="2900"/>
      <c r="AG35" s="2900"/>
      <c r="AH35" s="2900"/>
      <c r="AI35" s="2900"/>
      <c r="AJ35" s="2900"/>
      <c r="AK35" s="2900"/>
      <c r="AL35" s="2900"/>
      <c r="AM35" s="2900"/>
      <c r="AN35" s="2900"/>
      <c r="AO35" s="2900"/>
      <c r="AP35" s="2900"/>
      <c r="AQ35" s="2900"/>
      <c r="AR35" s="290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6" t="s">
        <v>1915</v>
      </c>
      <c r="B36" s="119">
        <v>1.4999999999999999E-2</v>
      </c>
      <c r="C36" s="3034" t="s">
        <v>3045</v>
      </c>
      <c r="D36" s="2905"/>
      <c r="E36" s="2902"/>
      <c r="F36" s="2902"/>
      <c r="G36" s="2902"/>
      <c r="H36" s="2902"/>
      <c r="I36" s="2902"/>
      <c r="J36" s="2902"/>
      <c r="K36" s="2901"/>
      <c r="L36" s="2901"/>
      <c r="M36" s="2900"/>
      <c r="N36" s="2900"/>
      <c r="O36" s="2900"/>
      <c r="P36" s="2900"/>
      <c r="Q36" s="2900"/>
      <c r="R36" s="2900"/>
      <c r="S36" s="2900"/>
      <c r="T36" s="2900"/>
      <c r="U36" s="2900"/>
      <c r="V36" s="2900"/>
      <c r="W36" s="2900"/>
      <c r="X36" s="2900"/>
      <c r="Y36" s="2900"/>
      <c r="Z36" s="2900"/>
      <c r="AA36" s="2900"/>
      <c r="AB36" s="2900"/>
      <c r="AC36" s="2900"/>
      <c r="AD36" s="2900"/>
      <c r="AE36" s="2900"/>
      <c r="AF36" s="2900"/>
      <c r="AG36" s="2900"/>
      <c r="AH36" s="2900"/>
      <c r="AI36" s="2900"/>
      <c r="AJ36" s="2900"/>
      <c r="AK36" s="2900"/>
      <c r="AL36" s="2900"/>
      <c r="AM36" s="2900"/>
      <c r="AN36" s="2900"/>
      <c r="AO36" s="2900"/>
      <c r="AP36" s="2900"/>
      <c r="AQ36" s="2900"/>
      <c r="AR36" s="2900"/>
    </row>
    <row r="37" spans="1:67" ht="14.25">
      <c r="A37" s="1917" t="s">
        <v>1916</v>
      </c>
      <c r="B37" s="120">
        <v>0.05</v>
      </c>
      <c r="C37" s="3034" t="s">
        <v>3046</v>
      </c>
      <c r="D37" s="2905"/>
      <c r="E37" s="2902"/>
      <c r="F37" s="2902"/>
      <c r="G37" s="2902"/>
      <c r="H37" s="2902"/>
      <c r="I37" s="2902"/>
      <c r="J37" s="2902"/>
      <c r="K37" s="2901"/>
      <c r="L37" s="2901"/>
      <c r="M37" s="2900"/>
      <c r="N37" s="2900"/>
      <c r="O37" s="2900"/>
      <c r="P37" s="2900"/>
      <c r="Q37" s="2900"/>
      <c r="R37" s="2900"/>
      <c r="S37" s="2900"/>
      <c r="T37" s="2900"/>
      <c r="U37" s="2900"/>
      <c r="V37" s="2900"/>
      <c r="W37" s="2900"/>
      <c r="X37" s="2900"/>
      <c r="Y37" s="2900"/>
      <c r="Z37" s="2900"/>
      <c r="AA37" s="2900"/>
      <c r="AB37" s="2900"/>
      <c r="AC37" s="2900"/>
      <c r="AD37" s="2900"/>
      <c r="AE37" s="2900"/>
      <c r="AF37" s="2900"/>
      <c r="AG37" s="2900"/>
      <c r="AH37" s="2900"/>
      <c r="AI37" s="2900"/>
      <c r="AJ37" s="2900"/>
      <c r="AK37" s="2900"/>
      <c r="AL37" s="2900"/>
      <c r="AM37" s="2900"/>
      <c r="AN37" s="2900"/>
      <c r="AO37" s="2900"/>
      <c r="AP37" s="2900"/>
      <c r="AQ37" s="2900"/>
      <c r="AR37" s="2900"/>
    </row>
    <row r="38" spans="1:67" ht="14.25">
      <c r="A38" s="1915" t="s">
        <v>1917</v>
      </c>
      <c r="B38" s="118">
        <v>0.05</v>
      </c>
      <c r="C38" s="3034" t="s">
        <v>3046</v>
      </c>
      <c r="D38" s="2905"/>
      <c r="E38" s="2902"/>
      <c r="F38" s="2902"/>
      <c r="G38" s="2902"/>
      <c r="H38" s="2902"/>
      <c r="I38" s="2902"/>
      <c r="J38" s="2902"/>
      <c r="K38" s="2901"/>
      <c r="L38" s="2901"/>
      <c r="M38" s="2900"/>
      <c r="N38" s="2900"/>
      <c r="O38" s="2900"/>
      <c r="P38" s="2900"/>
      <c r="Q38" s="2900"/>
      <c r="R38" s="2900"/>
      <c r="S38" s="2900"/>
      <c r="T38" s="2900"/>
      <c r="U38" s="2900"/>
      <c r="V38" s="2900"/>
      <c r="W38" s="2900"/>
      <c r="X38" s="2900"/>
      <c r="Y38" s="2900"/>
      <c r="Z38" s="2900"/>
      <c r="AA38" s="2900"/>
      <c r="AB38" s="2900"/>
      <c r="AC38" s="2900"/>
      <c r="AD38" s="2900"/>
      <c r="AE38" s="2900"/>
      <c r="AF38" s="2900"/>
      <c r="AG38" s="2900"/>
      <c r="AH38" s="2900"/>
      <c r="AI38" s="2900"/>
      <c r="AJ38" s="2900"/>
      <c r="AK38" s="2900"/>
      <c r="AL38" s="2900"/>
      <c r="AM38" s="2900"/>
      <c r="AN38" s="2900"/>
      <c r="AO38" s="2900"/>
      <c r="AP38" s="2900"/>
      <c r="AQ38" s="2900"/>
      <c r="AR38" s="2900"/>
    </row>
    <row r="39" spans="1:67" ht="14.25">
      <c r="A39" s="1918" t="s">
        <v>1918</v>
      </c>
      <c r="B39" s="323">
        <f ca="1">存贷款利率!I1</f>
        <v>1.4999999999999999E-2</v>
      </c>
      <c r="C39" s="2910"/>
      <c r="D39" s="2905"/>
      <c r="E39" s="2902"/>
      <c r="F39" s="2902"/>
      <c r="G39" s="2902"/>
      <c r="H39" s="2902"/>
      <c r="I39" s="2902"/>
      <c r="J39" s="2902"/>
      <c r="K39" s="2901"/>
      <c r="L39" s="2901"/>
      <c r="M39" s="2900"/>
      <c r="N39" s="2900"/>
      <c r="O39" s="2900"/>
      <c r="P39" s="2900"/>
      <c r="Q39" s="2900"/>
      <c r="R39" s="2900"/>
      <c r="S39" s="2900"/>
      <c r="T39" s="2900"/>
      <c r="U39" s="2900"/>
      <c r="V39" s="2900"/>
      <c r="W39" s="2900"/>
      <c r="X39" s="2900"/>
      <c r="Y39" s="2900"/>
      <c r="Z39" s="2900"/>
      <c r="AA39" s="2900"/>
      <c r="AB39" s="2900"/>
      <c r="AC39" s="2900"/>
      <c r="AD39" s="2900"/>
      <c r="AE39" s="2900"/>
      <c r="AF39" s="2900"/>
      <c r="AG39" s="2900"/>
      <c r="AH39" s="2900"/>
      <c r="AI39" s="2900"/>
      <c r="AJ39" s="2900"/>
      <c r="AK39" s="2900"/>
      <c r="AL39" s="2900"/>
      <c r="AM39" s="2900"/>
      <c r="AN39" s="2900"/>
      <c r="AO39" s="2900"/>
      <c r="AP39" s="2900"/>
      <c r="AQ39" s="2900"/>
      <c r="AR39" s="2900"/>
    </row>
    <row r="40" spans="1:67" ht="15" thickBot="1">
      <c r="A40" s="3046" t="s">
        <v>3062</v>
      </c>
      <c r="B40" s="1210">
        <f ca="1">IF(A40="利息：取LPR",存贷款利率!G1,存贷款利率!G1+C40)</f>
        <v>3.85E-2</v>
      </c>
      <c r="C40" s="3045">
        <v>5.0000000000000001E-3</v>
      </c>
      <c r="D40" s="2900"/>
      <c r="E40" s="2905"/>
      <c r="F40" s="2902"/>
      <c r="G40" s="2902"/>
      <c r="H40" s="2902"/>
      <c r="I40" s="2902"/>
      <c r="J40" s="2902"/>
      <c r="K40" s="2901"/>
      <c r="L40" s="2901"/>
      <c r="M40" s="2900"/>
      <c r="N40" s="2900"/>
      <c r="O40" s="2900"/>
      <c r="P40" s="2900"/>
      <c r="Q40" s="2900"/>
      <c r="R40" s="2900"/>
      <c r="S40" s="2900"/>
      <c r="T40" s="2900"/>
      <c r="U40" s="2900"/>
      <c r="V40" s="2900"/>
      <c r="W40" s="2900"/>
      <c r="X40" s="2900"/>
      <c r="Y40" s="2900"/>
      <c r="Z40" s="2900"/>
      <c r="AA40" s="2900"/>
      <c r="AB40" s="2900"/>
      <c r="AC40" s="2900"/>
      <c r="AD40" s="2900"/>
      <c r="AE40" s="2900"/>
      <c r="AF40" s="2900"/>
      <c r="AG40" s="2900"/>
      <c r="AH40" s="2900"/>
      <c r="AI40" s="2900"/>
      <c r="AJ40" s="2900"/>
      <c r="AK40" s="2900"/>
      <c r="AL40" s="2900"/>
      <c r="AM40" s="2900"/>
      <c r="AN40" s="2900"/>
      <c r="AO40" s="2900"/>
      <c r="AP40" s="2900"/>
      <c r="AQ40" s="2900"/>
      <c r="AR40" s="2900"/>
    </row>
    <row r="41" spans="1:67" ht="14.25">
      <c r="A41" s="1913" t="s">
        <v>1919</v>
      </c>
      <c r="B41" s="121">
        <f>B42+B43</f>
        <v>5.5000000000000007E-2</v>
      </c>
      <c r="C41" s="2907"/>
      <c r="D41" s="2900"/>
      <c r="E41" s="2905"/>
      <c r="F41" s="2902"/>
      <c r="G41" s="2902"/>
      <c r="H41" s="2902"/>
      <c r="I41" s="2902"/>
      <c r="J41" s="2902"/>
      <c r="K41" s="2901"/>
      <c r="L41" s="2901"/>
      <c r="M41" s="2900"/>
      <c r="N41" s="2900"/>
      <c r="O41" s="2900"/>
      <c r="P41" s="2900"/>
      <c r="Q41" s="2900"/>
      <c r="R41" s="2900"/>
      <c r="S41" s="2900"/>
      <c r="T41" s="2900"/>
      <c r="U41" s="2900"/>
      <c r="V41" s="2900"/>
      <c r="W41" s="2900"/>
      <c r="X41" s="2900"/>
      <c r="Y41" s="2900"/>
      <c r="Z41" s="2900"/>
      <c r="AA41" s="2900"/>
      <c r="AB41" s="2900"/>
      <c r="AC41" s="2900"/>
      <c r="AD41" s="2900"/>
      <c r="AE41" s="2900"/>
      <c r="AF41" s="2900"/>
      <c r="AG41" s="2900"/>
      <c r="AH41" s="2900"/>
      <c r="AI41" s="2900"/>
      <c r="AJ41" s="2900"/>
      <c r="AK41" s="2900"/>
      <c r="AL41" s="2900"/>
      <c r="AM41" s="2900"/>
      <c r="AN41" s="2900"/>
      <c r="AO41" s="2900"/>
      <c r="AP41" s="2900"/>
      <c r="AQ41" s="2900"/>
      <c r="AR41" s="2900"/>
    </row>
    <row r="42" spans="1:67" ht="14.25">
      <c r="A42" s="1919" t="s">
        <v>1920</v>
      </c>
      <c r="B42" s="122">
        <v>0.05</v>
      </c>
      <c r="C42" s="2912">
        <f>IF(B2&lt;DATE(2016,5,1),0,B42)</f>
        <v>0.05</v>
      </c>
      <c r="D42" s="2905"/>
      <c r="E42" s="2902"/>
      <c r="F42" s="2902"/>
      <c r="G42" s="2902"/>
      <c r="H42" s="2902"/>
      <c r="I42" s="2902"/>
      <c r="J42" s="2902"/>
      <c r="K42" s="2901"/>
      <c r="L42" s="2901"/>
      <c r="M42" s="2900"/>
      <c r="N42" s="2900"/>
      <c r="O42" s="2900"/>
      <c r="P42" s="2900"/>
      <c r="Q42" s="2900"/>
      <c r="R42" s="2900"/>
      <c r="S42" s="2900"/>
      <c r="T42" s="2900"/>
      <c r="U42" s="2900"/>
      <c r="V42" s="2900"/>
      <c r="W42" s="2900"/>
      <c r="X42" s="2900"/>
      <c r="Y42" s="2900"/>
      <c r="Z42" s="2900"/>
      <c r="AA42" s="2900"/>
      <c r="AB42" s="2900"/>
      <c r="AC42" s="2900"/>
      <c r="AD42" s="2900"/>
      <c r="AE42" s="2900"/>
      <c r="AF42" s="2900"/>
      <c r="AG42" s="2900"/>
      <c r="AH42" s="2900"/>
      <c r="AI42" s="2900"/>
      <c r="AJ42" s="2900"/>
      <c r="AK42" s="2900"/>
      <c r="AL42" s="2900"/>
      <c r="AM42" s="2900"/>
      <c r="AN42" s="2900"/>
      <c r="AO42" s="2900"/>
      <c r="AP42" s="2900"/>
      <c r="AQ42" s="2900"/>
      <c r="AR42" s="2900"/>
    </row>
    <row r="43" spans="1:67" ht="14.25">
      <c r="A43" s="1919" t="s">
        <v>1921</v>
      </c>
      <c r="B43" s="123">
        <f>B42*(B44+B45+B46)+B47</f>
        <v>5.000000000000001E-3</v>
      </c>
      <c r="C43" s="2907"/>
      <c r="D43" s="2905"/>
      <c r="E43" s="2902"/>
      <c r="F43" s="2902"/>
      <c r="G43" s="2902"/>
      <c r="H43" s="2902"/>
      <c r="I43" s="2902"/>
      <c r="J43" s="2902"/>
      <c r="K43" s="2901"/>
      <c r="L43" s="2901"/>
      <c r="M43" s="2900"/>
      <c r="N43" s="2900"/>
      <c r="O43" s="2900"/>
      <c r="P43" s="2900"/>
      <c r="Q43" s="2900"/>
      <c r="R43" s="2900"/>
      <c r="S43" s="2900"/>
      <c r="T43" s="2900"/>
      <c r="U43" s="2900"/>
      <c r="V43" s="2900"/>
      <c r="W43" s="2900"/>
      <c r="X43" s="2900"/>
      <c r="Y43" s="2900"/>
      <c r="Z43" s="2900"/>
      <c r="AA43" s="2900"/>
      <c r="AB43" s="2900"/>
      <c r="AC43" s="2900"/>
      <c r="AD43" s="2900"/>
      <c r="AE43" s="2900"/>
      <c r="AF43" s="2900"/>
      <c r="AG43" s="2900"/>
      <c r="AH43" s="2900"/>
      <c r="AI43" s="2900"/>
      <c r="AJ43" s="2900"/>
      <c r="AK43" s="2900"/>
      <c r="AL43" s="2900"/>
      <c r="AM43" s="2900"/>
      <c r="AN43" s="2900"/>
      <c r="AO43" s="2900"/>
      <c r="AP43" s="2900"/>
      <c r="AQ43" s="2900"/>
      <c r="AR43" s="2900"/>
    </row>
    <row r="44" spans="1:67" ht="14.25">
      <c r="A44" s="1920" t="s">
        <v>1922</v>
      </c>
      <c r="B44" s="124">
        <v>0.05</v>
      </c>
      <c r="C44" s="3034" t="s">
        <v>3055</v>
      </c>
      <c r="D44" s="2905"/>
      <c r="E44" s="2902"/>
      <c r="F44" s="2902"/>
      <c r="G44" s="2902"/>
      <c r="H44" s="2902"/>
      <c r="I44" s="2902"/>
      <c r="J44" s="2902"/>
      <c r="K44" s="2901"/>
      <c r="L44" s="2901"/>
      <c r="M44" s="2900"/>
      <c r="N44" s="2900"/>
      <c r="O44" s="2900"/>
      <c r="P44" s="2900"/>
      <c r="Q44" s="2900"/>
      <c r="R44" s="2900"/>
      <c r="S44" s="2900"/>
      <c r="T44" s="2900"/>
      <c r="U44" s="2900"/>
      <c r="V44" s="2900"/>
      <c r="W44" s="2900"/>
      <c r="X44" s="2900"/>
      <c r="Y44" s="2900"/>
      <c r="Z44" s="2900"/>
      <c r="AA44" s="2900"/>
      <c r="AB44" s="2900"/>
      <c r="AC44" s="2900"/>
      <c r="AD44" s="2900"/>
      <c r="AE44" s="2900"/>
      <c r="AF44" s="2900"/>
      <c r="AG44" s="2900"/>
      <c r="AH44" s="2900"/>
      <c r="AI44" s="2900"/>
      <c r="AJ44" s="2900"/>
      <c r="AK44" s="2900"/>
      <c r="AL44" s="2900"/>
      <c r="AM44" s="2900"/>
      <c r="AN44" s="2900"/>
      <c r="AO44" s="2900"/>
      <c r="AP44" s="2900"/>
      <c r="AQ44" s="2900"/>
      <c r="AR44" s="2900"/>
    </row>
    <row r="45" spans="1:67" ht="14.25">
      <c r="A45" s="1920" t="s">
        <v>1923</v>
      </c>
      <c r="B45" s="122">
        <v>0.03</v>
      </c>
      <c r="C45" s="3033" t="s">
        <v>3047</v>
      </c>
      <c r="D45" s="2905"/>
      <c r="E45" s="2902"/>
      <c r="F45" s="2902"/>
      <c r="G45" s="2902"/>
      <c r="H45" s="2902"/>
      <c r="I45" s="2902"/>
      <c r="J45" s="2902"/>
      <c r="K45" s="2901"/>
      <c r="L45" s="2901"/>
      <c r="M45" s="2900"/>
      <c r="N45" s="2900"/>
      <c r="O45" s="2900"/>
      <c r="P45" s="2900"/>
      <c r="Q45" s="2900"/>
      <c r="R45" s="2900"/>
      <c r="S45" s="2900"/>
      <c r="T45" s="2900"/>
      <c r="U45" s="2900"/>
      <c r="V45" s="2900"/>
      <c r="W45" s="2900"/>
      <c r="X45" s="2900"/>
      <c r="Y45" s="2900"/>
      <c r="Z45" s="2900"/>
      <c r="AA45" s="2900"/>
      <c r="AB45" s="2900"/>
      <c r="AC45" s="2900"/>
      <c r="AD45" s="2900"/>
      <c r="AE45" s="2900"/>
      <c r="AF45" s="2900"/>
      <c r="AG45" s="2900"/>
      <c r="AH45" s="2900"/>
      <c r="AI45" s="2900"/>
      <c r="AJ45" s="2900"/>
      <c r="AK45" s="2900"/>
      <c r="AL45" s="2900"/>
      <c r="AM45" s="2900"/>
      <c r="AN45" s="2900"/>
      <c r="AO45" s="2900"/>
      <c r="AP45" s="2900"/>
      <c r="AQ45" s="2900"/>
      <c r="AR45" s="2900"/>
    </row>
    <row r="46" spans="1:67" ht="14.25">
      <c r="A46" s="1920" t="s">
        <v>1924</v>
      </c>
      <c r="B46" s="122">
        <v>0.02</v>
      </c>
      <c r="C46" s="3033" t="s">
        <v>3048</v>
      </c>
      <c r="D46" s="2905"/>
      <c r="E46" s="2902"/>
      <c r="F46" s="2902"/>
      <c r="G46" s="2902"/>
      <c r="H46" s="2902"/>
      <c r="I46" s="2902"/>
      <c r="J46" s="2902"/>
      <c r="K46" s="2901"/>
      <c r="L46" s="2901"/>
      <c r="M46" s="2900"/>
      <c r="N46" s="2900"/>
      <c r="O46" s="2900"/>
      <c r="P46" s="2900"/>
      <c r="Q46" s="2900"/>
      <c r="R46" s="2900"/>
      <c r="S46" s="2900"/>
      <c r="T46" s="2900"/>
      <c r="U46" s="2900"/>
      <c r="V46" s="2900"/>
      <c r="W46" s="2900"/>
      <c r="X46" s="2900"/>
      <c r="Y46" s="2900"/>
      <c r="Z46" s="2900"/>
      <c r="AA46" s="2900"/>
      <c r="AB46" s="2900"/>
      <c r="AC46" s="2900"/>
      <c r="AD46" s="2900"/>
      <c r="AE46" s="2900"/>
      <c r="AF46" s="2900"/>
      <c r="AG46" s="2900"/>
      <c r="AH46" s="2900"/>
      <c r="AI46" s="2900"/>
      <c r="AJ46" s="2900"/>
      <c r="AK46" s="2900"/>
      <c r="AL46" s="2900"/>
      <c r="AM46" s="2900"/>
      <c r="AN46" s="2900"/>
      <c r="AO46" s="2900"/>
      <c r="AP46" s="2900"/>
      <c r="AQ46" s="2900"/>
      <c r="AR46" s="2900"/>
    </row>
    <row r="47" spans="1:67" ht="15" thickBot="1">
      <c r="A47" s="1921" t="s">
        <v>1925</v>
      </c>
      <c r="B47" s="125"/>
      <c r="C47" s="3036" t="s">
        <v>3056</v>
      </c>
      <c r="D47" s="2905"/>
      <c r="E47" s="2902"/>
      <c r="F47" s="2902"/>
      <c r="G47" s="2902"/>
      <c r="H47" s="2902"/>
      <c r="I47" s="2902"/>
      <c r="J47" s="2902"/>
      <c r="K47" s="2901"/>
      <c r="L47" s="2901"/>
      <c r="M47" s="2900"/>
      <c r="N47" s="2900"/>
      <c r="O47" s="2900"/>
      <c r="P47" s="2900"/>
      <c r="Q47" s="2900"/>
      <c r="R47" s="2900"/>
      <c r="S47" s="2900"/>
      <c r="T47" s="2900"/>
      <c r="U47" s="2900"/>
      <c r="V47" s="2900"/>
      <c r="W47" s="2900"/>
      <c r="X47" s="2900"/>
      <c r="Y47" s="2900"/>
      <c r="Z47" s="2900"/>
      <c r="AA47" s="2900"/>
      <c r="AB47" s="2900"/>
      <c r="AC47" s="2900"/>
      <c r="AD47" s="2900"/>
      <c r="AE47" s="2900"/>
      <c r="AF47" s="2900"/>
      <c r="AG47" s="2900"/>
      <c r="AH47" s="2900"/>
      <c r="AI47" s="2900"/>
      <c r="AJ47" s="2900"/>
      <c r="AK47" s="2900"/>
      <c r="AL47" s="2900"/>
      <c r="AM47" s="2900"/>
      <c r="AN47" s="2900"/>
      <c r="AO47" s="2900"/>
      <c r="AP47" s="2900"/>
      <c r="AQ47" s="2900"/>
      <c r="AR47" s="2900"/>
    </row>
    <row r="48" spans="1:67" ht="14.25">
      <c r="A48" s="1922" t="s">
        <v>1926</v>
      </c>
      <c r="B48" s="126">
        <v>0.03</v>
      </c>
      <c r="C48" s="3033" t="s">
        <v>3047</v>
      </c>
      <c r="D48" s="2905"/>
      <c r="E48" s="2902"/>
      <c r="F48" s="2902"/>
      <c r="G48" s="2902"/>
      <c r="H48" s="2902"/>
      <c r="I48" s="2902"/>
      <c r="J48" s="2902"/>
      <c r="K48" s="2901"/>
      <c r="L48" s="2901"/>
      <c r="M48" s="2900"/>
      <c r="N48" s="2900"/>
      <c r="O48" s="2900"/>
      <c r="P48" s="2900"/>
      <c r="Q48" s="2900"/>
      <c r="R48" s="2900"/>
      <c r="S48" s="2900"/>
      <c r="T48" s="2900"/>
      <c r="U48" s="2900"/>
      <c r="V48" s="2900"/>
      <c r="W48" s="2900"/>
      <c r="X48" s="2900"/>
      <c r="Y48" s="2900"/>
      <c r="Z48" s="2900"/>
      <c r="AA48" s="2900"/>
      <c r="AB48" s="2900"/>
      <c r="AC48" s="2900"/>
      <c r="AD48" s="2900"/>
      <c r="AE48" s="2900"/>
      <c r="AF48" s="2900"/>
      <c r="AG48" s="2900"/>
      <c r="AH48" s="2900"/>
      <c r="AI48" s="2900"/>
      <c r="AJ48" s="2900"/>
      <c r="AK48" s="2900"/>
      <c r="AL48" s="2900"/>
      <c r="AM48" s="2900"/>
      <c r="AN48" s="2900"/>
      <c r="AO48" s="2900"/>
      <c r="AP48" s="2900"/>
      <c r="AQ48" s="2900"/>
      <c r="AR48" s="2900"/>
    </row>
    <row r="49" spans="1:44" ht="15" thickBot="1">
      <c r="A49" s="1918" t="s">
        <v>1927</v>
      </c>
      <c r="B49" s="122">
        <v>5.0000000000000001E-4</v>
      </c>
      <c r="C49" s="3033" t="s">
        <v>3049</v>
      </c>
      <c r="D49" s="2905"/>
      <c r="E49" s="2902"/>
      <c r="F49" s="2902"/>
      <c r="G49" s="2902"/>
      <c r="H49" s="2902"/>
      <c r="I49" s="2902"/>
      <c r="J49" s="2902"/>
      <c r="K49" s="2901"/>
      <c r="L49" s="2901"/>
      <c r="M49" s="2900"/>
      <c r="N49" s="2900"/>
      <c r="O49" s="2900"/>
      <c r="P49" s="2900"/>
      <c r="Q49" s="2900"/>
      <c r="R49" s="2900"/>
      <c r="S49" s="2900"/>
      <c r="T49" s="2900"/>
      <c r="U49" s="2900"/>
      <c r="V49" s="2900"/>
      <c r="W49" s="2900"/>
      <c r="X49" s="2900"/>
      <c r="Y49" s="2900"/>
      <c r="Z49" s="2900"/>
      <c r="AA49" s="2900"/>
      <c r="AB49" s="2900"/>
      <c r="AC49" s="2900"/>
      <c r="AD49" s="2900"/>
      <c r="AE49" s="2900"/>
      <c r="AF49" s="2900"/>
      <c r="AG49" s="2900"/>
      <c r="AH49" s="2900"/>
      <c r="AI49" s="2900"/>
      <c r="AJ49" s="2900"/>
      <c r="AK49" s="2900"/>
      <c r="AL49" s="2900"/>
      <c r="AM49" s="2900"/>
      <c r="AN49" s="2900"/>
      <c r="AO49" s="2900"/>
      <c r="AP49" s="2900"/>
      <c r="AQ49" s="2900"/>
      <c r="AR49" s="2900"/>
    </row>
    <row r="50" spans="1:44" ht="14.25">
      <c r="A50" s="1923" t="s">
        <v>1928</v>
      </c>
      <c r="B50" s="127">
        <v>1.2E-2</v>
      </c>
      <c r="C50" s="2888"/>
      <c r="D50" s="2905"/>
      <c r="E50" s="2902"/>
      <c r="F50" s="2902"/>
      <c r="G50" s="2902"/>
      <c r="H50" s="2902"/>
      <c r="I50" s="2902"/>
      <c r="J50" s="2902"/>
      <c r="K50" s="2901"/>
      <c r="L50" s="2901"/>
      <c r="M50" s="2900"/>
      <c r="N50" s="2900"/>
      <c r="O50" s="2900"/>
      <c r="P50" s="2900"/>
      <c r="Q50" s="2900"/>
      <c r="R50" s="2900"/>
      <c r="S50" s="2900"/>
      <c r="T50" s="2900"/>
      <c r="U50" s="2900"/>
      <c r="V50" s="2900"/>
      <c r="W50" s="2900"/>
      <c r="X50" s="2900"/>
      <c r="Y50" s="2900"/>
      <c r="Z50" s="2900"/>
      <c r="AA50" s="2900"/>
      <c r="AB50" s="2900"/>
      <c r="AC50" s="2900"/>
      <c r="AD50" s="2900"/>
      <c r="AE50" s="2900"/>
      <c r="AF50" s="2900"/>
      <c r="AG50" s="2900"/>
      <c r="AH50" s="2900"/>
      <c r="AI50" s="2900"/>
      <c r="AJ50" s="2900"/>
      <c r="AK50" s="2900"/>
      <c r="AL50" s="2900"/>
      <c r="AM50" s="2900"/>
      <c r="AN50" s="2900"/>
      <c r="AO50" s="2900"/>
      <c r="AP50" s="2900"/>
      <c r="AQ50" s="2900"/>
      <c r="AR50" s="2900"/>
    </row>
    <row r="51" spans="1:44" ht="15" thickBot="1">
      <c r="A51" s="1916" t="s">
        <v>1929</v>
      </c>
      <c r="B51" s="128">
        <v>0.12</v>
      </c>
      <c r="C51" s="2888"/>
      <c r="D51" s="2905"/>
      <c r="E51" s="2902"/>
      <c r="F51" s="2902"/>
      <c r="G51" s="2902"/>
      <c r="H51" s="2902"/>
      <c r="I51" s="2902"/>
      <c r="J51" s="2902"/>
      <c r="K51" s="2901"/>
      <c r="L51" s="2901"/>
      <c r="M51" s="2900"/>
      <c r="N51" s="290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c r="AP51" s="2900"/>
      <c r="AQ51" s="2900"/>
      <c r="AR51" s="2900"/>
    </row>
    <row r="52" spans="1:44" ht="14.25">
      <c r="A52" s="1923" t="s">
        <v>1930</v>
      </c>
      <c r="B52" s="129">
        <f>SUMIF(A54:A63,B53,B54:B63)</f>
        <v>9</v>
      </c>
      <c r="C52" s="2888"/>
      <c r="D52" s="2905"/>
      <c r="E52" s="2902"/>
      <c r="F52" s="2902"/>
      <c r="G52" s="2902"/>
      <c r="H52" s="2902"/>
      <c r="I52" s="2902"/>
      <c r="J52" s="2902"/>
      <c r="K52" s="2901"/>
      <c r="L52" s="2901"/>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row>
    <row r="53" spans="1:44" ht="27">
      <c r="A53" s="1915" t="s">
        <v>1931</v>
      </c>
      <c r="B53" s="1924" t="s">
        <v>442</v>
      </c>
      <c r="C53" s="2888" t="s">
        <v>1932</v>
      </c>
      <c r="D53" s="3035" t="s">
        <v>3053</v>
      </c>
      <c r="E53" s="2902"/>
      <c r="F53" s="2902"/>
      <c r="G53" s="2902"/>
      <c r="H53" s="2902"/>
      <c r="I53" s="2902"/>
      <c r="J53" s="2902"/>
      <c r="K53" s="2901"/>
      <c r="L53" s="2901"/>
      <c r="M53" s="2900"/>
      <c r="N53" s="2900"/>
      <c r="O53" s="2900"/>
      <c r="P53" s="2900"/>
      <c r="Q53" s="2900"/>
      <c r="R53" s="2900"/>
      <c r="S53" s="2900"/>
      <c r="T53" s="2900"/>
      <c r="U53" s="2900"/>
      <c r="V53" s="2900"/>
      <c r="W53" s="2900"/>
      <c r="X53" s="2900"/>
      <c r="Y53" s="2900"/>
      <c r="Z53" s="2900"/>
      <c r="AA53" s="2900"/>
      <c r="AB53" s="2900"/>
      <c r="AC53" s="2900"/>
      <c r="AD53" s="2900"/>
      <c r="AE53" s="2900"/>
      <c r="AF53" s="2900"/>
      <c r="AG53" s="2900"/>
      <c r="AH53" s="2900"/>
      <c r="AI53" s="2900"/>
      <c r="AJ53" s="2900"/>
      <c r="AK53" s="2900"/>
      <c r="AL53" s="2900"/>
      <c r="AM53" s="2900"/>
      <c r="AN53" s="2900"/>
      <c r="AO53" s="2900"/>
      <c r="AP53" s="2900"/>
      <c r="AQ53" s="2900"/>
      <c r="AR53" s="2900"/>
    </row>
    <row r="54" spans="1:44" ht="14.25">
      <c r="A54" s="1925" t="s">
        <v>1933</v>
      </c>
      <c r="B54" s="80"/>
      <c r="C54" s="2888">
        <v>30</v>
      </c>
      <c r="D54" s="2905"/>
      <c r="E54" s="2902"/>
      <c r="F54" s="2902"/>
      <c r="G54" s="2902"/>
      <c r="H54" s="2902"/>
      <c r="I54" s="2902"/>
      <c r="J54" s="2902"/>
      <c r="K54" s="2901"/>
      <c r="L54" s="2901"/>
      <c r="M54" s="2900"/>
      <c r="N54" s="2900"/>
      <c r="O54" s="2900"/>
      <c r="P54" s="2900"/>
      <c r="Q54" s="2900"/>
      <c r="R54" s="2900"/>
      <c r="S54" s="2900"/>
      <c r="T54" s="2900"/>
      <c r="U54" s="2900"/>
      <c r="V54" s="2900"/>
      <c r="W54" s="2900"/>
      <c r="X54" s="2900"/>
      <c r="Y54" s="2900"/>
      <c r="Z54" s="2900"/>
      <c r="AA54" s="2900"/>
      <c r="AB54" s="2900"/>
      <c r="AC54" s="2900"/>
      <c r="AD54" s="2900"/>
      <c r="AE54" s="2900"/>
      <c r="AF54" s="2900"/>
      <c r="AG54" s="2900"/>
      <c r="AH54" s="2900"/>
      <c r="AI54" s="2900"/>
      <c r="AJ54" s="2900"/>
      <c r="AK54" s="2900"/>
      <c r="AL54" s="2900"/>
      <c r="AM54" s="2900"/>
      <c r="AN54" s="2900"/>
      <c r="AO54" s="2900"/>
      <c r="AP54" s="2900"/>
      <c r="AQ54" s="2900"/>
      <c r="AR54" s="2900"/>
    </row>
    <row r="55" spans="1:44" ht="14.25">
      <c r="A55" s="1925" t="s">
        <v>1934</v>
      </c>
      <c r="B55" s="80"/>
      <c r="C55" s="2888">
        <v>24</v>
      </c>
      <c r="D55" s="2905"/>
      <c r="E55" s="2902"/>
      <c r="F55" s="2902"/>
      <c r="G55" s="2902"/>
      <c r="H55" s="2902"/>
      <c r="I55" s="2903"/>
      <c r="J55" s="2902"/>
      <c r="K55" s="2901"/>
      <c r="L55" s="2901"/>
      <c r="M55" s="2900"/>
      <c r="N55" s="2900"/>
      <c r="O55" s="2900"/>
      <c r="P55" s="2900"/>
      <c r="Q55" s="2900"/>
      <c r="R55" s="2900"/>
      <c r="S55" s="2900"/>
      <c r="T55" s="2900"/>
      <c r="U55" s="2900"/>
      <c r="V55" s="2900"/>
      <c r="W55" s="2900"/>
      <c r="X55" s="2900"/>
      <c r="Y55" s="2900"/>
      <c r="Z55" s="2900"/>
      <c r="AA55" s="2900"/>
      <c r="AB55" s="2900"/>
      <c r="AC55" s="2900"/>
      <c r="AD55" s="2900"/>
      <c r="AE55" s="2900"/>
      <c r="AF55" s="2900"/>
      <c r="AG55" s="2900"/>
      <c r="AH55" s="2900"/>
      <c r="AI55" s="2900"/>
      <c r="AJ55" s="2900"/>
      <c r="AK55" s="2900"/>
      <c r="AL55" s="2900"/>
      <c r="AM55" s="2900"/>
      <c r="AN55" s="2900"/>
      <c r="AO55" s="2900"/>
      <c r="AP55" s="2900"/>
      <c r="AQ55" s="2900"/>
      <c r="AR55" s="2900"/>
    </row>
    <row r="56" spans="1:44" ht="14.25">
      <c r="A56" s="1925" t="s">
        <v>1935</v>
      </c>
      <c r="B56" s="80">
        <v>9</v>
      </c>
      <c r="C56" s="2888">
        <v>18</v>
      </c>
      <c r="D56" s="2905"/>
      <c r="E56" s="2902"/>
      <c r="F56" s="2902"/>
      <c r="G56" s="2902"/>
      <c r="H56" s="2902"/>
      <c r="I56" s="2902"/>
      <c r="J56" s="2902"/>
      <c r="K56" s="2901"/>
      <c r="L56" s="2901"/>
      <c r="M56" s="2900"/>
      <c r="N56" s="2900"/>
      <c r="O56" s="2900"/>
      <c r="P56" s="2900"/>
      <c r="Q56" s="2900"/>
      <c r="R56" s="2900"/>
      <c r="S56" s="2900"/>
      <c r="T56" s="2900"/>
      <c r="U56" s="2900"/>
      <c r="V56" s="2900"/>
      <c r="W56" s="2900"/>
      <c r="X56" s="2900"/>
      <c r="Y56" s="2900"/>
      <c r="Z56" s="2900"/>
      <c r="AA56" s="2900"/>
      <c r="AB56" s="2900"/>
      <c r="AC56" s="2900"/>
      <c r="AD56" s="2900"/>
      <c r="AE56" s="2900"/>
      <c r="AF56" s="2900"/>
      <c r="AG56" s="2900"/>
      <c r="AH56" s="2900"/>
      <c r="AI56" s="2900"/>
      <c r="AJ56" s="2900"/>
      <c r="AK56" s="2900"/>
      <c r="AL56" s="2900"/>
      <c r="AM56" s="2900"/>
      <c r="AN56" s="2900"/>
      <c r="AO56" s="2900"/>
      <c r="AP56" s="2900"/>
      <c r="AQ56" s="2900"/>
      <c r="AR56" s="2900"/>
    </row>
    <row r="57" spans="1:44" ht="14.25">
      <c r="A57" s="1925" t="s">
        <v>1936</v>
      </c>
      <c r="B57" s="80"/>
      <c r="C57" s="2888">
        <v>12</v>
      </c>
      <c r="D57" s="2905"/>
      <c r="E57" s="2902"/>
      <c r="F57" s="2902"/>
      <c r="G57" s="2902"/>
      <c r="H57" s="2902"/>
      <c r="I57" s="2902"/>
      <c r="J57" s="2902"/>
      <c r="K57" s="2901"/>
      <c r="L57" s="2901"/>
      <c r="M57" s="290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row>
    <row r="58" spans="1:44" ht="14.25">
      <c r="A58" s="1925" t="s">
        <v>1937</v>
      </c>
      <c r="B58" s="80"/>
      <c r="C58" s="2888">
        <v>3</v>
      </c>
      <c r="D58" s="2905"/>
      <c r="E58" s="2902"/>
      <c r="F58" s="2902"/>
      <c r="G58" s="2902"/>
      <c r="H58" s="2902"/>
      <c r="I58" s="2902"/>
      <c r="J58" s="2902"/>
      <c r="K58" s="2901"/>
      <c r="L58" s="2901"/>
      <c r="M58" s="290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row>
    <row r="59" spans="1:44" ht="14.25">
      <c r="A59" s="1925" t="s">
        <v>1938</v>
      </c>
      <c r="B59" s="80"/>
      <c r="C59" s="2888">
        <v>1.5</v>
      </c>
      <c r="D59" s="2905"/>
      <c r="E59" s="2902"/>
      <c r="F59" s="2902"/>
      <c r="G59" s="2902"/>
      <c r="H59" s="2902"/>
      <c r="I59" s="2902"/>
      <c r="J59" s="2902"/>
      <c r="K59" s="2901"/>
      <c r="L59" s="2901"/>
      <c r="M59" s="290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row>
    <row r="60" spans="1:44" ht="14.25">
      <c r="A60" s="1925" t="s">
        <v>1939</v>
      </c>
      <c r="B60" s="80"/>
      <c r="C60" s="2902"/>
      <c r="D60" s="2905"/>
      <c r="E60" s="2902"/>
      <c r="F60" s="2902"/>
      <c r="G60" s="2902"/>
      <c r="H60" s="2902"/>
      <c r="I60" s="2902"/>
      <c r="J60" s="2902"/>
      <c r="K60" s="2901"/>
      <c r="L60" s="2901"/>
      <c r="M60" s="290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row>
    <row r="61" spans="1:44" ht="14.25">
      <c r="A61" s="1925" t="s">
        <v>1940</v>
      </c>
      <c r="B61" s="80"/>
      <c r="C61" s="2902"/>
      <c r="D61" s="2905"/>
      <c r="E61" s="2902"/>
      <c r="F61" s="2902"/>
      <c r="G61" s="2902"/>
      <c r="H61" s="2902"/>
      <c r="I61" s="2902"/>
      <c r="J61" s="2902"/>
      <c r="K61" s="2901"/>
      <c r="L61" s="2901"/>
      <c r="M61" s="290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row>
    <row r="62" spans="1:44" ht="14.25">
      <c r="A62" s="1925" t="s">
        <v>1941</v>
      </c>
      <c r="B62" s="80"/>
      <c r="C62" s="2902"/>
      <c r="D62" s="2905"/>
      <c r="E62" s="2902"/>
      <c r="F62" s="2902"/>
      <c r="G62" s="2902"/>
      <c r="H62" s="2902"/>
      <c r="I62" s="2902"/>
      <c r="J62" s="2902"/>
      <c r="K62" s="2901"/>
      <c r="L62" s="2901"/>
      <c r="M62" s="290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row>
    <row r="63" spans="1:44" ht="15" thickBot="1">
      <c r="A63" s="1926" t="s">
        <v>1942</v>
      </c>
      <c r="B63" s="130"/>
      <c r="C63" s="2902"/>
      <c r="D63" s="2905"/>
      <c r="E63" s="2902"/>
      <c r="F63" s="2902"/>
      <c r="G63" s="2902"/>
      <c r="H63" s="2902"/>
      <c r="I63" s="2902"/>
      <c r="J63" s="2902"/>
      <c r="K63" s="2901"/>
      <c r="L63" s="2901"/>
      <c r="M63" s="290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row>
    <row r="64" spans="1:44" s="901" customFormat="1">
      <c r="A64" s="2891"/>
      <c r="B64" s="2900"/>
      <c r="C64" s="2900"/>
      <c r="D64" s="2904"/>
      <c r="E64" s="2900"/>
      <c r="F64" s="2900"/>
      <c r="G64" s="2900"/>
      <c r="H64" s="2900"/>
      <c r="I64" s="2900"/>
      <c r="J64" s="2900"/>
      <c r="K64" s="2901"/>
      <c r="L64" s="2901"/>
      <c r="M64" s="2900"/>
      <c r="N64" s="2900"/>
      <c r="O64" s="2900"/>
      <c r="P64" s="2900"/>
      <c r="Q64" s="2900"/>
      <c r="R64" s="2900"/>
      <c r="S64" s="2900"/>
      <c r="T64" s="2900"/>
      <c r="U64" s="2900"/>
      <c r="V64" s="2900"/>
      <c r="W64" s="2900"/>
      <c r="X64" s="2900"/>
      <c r="Y64" s="2900"/>
      <c r="Z64" s="2900"/>
      <c r="AA64" s="2900"/>
      <c r="AB64" s="2900"/>
      <c r="AC64" s="2900"/>
      <c r="AD64" s="2900"/>
      <c r="AE64" s="2900"/>
      <c r="AF64" s="2900"/>
      <c r="AG64" s="2900"/>
      <c r="AH64" s="2900"/>
      <c r="AI64" s="2900"/>
      <c r="AJ64" s="2900"/>
      <c r="AK64" s="2900"/>
      <c r="AL64" s="2900"/>
      <c r="AM64" s="2900"/>
      <c r="AN64" s="2900"/>
      <c r="AO64" s="2900"/>
      <c r="AP64" s="2900"/>
      <c r="AQ64" s="2900"/>
      <c r="AR64" s="2900"/>
    </row>
    <row r="65" spans="1:44" s="901" customFormat="1">
      <c r="A65" s="2891"/>
      <c r="B65" s="2900"/>
      <c r="C65" s="2900"/>
      <c r="D65" s="2904"/>
      <c r="E65" s="2900"/>
      <c r="F65" s="2900"/>
      <c r="G65" s="2900"/>
      <c r="H65" s="2900"/>
      <c r="I65" s="2900"/>
      <c r="J65" s="2900"/>
      <c r="K65" s="2901"/>
      <c r="L65" s="2901"/>
      <c r="M65" s="2900"/>
      <c r="N65" s="2900"/>
      <c r="O65" s="2900"/>
      <c r="P65" s="2900"/>
      <c r="Q65" s="2900"/>
      <c r="R65" s="2900"/>
      <c r="S65" s="2900"/>
      <c r="T65" s="2900"/>
      <c r="U65" s="2900"/>
      <c r="V65" s="2900"/>
      <c r="W65" s="2900"/>
      <c r="X65" s="2900"/>
      <c r="Y65" s="2900"/>
      <c r="Z65" s="2900"/>
      <c r="AA65" s="2900"/>
      <c r="AB65" s="2900"/>
      <c r="AC65" s="2900"/>
      <c r="AD65" s="2900"/>
      <c r="AE65" s="2900"/>
      <c r="AF65" s="2900"/>
      <c r="AG65" s="2900"/>
      <c r="AH65" s="2900"/>
      <c r="AI65" s="2900"/>
      <c r="AJ65" s="2900"/>
      <c r="AK65" s="2900"/>
      <c r="AL65" s="2900"/>
      <c r="AM65" s="2900"/>
      <c r="AN65" s="2900"/>
      <c r="AO65" s="2900"/>
      <c r="AP65" s="2900"/>
      <c r="AQ65" s="2900"/>
      <c r="AR65" s="2900"/>
    </row>
    <row r="66" spans="1:44" s="901" customFormat="1">
      <c r="A66" s="2891"/>
      <c r="B66" s="2900"/>
      <c r="C66" s="2900"/>
      <c r="D66" s="2904"/>
      <c r="E66" s="2900"/>
      <c r="F66" s="2900"/>
      <c r="G66" s="2900"/>
      <c r="H66" s="2900"/>
      <c r="I66" s="2900"/>
      <c r="J66" s="2900"/>
      <c r="K66" s="2901"/>
      <c r="L66" s="2901"/>
      <c r="M66" s="2900"/>
      <c r="N66" s="2900"/>
      <c r="O66" s="2900"/>
      <c r="P66" s="2900"/>
      <c r="Q66" s="2900"/>
      <c r="R66" s="2900"/>
      <c r="S66" s="2900"/>
      <c r="T66" s="2900"/>
      <c r="U66" s="2900"/>
      <c r="V66" s="2900"/>
      <c r="W66" s="2900"/>
      <c r="X66" s="2900"/>
      <c r="Y66" s="2900"/>
      <c r="Z66" s="2900"/>
      <c r="AA66" s="2900"/>
      <c r="AB66" s="2900"/>
      <c r="AC66" s="2900"/>
      <c r="AD66" s="2900"/>
      <c r="AE66" s="2900"/>
      <c r="AF66" s="2900"/>
      <c r="AG66" s="2900"/>
      <c r="AH66" s="2900"/>
      <c r="AI66" s="2900"/>
      <c r="AJ66" s="2900"/>
      <c r="AK66" s="2900"/>
      <c r="AL66" s="2900"/>
      <c r="AM66" s="2900"/>
      <c r="AN66" s="2900"/>
      <c r="AO66" s="2900"/>
      <c r="AP66" s="2900"/>
      <c r="AQ66" s="2900"/>
      <c r="AR66" s="2900"/>
    </row>
    <row r="67" spans="1:44" s="901" customFormat="1">
      <c r="A67" s="2891"/>
      <c r="B67" s="2900"/>
      <c r="C67" s="2900"/>
      <c r="D67" s="2904"/>
      <c r="E67" s="2900"/>
      <c r="F67" s="2900"/>
      <c r="G67" s="2900"/>
      <c r="H67" s="2900"/>
      <c r="I67" s="2900"/>
      <c r="J67" s="2900"/>
      <c r="K67" s="2901"/>
      <c r="L67" s="2901"/>
      <c r="M67" s="2900"/>
      <c r="N67" s="2900"/>
      <c r="O67" s="2900"/>
      <c r="P67" s="2900"/>
      <c r="Q67" s="2900"/>
      <c r="R67" s="2900"/>
      <c r="S67" s="2900"/>
      <c r="T67" s="2900"/>
      <c r="U67" s="2900"/>
      <c r="V67" s="2900"/>
      <c r="W67" s="2900"/>
      <c r="X67" s="2900"/>
      <c r="Y67" s="2900"/>
      <c r="Z67" s="2900"/>
      <c r="AA67" s="2900"/>
      <c r="AB67" s="2900"/>
      <c r="AC67" s="2900"/>
      <c r="AD67" s="2900"/>
      <c r="AE67" s="2900"/>
      <c r="AF67" s="2900"/>
      <c r="AG67" s="2900"/>
      <c r="AH67" s="2900"/>
      <c r="AI67" s="2900"/>
      <c r="AJ67" s="2900"/>
      <c r="AK67" s="2900"/>
      <c r="AL67" s="2900"/>
      <c r="AM67" s="2900"/>
      <c r="AN67" s="2900"/>
      <c r="AO67" s="2900"/>
      <c r="AP67" s="2900"/>
      <c r="AQ67" s="2900"/>
      <c r="AR67" s="2900"/>
    </row>
    <row r="68" spans="1:44" s="901" customFormat="1">
      <c r="A68" s="2891"/>
      <c r="B68" s="2900"/>
      <c r="C68" s="2900"/>
      <c r="D68" s="2904"/>
      <c r="E68" s="2900"/>
      <c r="F68" s="2900"/>
      <c r="G68" s="2900"/>
      <c r="H68" s="2900"/>
      <c r="I68" s="2900"/>
      <c r="J68" s="2900"/>
      <c r="K68" s="2901"/>
      <c r="L68" s="2901"/>
      <c r="M68" s="2900"/>
      <c r="N68" s="2900"/>
      <c r="O68" s="2900"/>
      <c r="P68" s="2900"/>
      <c r="Q68" s="2900"/>
      <c r="R68" s="2900"/>
      <c r="S68" s="2900"/>
      <c r="T68" s="2900"/>
      <c r="U68" s="2900"/>
      <c r="V68" s="2900"/>
      <c r="W68" s="2900"/>
      <c r="X68" s="2900"/>
      <c r="Y68" s="2900"/>
      <c r="Z68" s="2900"/>
      <c r="AA68" s="2900"/>
      <c r="AB68" s="2900"/>
      <c r="AC68" s="2900"/>
      <c r="AD68" s="2900"/>
      <c r="AE68" s="2900"/>
      <c r="AF68" s="2900"/>
      <c r="AG68" s="2900"/>
      <c r="AH68" s="2900"/>
      <c r="AI68" s="2900"/>
      <c r="AJ68" s="2900"/>
      <c r="AK68" s="2900"/>
      <c r="AL68" s="2900"/>
      <c r="AM68" s="2900"/>
      <c r="AN68" s="2900"/>
      <c r="AO68" s="2900"/>
      <c r="AP68" s="2900"/>
      <c r="AQ68" s="2900"/>
      <c r="AR68" s="2900"/>
    </row>
    <row r="69" spans="1:44" s="901" customFormat="1">
      <c r="A69" s="1927"/>
      <c r="D69" s="1928"/>
      <c r="K69" s="737"/>
      <c r="L69" s="737"/>
    </row>
    <row r="70" spans="1:44" s="901" customFormat="1">
      <c r="A70" s="1927"/>
      <c r="D70" s="1928"/>
      <c r="K70" s="737"/>
      <c r="L70" s="737"/>
    </row>
    <row r="71" spans="1:44" s="901" customFormat="1">
      <c r="A71" s="1927"/>
      <c r="D71" s="1928"/>
      <c r="K71" s="737"/>
      <c r="L71" s="737"/>
    </row>
    <row r="72" spans="1:44" s="901" customFormat="1">
      <c r="A72" s="1927"/>
      <c r="D72" s="1928"/>
      <c r="K72" s="737"/>
      <c r="L72" s="737"/>
    </row>
    <row r="73" spans="1:44" s="901" customFormat="1">
      <c r="A73" s="1927"/>
      <c r="D73" s="1928"/>
      <c r="K73" s="737"/>
      <c r="L73" s="737"/>
    </row>
    <row r="74" spans="1:44" s="901" customFormat="1">
      <c r="A74" s="1927"/>
      <c r="D74" s="1928"/>
      <c r="K74" s="737"/>
      <c r="L74" s="737"/>
    </row>
    <row r="75" spans="1:44" s="901" customFormat="1">
      <c r="A75" s="1927"/>
      <c r="D75" s="1928"/>
      <c r="K75" s="737"/>
      <c r="L75" s="737"/>
    </row>
    <row r="76" spans="1:44" s="901" customFormat="1">
      <c r="A76" s="1927"/>
      <c r="D76" s="1928"/>
      <c r="K76" s="737"/>
      <c r="L76" s="737"/>
    </row>
    <row r="77" spans="1:44" s="901" customFormat="1">
      <c r="A77" s="1927"/>
      <c r="D77" s="1928"/>
      <c r="K77" s="737"/>
      <c r="L77" s="737"/>
    </row>
    <row r="78" spans="1:44" s="901" customFormat="1">
      <c r="A78" s="1927"/>
      <c r="D78" s="1928"/>
      <c r="K78" s="737"/>
      <c r="L78" s="737"/>
    </row>
    <row r="79" spans="1:44" s="901" customFormat="1">
      <c r="A79" s="1927"/>
      <c r="D79" s="1928"/>
      <c r="K79" s="737"/>
      <c r="L79" s="737"/>
    </row>
    <row r="80" spans="1:44" s="901" customFormat="1">
      <c r="A80" s="1927"/>
      <c r="D80" s="1928"/>
      <c r="K80" s="737"/>
      <c r="L80" s="737"/>
    </row>
    <row r="81" spans="1:12" s="901" customFormat="1">
      <c r="A81" s="1927"/>
      <c r="D81" s="1928"/>
      <c r="K81" s="737"/>
      <c r="L81" s="737"/>
    </row>
    <row r="82" spans="1:12" s="901" customFormat="1">
      <c r="A82" s="1927"/>
      <c r="D82" s="1928"/>
      <c r="K82" s="737"/>
      <c r="L82" s="737"/>
    </row>
    <row r="83" spans="1:12" s="901" customFormat="1">
      <c r="A83" s="1927"/>
      <c r="D83" s="1928"/>
      <c r="K83" s="737"/>
      <c r="L83" s="737"/>
    </row>
    <row r="84" spans="1:12" s="901" customFormat="1">
      <c r="A84" s="1927"/>
      <c r="D84" s="1928"/>
      <c r="K84" s="737"/>
      <c r="L84" s="737"/>
    </row>
    <row r="85" spans="1:12" s="901" customFormat="1">
      <c r="A85" s="1927"/>
      <c r="D85" s="1928"/>
      <c r="K85" s="737"/>
      <c r="L85" s="737"/>
    </row>
    <row r="86" spans="1:12" s="901" customFormat="1">
      <c r="A86" s="1927"/>
      <c r="D86" s="1928"/>
      <c r="K86" s="737"/>
      <c r="L86" s="737"/>
    </row>
    <row r="87" spans="1:12" s="901" customFormat="1">
      <c r="A87" s="1927"/>
      <c r="D87" s="1928"/>
      <c r="K87" s="737"/>
      <c r="L87" s="737"/>
    </row>
    <row r="88" spans="1:12" s="901" customFormat="1">
      <c r="A88" s="1927"/>
      <c r="D88" s="1928"/>
      <c r="K88" s="737"/>
      <c r="L88" s="737"/>
    </row>
    <row r="89" spans="1:12" s="901" customFormat="1">
      <c r="A89" s="1927"/>
      <c r="D89" s="1928"/>
      <c r="K89" s="737"/>
      <c r="L89" s="737"/>
    </row>
    <row r="90" spans="1:12" s="901" customFormat="1">
      <c r="A90" s="1927"/>
      <c r="D90" s="1928"/>
      <c r="K90" s="737"/>
      <c r="L90" s="737"/>
    </row>
    <row r="91" spans="1:12" s="901" customFormat="1">
      <c r="A91" s="1927"/>
      <c r="D91" s="1928"/>
      <c r="K91" s="737"/>
      <c r="L91" s="737"/>
    </row>
    <row r="92" spans="1:12" s="901" customFormat="1">
      <c r="A92" s="1927"/>
      <c r="D92" s="1928"/>
      <c r="K92" s="737"/>
      <c r="L92" s="737"/>
    </row>
    <row r="93" spans="1:12" s="901" customFormat="1">
      <c r="A93" s="1927"/>
      <c r="D93" s="1928"/>
      <c r="K93" s="737"/>
      <c r="L93" s="737"/>
    </row>
    <row r="94" spans="1:12" s="901" customFormat="1">
      <c r="A94" s="1927"/>
      <c r="D94" s="1928"/>
      <c r="K94" s="737"/>
      <c r="L94" s="737"/>
    </row>
    <row r="95" spans="1:12" s="901" customFormat="1">
      <c r="A95" s="1927"/>
      <c r="D95" s="1928"/>
      <c r="K95" s="737"/>
      <c r="L95" s="737"/>
    </row>
    <row r="96" spans="1:12" s="901" customFormat="1">
      <c r="A96" s="1927"/>
      <c r="D96" s="1928"/>
      <c r="K96" s="737"/>
      <c r="L96" s="737"/>
    </row>
    <row r="97" spans="1:12" s="901" customFormat="1">
      <c r="A97" s="1927"/>
      <c r="D97" s="1928"/>
      <c r="K97" s="737"/>
      <c r="L97" s="737"/>
    </row>
    <row r="98" spans="1:12" s="901" customFormat="1">
      <c r="A98" s="1927"/>
      <c r="D98" s="1928"/>
      <c r="K98" s="737"/>
      <c r="L98" s="737"/>
    </row>
    <row r="99" spans="1:12" s="901" customFormat="1">
      <c r="A99" s="1927"/>
      <c r="D99" s="1928"/>
      <c r="K99" s="737"/>
      <c r="L99" s="737"/>
    </row>
    <row r="100" spans="1:12" s="901" customFormat="1">
      <c r="A100" s="1927"/>
      <c r="D100" s="1928"/>
      <c r="K100" s="737"/>
      <c r="L100" s="737"/>
    </row>
    <row r="101" spans="1:12" s="901" customFormat="1">
      <c r="A101" s="1927"/>
      <c r="D101" s="1928"/>
      <c r="K101" s="737"/>
      <c r="L101" s="737"/>
    </row>
    <row r="102" spans="1:12" s="901" customFormat="1">
      <c r="A102" s="1927"/>
      <c r="D102" s="1928"/>
      <c r="K102" s="737"/>
      <c r="L102" s="737"/>
    </row>
    <row r="103" spans="1:12" s="901" customFormat="1">
      <c r="A103" s="1927"/>
      <c r="D103" s="1928"/>
      <c r="K103" s="737"/>
      <c r="L103" s="737"/>
    </row>
    <row r="104" spans="1:12" s="901" customFormat="1">
      <c r="A104" s="1927"/>
      <c r="D104" s="1928"/>
      <c r="K104" s="737"/>
      <c r="L104" s="737"/>
    </row>
    <row r="105" spans="1:12" s="901" customFormat="1">
      <c r="A105" s="1927"/>
      <c r="D105" s="1928"/>
      <c r="K105" s="737"/>
      <c r="L105" s="737"/>
    </row>
    <row r="106" spans="1:12" s="901" customFormat="1">
      <c r="A106" s="1927"/>
      <c r="D106" s="1928"/>
      <c r="K106" s="737"/>
      <c r="L106" s="737"/>
    </row>
    <row r="107" spans="1:12" s="901" customFormat="1">
      <c r="A107" s="1927"/>
      <c r="D107" s="1928"/>
      <c r="K107" s="737"/>
      <c r="L107" s="737"/>
    </row>
    <row r="108" spans="1:12" s="901" customFormat="1">
      <c r="A108" s="1927"/>
      <c r="D108" s="1928"/>
      <c r="K108" s="737"/>
      <c r="L108" s="737"/>
    </row>
    <row r="109" spans="1:12" s="901" customFormat="1">
      <c r="A109" s="1927"/>
      <c r="D109" s="1928"/>
      <c r="K109" s="737"/>
      <c r="L109" s="737"/>
    </row>
    <row r="110" spans="1:12" s="901" customFormat="1">
      <c r="A110" s="1927"/>
      <c r="D110" s="1928"/>
      <c r="K110" s="737"/>
      <c r="L110" s="737"/>
    </row>
    <row r="111" spans="1:12" s="901" customFormat="1">
      <c r="A111" s="1927"/>
      <c r="D111" s="1928"/>
      <c r="K111" s="737"/>
      <c r="L111" s="737"/>
    </row>
    <row r="112" spans="1:12" s="901" customFormat="1">
      <c r="A112" s="1927"/>
      <c r="D112" s="1928"/>
      <c r="K112" s="737"/>
      <c r="L112" s="737"/>
    </row>
    <row r="113" spans="1:12" s="901" customFormat="1">
      <c r="A113" s="1927"/>
      <c r="D113" s="1928"/>
      <c r="K113" s="737"/>
      <c r="L113" s="737"/>
    </row>
    <row r="114" spans="1:12" s="901" customFormat="1">
      <c r="A114" s="1927"/>
      <c r="D114" s="1928"/>
      <c r="K114" s="737"/>
      <c r="L114" s="737"/>
    </row>
    <row r="115" spans="1:12" s="901" customFormat="1">
      <c r="A115" s="1927"/>
      <c r="D115" s="1928"/>
      <c r="K115" s="737"/>
      <c r="L115" s="737"/>
    </row>
    <row r="116" spans="1:12" s="901" customFormat="1">
      <c r="A116" s="1927"/>
      <c r="D116" s="1928"/>
      <c r="K116" s="737"/>
      <c r="L116" s="737"/>
    </row>
    <row r="117" spans="1:12" s="901" customFormat="1">
      <c r="A117" s="1927"/>
      <c r="D117" s="1928"/>
      <c r="K117" s="737"/>
      <c r="L117" s="737"/>
    </row>
    <row r="118" spans="1:12" s="901" customFormat="1">
      <c r="A118" s="1927"/>
      <c r="D118" s="1928"/>
      <c r="K118" s="737"/>
      <c r="L118" s="737"/>
    </row>
    <row r="119" spans="1:12" s="901" customFormat="1">
      <c r="A119" s="1927"/>
      <c r="D119" s="1928"/>
      <c r="K119" s="737"/>
      <c r="L119" s="737"/>
    </row>
    <row r="120" spans="1:12" s="901" customFormat="1">
      <c r="A120" s="1927"/>
      <c r="D120" s="1928"/>
      <c r="K120" s="737"/>
      <c r="L120" s="737"/>
    </row>
    <row r="121" spans="1:12" s="901" customFormat="1">
      <c r="A121" s="1927"/>
      <c r="D121" s="1928"/>
      <c r="K121" s="737"/>
      <c r="L121" s="737"/>
    </row>
    <row r="122" spans="1:12" s="901" customFormat="1">
      <c r="A122" s="1927"/>
      <c r="D122" s="1928"/>
      <c r="K122" s="737"/>
      <c r="L122" s="737"/>
    </row>
    <row r="123" spans="1:12" s="901" customFormat="1">
      <c r="A123" s="1927"/>
      <c r="D123" s="1928"/>
      <c r="K123" s="737"/>
      <c r="L123" s="737"/>
    </row>
    <row r="124" spans="1:12" s="901" customFormat="1">
      <c r="A124" s="1927"/>
      <c r="D124" s="1928"/>
      <c r="K124" s="737"/>
      <c r="L124" s="737"/>
    </row>
    <row r="125" spans="1:12" s="901" customFormat="1">
      <c r="A125" s="1927"/>
      <c r="D125" s="1928"/>
      <c r="K125" s="737"/>
      <c r="L125" s="737"/>
    </row>
    <row r="126" spans="1:12" s="901" customFormat="1">
      <c r="A126" s="1927"/>
      <c r="D126" s="1928"/>
      <c r="K126" s="737"/>
      <c r="L126" s="737"/>
    </row>
    <row r="127" spans="1:12" s="901" customFormat="1">
      <c r="A127" s="1927"/>
      <c r="D127" s="1928"/>
      <c r="K127" s="737"/>
      <c r="L127" s="737"/>
    </row>
    <row r="128" spans="1:12" s="901" customFormat="1">
      <c r="A128" s="1927"/>
      <c r="D128" s="1928"/>
      <c r="K128" s="737"/>
      <c r="L128" s="737"/>
    </row>
    <row r="129" spans="1:12" s="901" customFormat="1">
      <c r="A129" s="1927"/>
      <c r="D129" s="1928"/>
      <c r="K129" s="737"/>
      <c r="L129" s="737"/>
    </row>
    <row r="130" spans="1:12" s="901" customFormat="1">
      <c r="A130" s="1927"/>
      <c r="D130" s="1928"/>
      <c r="K130" s="737"/>
      <c r="L130" s="737"/>
    </row>
    <row r="131" spans="1:12" s="901" customFormat="1">
      <c r="A131" s="1927"/>
      <c r="D131" s="1928"/>
      <c r="K131" s="737"/>
      <c r="L131" s="737"/>
    </row>
    <row r="132" spans="1:12" s="901" customFormat="1">
      <c r="A132" s="1927"/>
      <c r="D132" s="1928"/>
      <c r="K132" s="737"/>
      <c r="L132" s="737"/>
    </row>
    <row r="133" spans="1:12" s="901"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BC897-8E47-4CCC-AC65-C65B71388560}">
  <dimension ref="A1:W44"/>
  <sheetViews>
    <sheetView topLeftCell="A2" zoomScaleNormal="100" workbookViewId="0">
      <selection activeCell="C41" sqref="C41"/>
    </sheetView>
  </sheetViews>
  <sheetFormatPr defaultColWidth="8.75" defaultRowHeight="13.15" customHeight="1"/>
  <cols>
    <col min="1" max="1" width="8.5" style="3475" customWidth="1"/>
    <col min="2" max="2" width="8.75" style="3475"/>
    <col min="3" max="5" width="11.625" style="3475" customWidth="1"/>
    <col min="6" max="6" width="42.75" style="3475" customWidth="1"/>
    <col min="7" max="7" width="11.75" style="3475" customWidth="1"/>
    <col min="8" max="8" width="8.75" style="3475"/>
    <col min="9" max="9" width="8.75" style="3476"/>
    <col min="10" max="10" width="5.25" style="3601" customWidth="1"/>
    <col min="11" max="11" width="10.625" style="3601" customWidth="1"/>
    <col min="12" max="13" width="9.75" style="3601" customWidth="1"/>
    <col min="14" max="14" width="9" style="3601" customWidth="1"/>
    <col min="15" max="16" width="9.375" style="3601" bestFit="1" customWidth="1"/>
    <col min="17" max="17" width="9" style="3601" customWidth="1"/>
    <col min="18" max="18" width="9.125" style="3601" customWidth="1"/>
    <col min="19" max="19" width="9" style="3601" customWidth="1"/>
    <col min="20" max="20" width="23.5" style="3601" customWidth="1"/>
    <col min="21" max="21" width="8.75" style="3601"/>
    <col min="22" max="22" width="8.75" style="3476"/>
    <col min="23" max="256" width="8.75" style="3475"/>
    <col min="257" max="257" width="8.5" style="3475" customWidth="1"/>
    <col min="258" max="258" width="8.75" style="3475"/>
    <col min="259" max="261" width="11.625" style="3475" customWidth="1"/>
    <col min="262" max="262" width="42.75" style="3475" customWidth="1"/>
    <col min="263" max="263" width="11.75" style="3475" customWidth="1"/>
    <col min="264" max="265" width="8.75" style="3475"/>
    <col min="266" max="266" width="5.25" style="3475" customWidth="1"/>
    <col min="267" max="267" width="10.625" style="3475" customWidth="1"/>
    <col min="268" max="269" width="9.75" style="3475" customWidth="1"/>
    <col min="270" max="270" width="9" style="3475" customWidth="1"/>
    <col min="271" max="272" width="9.375" style="3475" bestFit="1" customWidth="1"/>
    <col min="273" max="273" width="9" style="3475" customWidth="1"/>
    <col min="274" max="274" width="9.125" style="3475" customWidth="1"/>
    <col min="275" max="275" width="9" style="3475" customWidth="1"/>
    <col min="276" max="276" width="23.5" style="3475" customWidth="1"/>
    <col min="277" max="512" width="8.75" style="3475"/>
    <col min="513" max="513" width="8.5" style="3475" customWidth="1"/>
    <col min="514" max="514" width="8.75" style="3475"/>
    <col min="515" max="517" width="11.625" style="3475" customWidth="1"/>
    <col min="518" max="518" width="42.75" style="3475" customWidth="1"/>
    <col min="519" max="519" width="11.75" style="3475" customWidth="1"/>
    <col min="520" max="521" width="8.75" style="3475"/>
    <col min="522" max="522" width="5.25" style="3475" customWidth="1"/>
    <col min="523" max="523" width="10.625" style="3475" customWidth="1"/>
    <col min="524" max="525" width="9.75" style="3475" customWidth="1"/>
    <col min="526" max="526" width="9" style="3475" customWidth="1"/>
    <col min="527" max="528" width="9.375" style="3475" bestFit="1" customWidth="1"/>
    <col min="529" max="529" width="9" style="3475" customWidth="1"/>
    <col min="530" max="530" width="9.125" style="3475" customWidth="1"/>
    <col min="531" max="531" width="9" style="3475" customWidth="1"/>
    <col min="532" max="532" width="23.5" style="3475" customWidth="1"/>
    <col min="533" max="768" width="8.75" style="3475"/>
    <col min="769" max="769" width="8.5" style="3475" customWidth="1"/>
    <col min="770" max="770" width="8.75" style="3475"/>
    <col min="771" max="773" width="11.625" style="3475" customWidth="1"/>
    <col min="774" max="774" width="42.75" style="3475" customWidth="1"/>
    <col min="775" max="775" width="11.75" style="3475" customWidth="1"/>
    <col min="776" max="777" width="8.75" style="3475"/>
    <col min="778" max="778" width="5.25" style="3475" customWidth="1"/>
    <col min="779" max="779" width="10.625" style="3475" customWidth="1"/>
    <col min="780" max="781" width="9.75" style="3475" customWidth="1"/>
    <col min="782" max="782" width="9" style="3475" customWidth="1"/>
    <col min="783" max="784" width="9.375" style="3475" bestFit="1" customWidth="1"/>
    <col min="785" max="785" width="9" style="3475" customWidth="1"/>
    <col min="786" max="786" width="9.125" style="3475" customWidth="1"/>
    <col min="787" max="787" width="9" style="3475" customWidth="1"/>
    <col min="788" max="788" width="23.5" style="3475" customWidth="1"/>
    <col min="789" max="1024" width="8.75" style="3475"/>
    <col min="1025" max="1025" width="8.5" style="3475" customWidth="1"/>
    <col min="1026" max="1026" width="8.75" style="3475"/>
    <col min="1027" max="1029" width="11.625" style="3475" customWidth="1"/>
    <col min="1030" max="1030" width="42.75" style="3475" customWidth="1"/>
    <col min="1031" max="1031" width="11.75" style="3475" customWidth="1"/>
    <col min="1032" max="1033" width="8.75" style="3475"/>
    <col min="1034" max="1034" width="5.25" style="3475" customWidth="1"/>
    <col min="1035" max="1035" width="10.625" style="3475" customWidth="1"/>
    <col min="1036" max="1037" width="9.75" style="3475" customWidth="1"/>
    <col min="1038" max="1038" width="9" style="3475" customWidth="1"/>
    <col min="1039" max="1040" width="9.375" style="3475" bestFit="1" customWidth="1"/>
    <col min="1041" max="1041" width="9" style="3475" customWidth="1"/>
    <col min="1042" max="1042" width="9.125" style="3475" customWidth="1"/>
    <col min="1043" max="1043" width="9" style="3475" customWidth="1"/>
    <col min="1044" max="1044" width="23.5" style="3475" customWidth="1"/>
    <col min="1045" max="1280" width="8.75" style="3475"/>
    <col min="1281" max="1281" width="8.5" style="3475" customWidth="1"/>
    <col min="1282" max="1282" width="8.75" style="3475"/>
    <col min="1283" max="1285" width="11.625" style="3475" customWidth="1"/>
    <col min="1286" max="1286" width="42.75" style="3475" customWidth="1"/>
    <col min="1287" max="1287" width="11.75" style="3475" customWidth="1"/>
    <col min="1288" max="1289" width="8.75" style="3475"/>
    <col min="1290" max="1290" width="5.25" style="3475" customWidth="1"/>
    <col min="1291" max="1291" width="10.625" style="3475" customWidth="1"/>
    <col min="1292" max="1293" width="9.75" style="3475" customWidth="1"/>
    <col min="1294" max="1294" width="9" style="3475" customWidth="1"/>
    <col min="1295" max="1296" width="9.375" style="3475" bestFit="1" customWidth="1"/>
    <col min="1297" max="1297" width="9" style="3475" customWidth="1"/>
    <col min="1298" max="1298" width="9.125" style="3475" customWidth="1"/>
    <col min="1299" max="1299" width="9" style="3475" customWidth="1"/>
    <col min="1300" max="1300" width="23.5" style="3475" customWidth="1"/>
    <col min="1301" max="1536" width="8.75" style="3475"/>
    <col min="1537" max="1537" width="8.5" style="3475" customWidth="1"/>
    <col min="1538" max="1538" width="8.75" style="3475"/>
    <col min="1539" max="1541" width="11.625" style="3475" customWidth="1"/>
    <col min="1542" max="1542" width="42.75" style="3475" customWidth="1"/>
    <col min="1543" max="1543" width="11.75" style="3475" customWidth="1"/>
    <col min="1544" max="1545" width="8.75" style="3475"/>
    <col min="1546" max="1546" width="5.25" style="3475" customWidth="1"/>
    <col min="1547" max="1547" width="10.625" style="3475" customWidth="1"/>
    <col min="1548" max="1549" width="9.75" style="3475" customWidth="1"/>
    <col min="1550" max="1550" width="9" style="3475" customWidth="1"/>
    <col min="1551" max="1552" width="9.375" style="3475" bestFit="1" customWidth="1"/>
    <col min="1553" max="1553" width="9" style="3475" customWidth="1"/>
    <col min="1554" max="1554" width="9.125" style="3475" customWidth="1"/>
    <col min="1555" max="1555" width="9" style="3475" customWidth="1"/>
    <col min="1556" max="1556" width="23.5" style="3475" customWidth="1"/>
    <col min="1557" max="1792" width="8.75" style="3475"/>
    <col min="1793" max="1793" width="8.5" style="3475" customWidth="1"/>
    <col min="1794" max="1794" width="8.75" style="3475"/>
    <col min="1795" max="1797" width="11.625" style="3475" customWidth="1"/>
    <col min="1798" max="1798" width="42.75" style="3475" customWidth="1"/>
    <col min="1799" max="1799" width="11.75" style="3475" customWidth="1"/>
    <col min="1800" max="1801" width="8.75" style="3475"/>
    <col min="1802" max="1802" width="5.25" style="3475" customWidth="1"/>
    <col min="1803" max="1803" width="10.625" style="3475" customWidth="1"/>
    <col min="1804" max="1805" width="9.75" style="3475" customWidth="1"/>
    <col min="1806" max="1806" width="9" style="3475" customWidth="1"/>
    <col min="1807" max="1808" width="9.375" style="3475" bestFit="1" customWidth="1"/>
    <col min="1809" max="1809" width="9" style="3475" customWidth="1"/>
    <col min="1810" max="1810" width="9.125" style="3475" customWidth="1"/>
    <col min="1811" max="1811" width="9" style="3475" customWidth="1"/>
    <col min="1812" max="1812" width="23.5" style="3475" customWidth="1"/>
    <col min="1813" max="2048" width="8.75" style="3475"/>
    <col min="2049" max="2049" width="8.5" style="3475" customWidth="1"/>
    <col min="2050" max="2050" width="8.75" style="3475"/>
    <col min="2051" max="2053" width="11.625" style="3475" customWidth="1"/>
    <col min="2054" max="2054" width="42.75" style="3475" customWidth="1"/>
    <col min="2055" max="2055" width="11.75" style="3475" customWidth="1"/>
    <col min="2056" max="2057" width="8.75" style="3475"/>
    <col min="2058" max="2058" width="5.25" style="3475" customWidth="1"/>
    <col min="2059" max="2059" width="10.625" style="3475" customWidth="1"/>
    <col min="2060" max="2061" width="9.75" style="3475" customWidth="1"/>
    <col min="2062" max="2062" width="9" style="3475" customWidth="1"/>
    <col min="2063" max="2064" width="9.375" style="3475" bestFit="1" customWidth="1"/>
    <col min="2065" max="2065" width="9" style="3475" customWidth="1"/>
    <col min="2066" max="2066" width="9.125" style="3475" customWidth="1"/>
    <col min="2067" max="2067" width="9" style="3475" customWidth="1"/>
    <col min="2068" max="2068" width="23.5" style="3475" customWidth="1"/>
    <col min="2069" max="2304" width="8.75" style="3475"/>
    <col min="2305" max="2305" width="8.5" style="3475" customWidth="1"/>
    <col min="2306" max="2306" width="8.75" style="3475"/>
    <col min="2307" max="2309" width="11.625" style="3475" customWidth="1"/>
    <col min="2310" max="2310" width="42.75" style="3475" customWidth="1"/>
    <col min="2311" max="2311" width="11.75" style="3475" customWidth="1"/>
    <col min="2312" max="2313" width="8.75" style="3475"/>
    <col min="2314" max="2314" width="5.25" style="3475" customWidth="1"/>
    <col min="2315" max="2315" width="10.625" style="3475" customWidth="1"/>
    <col min="2316" max="2317" width="9.75" style="3475" customWidth="1"/>
    <col min="2318" max="2318" width="9" style="3475" customWidth="1"/>
    <col min="2319" max="2320" width="9.375" style="3475" bestFit="1" customWidth="1"/>
    <col min="2321" max="2321" width="9" style="3475" customWidth="1"/>
    <col min="2322" max="2322" width="9.125" style="3475" customWidth="1"/>
    <col min="2323" max="2323" width="9" style="3475" customWidth="1"/>
    <col min="2324" max="2324" width="23.5" style="3475" customWidth="1"/>
    <col min="2325" max="2560" width="8.75" style="3475"/>
    <col min="2561" max="2561" width="8.5" style="3475" customWidth="1"/>
    <col min="2562" max="2562" width="8.75" style="3475"/>
    <col min="2563" max="2565" width="11.625" style="3475" customWidth="1"/>
    <col min="2566" max="2566" width="42.75" style="3475" customWidth="1"/>
    <col min="2567" max="2567" width="11.75" style="3475" customWidth="1"/>
    <col min="2568" max="2569" width="8.75" style="3475"/>
    <col min="2570" max="2570" width="5.25" style="3475" customWidth="1"/>
    <col min="2571" max="2571" width="10.625" style="3475" customWidth="1"/>
    <col min="2572" max="2573" width="9.75" style="3475" customWidth="1"/>
    <col min="2574" max="2574" width="9" style="3475" customWidth="1"/>
    <col min="2575" max="2576" width="9.375" style="3475" bestFit="1" customWidth="1"/>
    <col min="2577" max="2577" width="9" style="3475" customWidth="1"/>
    <col min="2578" max="2578" width="9.125" style="3475" customWidth="1"/>
    <col min="2579" max="2579" width="9" style="3475" customWidth="1"/>
    <col min="2580" max="2580" width="23.5" style="3475" customWidth="1"/>
    <col min="2581" max="2816" width="8.75" style="3475"/>
    <col min="2817" max="2817" width="8.5" style="3475" customWidth="1"/>
    <col min="2818" max="2818" width="8.75" style="3475"/>
    <col min="2819" max="2821" width="11.625" style="3475" customWidth="1"/>
    <col min="2822" max="2822" width="42.75" style="3475" customWidth="1"/>
    <col min="2823" max="2823" width="11.75" style="3475" customWidth="1"/>
    <col min="2824" max="2825" width="8.75" style="3475"/>
    <col min="2826" max="2826" width="5.25" style="3475" customWidth="1"/>
    <col min="2827" max="2827" width="10.625" style="3475" customWidth="1"/>
    <col min="2828" max="2829" width="9.75" style="3475" customWidth="1"/>
    <col min="2830" max="2830" width="9" style="3475" customWidth="1"/>
    <col min="2831" max="2832" width="9.375" style="3475" bestFit="1" customWidth="1"/>
    <col min="2833" max="2833" width="9" style="3475" customWidth="1"/>
    <col min="2834" max="2834" width="9.125" style="3475" customWidth="1"/>
    <col min="2835" max="2835" width="9" style="3475" customWidth="1"/>
    <col min="2836" max="2836" width="23.5" style="3475" customWidth="1"/>
    <col min="2837" max="3072" width="8.75" style="3475"/>
    <col min="3073" max="3073" width="8.5" style="3475" customWidth="1"/>
    <col min="3074" max="3074" width="8.75" style="3475"/>
    <col min="3075" max="3077" width="11.625" style="3475" customWidth="1"/>
    <col min="3078" max="3078" width="42.75" style="3475" customWidth="1"/>
    <col min="3079" max="3079" width="11.75" style="3475" customWidth="1"/>
    <col min="3080" max="3081" width="8.75" style="3475"/>
    <col min="3082" max="3082" width="5.25" style="3475" customWidth="1"/>
    <col min="3083" max="3083" width="10.625" style="3475" customWidth="1"/>
    <col min="3084" max="3085" width="9.75" style="3475" customWidth="1"/>
    <col min="3086" max="3086" width="9" style="3475" customWidth="1"/>
    <col min="3087" max="3088" width="9.375" style="3475" bestFit="1" customWidth="1"/>
    <col min="3089" max="3089" width="9" style="3475" customWidth="1"/>
    <col min="3090" max="3090" width="9.125" style="3475" customWidth="1"/>
    <col min="3091" max="3091" width="9" style="3475" customWidth="1"/>
    <col min="3092" max="3092" width="23.5" style="3475" customWidth="1"/>
    <col min="3093" max="3328" width="8.75" style="3475"/>
    <col min="3329" max="3329" width="8.5" style="3475" customWidth="1"/>
    <col min="3330" max="3330" width="8.75" style="3475"/>
    <col min="3331" max="3333" width="11.625" style="3475" customWidth="1"/>
    <col min="3334" max="3334" width="42.75" style="3475" customWidth="1"/>
    <col min="3335" max="3335" width="11.75" style="3475" customWidth="1"/>
    <col min="3336" max="3337" width="8.75" style="3475"/>
    <col min="3338" max="3338" width="5.25" style="3475" customWidth="1"/>
    <col min="3339" max="3339" width="10.625" style="3475" customWidth="1"/>
    <col min="3340" max="3341" width="9.75" style="3475" customWidth="1"/>
    <col min="3342" max="3342" width="9" style="3475" customWidth="1"/>
    <col min="3343" max="3344" width="9.375" style="3475" bestFit="1" customWidth="1"/>
    <col min="3345" max="3345" width="9" style="3475" customWidth="1"/>
    <col min="3346" max="3346" width="9.125" style="3475" customWidth="1"/>
    <col min="3347" max="3347" width="9" style="3475" customWidth="1"/>
    <col min="3348" max="3348" width="23.5" style="3475" customWidth="1"/>
    <col min="3349" max="3584" width="8.75" style="3475"/>
    <col min="3585" max="3585" width="8.5" style="3475" customWidth="1"/>
    <col min="3586" max="3586" width="8.75" style="3475"/>
    <col min="3587" max="3589" width="11.625" style="3475" customWidth="1"/>
    <col min="3590" max="3590" width="42.75" style="3475" customWidth="1"/>
    <col min="3591" max="3591" width="11.75" style="3475" customWidth="1"/>
    <col min="3592" max="3593" width="8.75" style="3475"/>
    <col min="3594" max="3594" width="5.25" style="3475" customWidth="1"/>
    <col min="3595" max="3595" width="10.625" style="3475" customWidth="1"/>
    <col min="3596" max="3597" width="9.75" style="3475" customWidth="1"/>
    <col min="3598" max="3598" width="9" style="3475" customWidth="1"/>
    <col min="3599" max="3600" width="9.375" style="3475" bestFit="1" customWidth="1"/>
    <col min="3601" max="3601" width="9" style="3475" customWidth="1"/>
    <col min="3602" max="3602" width="9.125" style="3475" customWidth="1"/>
    <col min="3603" max="3603" width="9" style="3475" customWidth="1"/>
    <col min="3604" max="3604" width="23.5" style="3475" customWidth="1"/>
    <col min="3605" max="3840" width="8.75" style="3475"/>
    <col min="3841" max="3841" width="8.5" style="3475" customWidth="1"/>
    <col min="3842" max="3842" width="8.75" style="3475"/>
    <col min="3843" max="3845" width="11.625" style="3475" customWidth="1"/>
    <col min="3846" max="3846" width="42.75" style="3475" customWidth="1"/>
    <col min="3847" max="3847" width="11.75" style="3475" customWidth="1"/>
    <col min="3848" max="3849" width="8.75" style="3475"/>
    <col min="3850" max="3850" width="5.25" style="3475" customWidth="1"/>
    <col min="3851" max="3851" width="10.625" style="3475" customWidth="1"/>
    <col min="3852" max="3853" width="9.75" style="3475" customWidth="1"/>
    <col min="3854" max="3854" width="9" style="3475" customWidth="1"/>
    <col min="3855" max="3856" width="9.375" style="3475" bestFit="1" customWidth="1"/>
    <col min="3857" max="3857" width="9" style="3475" customWidth="1"/>
    <col min="3858" max="3858" width="9.125" style="3475" customWidth="1"/>
    <col min="3859" max="3859" width="9" style="3475" customWidth="1"/>
    <col min="3860" max="3860" width="23.5" style="3475" customWidth="1"/>
    <col min="3861" max="4096" width="8.75" style="3475"/>
    <col min="4097" max="4097" width="8.5" style="3475" customWidth="1"/>
    <col min="4098" max="4098" width="8.75" style="3475"/>
    <col min="4099" max="4101" width="11.625" style="3475" customWidth="1"/>
    <col min="4102" max="4102" width="42.75" style="3475" customWidth="1"/>
    <col min="4103" max="4103" width="11.75" style="3475" customWidth="1"/>
    <col min="4104" max="4105" width="8.75" style="3475"/>
    <col min="4106" max="4106" width="5.25" style="3475" customWidth="1"/>
    <col min="4107" max="4107" width="10.625" style="3475" customWidth="1"/>
    <col min="4108" max="4109" width="9.75" style="3475" customWidth="1"/>
    <col min="4110" max="4110" width="9" style="3475" customWidth="1"/>
    <col min="4111" max="4112" width="9.375" style="3475" bestFit="1" customWidth="1"/>
    <col min="4113" max="4113" width="9" style="3475" customWidth="1"/>
    <col min="4114" max="4114" width="9.125" style="3475" customWidth="1"/>
    <col min="4115" max="4115" width="9" style="3475" customWidth="1"/>
    <col min="4116" max="4116" width="23.5" style="3475" customWidth="1"/>
    <col min="4117" max="4352" width="8.75" style="3475"/>
    <col min="4353" max="4353" width="8.5" style="3475" customWidth="1"/>
    <col min="4354" max="4354" width="8.75" style="3475"/>
    <col min="4355" max="4357" width="11.625" style="3475" customWidth="1"/>
    <col min="4358" max="4358" width="42.75" style="3475" customWidth="1"/>
    <col min="4359" max="4359" width="11.75" style="3475" customWidth="1"/>
    <col min="4360" max="4361" width="8.75" style="3475"/>
    <col min="4362" max="4362" width="5.25" style="3475" customWidth="1"/>
    <col min="4363" max="4363" width="10.625" style="3475" customWidth="1"/>
    <col min="4364" max="4365" width="9.75" style="3475" customWidth="1"/>
    <col min="4366" max="4366" width="9" style="3475" customWidth="1"/>
    <col min="4367" max="4368" width="9.375" style="3475" bestFit="1" customWidth="1"/>
    <col min="4369" max="4369" width="9" style="3475" customWidth="1"/>
    <col min="4370" max="4370" width="9.125" style="3475" customWidth="1"/>
    <col min="4371" max="4371" width="9" style="3475" customWidth="1"/>
    <col min="4372" max="4372" width="23.5" style="3475" customWidth="1"/>
    <col min="4373" max="4608" width="8.75" style="3475"/>
    <col min="4609" max="4609" width="8.5" style="3475" customWidth="1"/>
    <col min="4610" max="4610" width="8.75" style="3475"/>
    <col min="4611" max="4613" width="11.625" style="3475" customWidth="1"/>
    <col min="4614" max="4614" width="42.75" style="3475" customWidth="1"/>
    <col min="4615" max="4615" width="11.75" style="3475" customWidth="1"/>
    <col min="4616" max="4617" width="8.75" style="3475"/>
    <col min="4618" max="4618" width="5.25" style="3475" customWidth="1"/>
    <col min="4619" max="4619" width="10.625" style="3475" customWidth="1"/>
    <col min="4620" max="4621" width="9.75" style="3475" customWidth="1"/>
    <col min="4622" max="4622" width="9" style="3475" customWidth="1"/>
    <col min="4623" max="4624" width="9.375" style="3475" bestFit="1" customWidth="1"/>
    <col min="4625" max="4625" width="9" style="3475" customWidth="1"/>
    <col min="4626" max="4626" width="9.125" style="3475" customWidth="1"/>
    <col min="4627" max="4627" width="9" style="3475" customWidth="1"/>
    <col min="4628" max="4628" width="23.5" style="3475" customWidth="1"/>
    <col min="4629" max="4864" width="8.75" style="3475"/>
    <col min="4865" max="4865" width="8.5" style="3475" customWidth="1"/>
    <col min="4866" max="4866" width="8.75" style="3475"/>
    <col min="4867" max="4869" width="11.625" style="3475" customWidth="1"/>
    <col min="4870" max="4870" width="42.75" style="3475" customWidth="1"/>
    <col min="4871" max="4871" width="11.75" style="3475" customWidth="1"/>
    <col min="4872" max="4873" width="8.75" style="3475"/>
    <col min="4874" max="4874" width="5.25" style="3475" customWidth="1"/>
    <col min="4875" max="4875" width="10.625" style="3475" customWidth="1"/>
    <col min="4876" max="4877" width="9.75" style="3475" customWidth="1"/>
    <col min="4878" max="4878" width="9" style="3475" customWidth="1"/>
    <col min="4879" max="4880" width="9.375" style="3475" bestFit="1" customWidth="1"/>
    <col min="4881" max="4881" width="9" style="3475" customWidth="1"/>
    <col min="4882" max="4882" width="9.125" style="3475" customWidth="1"/>
    <col min="4883" max="4883" width="9" style="3475" customWidth="1"/>
    <col min="4884" max="4884" width="23.5" style="3475" customWidth="1"/>
    <col min="4885" max="5120" width="8.75" style="3475"/>
    <col min="5121" max="5121" width="8.5" style="3475" customWidth="1"/>
    <col min="5122" max="5122" width="8.75" style="3475"/>
    <col min="5123" max="5125" width="11.625" style="3475" customWidth="1"/>
    <col min="5126" max="5126" width="42.75" style="3475" customWidth="1"/>
    <col min="5127" max="5127" width="11.75" style="3475" customWidth="1"/>
    <col min="5128" max="5129" width="8.75" style="3475"/>
    <col min="5130" max="5130" width="5.25" style="3475" customWidth="1"/>
    <col min="5131" max="5131" width="10.625" style="3475" customWidth="1"/>
    <col min="5132" max="5133" width="9.75" style="3475" customWidth="1"/>
    <col min="5134" max="5134" width="9" style="3475" customWidth="1"/>
    <col min="5135" max="5136" width="9.375" style="3475" bestFit="1" customWidth="1"/>
    <col min="5137" max="5137" width="9" style="3475" customWidth="1"/>
    <col min="5138" max="5138" width="9.125" style="3475" customWidth="1"/>
    <col min="5139" max="5139" width="9" style="3475" customWidth="1"/>
    <col min="5140" max="5140" width="23.5" style="3475" customWidth="1"/>
    <col min="5141" max="5376" width="8.75" style="3475"/>
    <col min="5377" max="5377" width="8.5" style="3475" customWidth="1"/>
    <col min="5378" max="5378" width="8.75" style="3475"/>
    <col min="5379" max="5381" width="11.625" style="3475" customWidth="1"/>
    <col min="5382" max="5382" width="42.75" style="3475" customWidth="1"/>
    <col min="5383" max="5383" width="11.75" style="3475" customWidth="1"/>
    <col min="5384" max="5385" width="8.75" style="3475"/>
    <col min="5386" max="5386" width="5.25" style="3475" customWidth="1"/>
    <col min="5387" max="5387" width="10.625" style="3475" customWidth="1"/>
    <col min="5388" max="5389" width="9.75" style="3475" customWidth="1"/>
    <col min="5390" max="5390" width="9" style="3475" customWidth="1"/>
    <col min="5391" max="5392" width="9.375" style="3475" bestFit="1" customWidth="1"/>
    <col min="5393" max="5393" width="9" style="3475" customWidth="1"/>
    <col min="5394" max="5394" width="9.125" style="3475" customWidth="1"/>
    <col min="5395" max="5395" width="9" style="3475" customWidth="1"/>
    <col min="5396" max="5396" width="23.5" style="3475" customWidth="1"/>
    <col min="5397" max="5632" width="8.75" style="3475"/>
    <col min="5633" max="5633" width="8.5" style="3475" customWidth="1"/>
    <col min="5634" max="5634" width="8.75" style="3475"/>
    <col min="5635" max="5637" width="11.625" style="3475" customWidth="1"/>
    <col min="5638" max="5638" width="42.75" style="3475" customWidth="1"/>
    <col min="5639" max="5639" width="11.75" style="3475" customWidth="1"/>
    <col min="5640" max="5641" width="8.75" style="3475"/>
    <col min="5642" max="5642" width="5.25" style="3475" customWidth="1"/>
    <col min="5643" max="5643" width="10.625" style="3475" customWidth="1"/>
    <col min="5644" max="5645" width="9.75" style="3475" customWidth="1"/>
    <col min="5646" max="5646" width="9" style="3475" customWidth="1"/>
    <col min="5647" max="5648" width="9.375" style="3475" bestFit="1" customWidth="1"/>
    <col min="5649" max="5649" width="9" style="3475" customWidth="1"/>
    <col min="5650" max="5650" width="9.125" style="3475" customWidth="1"/>
    <col min="5651" max="5651" width="9" style="3475" customWidth="1"/>
    <col min="5652" max="5652" width="23.5" style="3475" customWidth="1"/>
    <col min="5653" max="5888" width="8.75" style="3475"/>
    <col min="5889" max="5889" width="8.5" style="3475" customWidth="1"/>
    <col min="5890" max="5890" width="8.75" style="3475"/>
    <col min="5891" max="5893" width="11.625" style="3475" customWidth="1"/>
    <col min="5894" max="5894" width="42.75" style="3475" customWidth="1"/>
    <col min="5895" max="5895" width="11.75" style="3475" customWidth="1"/>
    <col min="5896" max="5897" width="8.75" style="3475"/>
    <col min="5898" max="5898" width="5.25" style="3475" customWidth="1"/>
    <col min="5899" max="5899" width="10.625" style="3475" customWidth="1"/>
    <col min="5900" max="5901" width="9.75" style="3475" customWidth="1"/>
    <col min="5902" max="5902" width="9" style="3475" customWidth="1"/>
    <col min="5903" max="5904" width="9.375" style="3475" bestFit="1" customWidth="1"/>
    <col min="5905" max="5905" width="9" style="3475" customWidth="1"/>
    <col min="5906" max="5906" width="9.125" style="3475" customWidth="1"/>
    <col min="5907" max="5907" width="9" style="3475" customWidth="1"/>
    <col min="5908" max="5908" width="23.5" style="3475" customWidth="1"/>
    <col min="5909" max="6144" width="8.75" style="3475"/>
    <col min="6145" max="6145" width="8.5" style="3475" customWidth="1"/>
    <col min="6146" max="6146" width="8.75" style="3475"/>
    <col min="6147" max="6149" width="11.625" style="3475" customWidth="1"/>
    <col min="6150" max="6150" width="42.75" style="3475" customWidth="1"/>
    <col min="6151" max="6151" width="11.75" style="3475" customWidth="1"/>
    <col min="6152" max="6153" width="8.75" style="3475"/>
    <col min="6154" max="6154" width="5.25" style="3475" customWidth="1"/>
    <col min="6155" max="6155" width="10.625" style="3475" customWidth="1"/>
    <col min="6156" max="6157" width="9.75" style="3475" customWidth="1"/>
    <col min="6158" max="6158" width="9" style="3475" customWidth="1"/>
    <col min="6159" max="6160" width="9.375" style="3475" bestFit="1" customWidth="1"/>
    <col min="6161" max="6161" width="9" style="3475" customWidth="1"/>
    <col min="6162" max="6162" width="9.125" style="3475" customWidth="1"/>
    <col min="6163" max="6163" width="9" style="3475" customWidth="1"/>
    <col min="6164" max="6164" width="23.5" style="3475" customWidth="1"/>
    <col min="6165" max="6400" width="8.75" style="3475"/>
    <col min="6401" max="6401" width="8.5" style="3475" customWidth="1"/>
    <col min="6402" max="6402" width="8.75" style="3475"/>
    <col min="6403" max="6405" width="11.625" style="3475" customWidth="1"/>
    <col min="6406" max="6406" width="42.75" style="3475" customWidth="1"/>
    <col min="6407" max="6407" width="11.75" style="3475" customWidth="1"/>
    <col min="6408" max="6409" width="8.75" style="3475"/>
    <col min="6410" max="6410" width="5.25" style="3475" customWidth="1"/>
    <col min="6411" max="6411" width="10.625" style="3475" customWidth="1"/>
    <col min="6412" max="6413" width="9.75" style="3475" customWidth="1"/>
    <col min="6414" max="6414" width="9" style="3475" customWidth="1"/>
    <col min="6415" max="6416" width="9.375" style="3475" bestFit="1" customWidth="1"/>
    <col min="6417" max="6417" width="9" style="3475" customWidth="1"/>
    <col min="6418" max="6418" width="9.125" style="3475" customWidth="1"/>
    <col min="6419" max="6419" width="9" style="3475" customWidth="1"/>
    <col min="6420" max="6420" width="23.5" style="3475" customWidth="1"/>
    <col min="6421" max="6656" width="8.75" style="3475"/>
    <col min="6657" max="6657" width="8.5" style="3475" customWidth="1"/>
    <col min="6658" max="6658" width="8.75" style="3475"/>
    <col min="6659" max="6661" width="11.625" style="3475" customWidth="1"/>
    <col min="6662" max="6662" width="42.75" style="3475" customWidth="1"/>
    <col min="6663" max="6663" width="11.75" style="3475" customWidth="1"/>
    <col min="6664" max="6665" width="8.75" style="3475"/>
    <col min="6666" max="6666" width="5.25" style="3475" customWidth="1"/>
    <col min="6667" max="6667" width="10.625" style="3475" customWidth="1"/>
    <col min="6668" max="6669" width="9.75" style="3475" customWidth="1"/>
    <col min="6670" max="6670" width="9" style="3475" customWidth="1"/>
    <col min="6671" max="6672" width="9.375" style="3475" bestFit="1" customWidth="1"/>
    <col min="6673" max="6673" width="9" style="3475" customWidth="1"/>
    <col min="6674" max="6674" width="9.125" style="3475" customWidth="1"/>
    <col min="6675" max="6675" width="9" style="3475" customWidth="1"/>
    <col min="6676" max="6676" width="23.5" style="3475" customWidth="1"/>
    <col min="6677" max="6912" width="8.75" style="3475"/>
    <col min="6913" max="6913" width="8.5" style="3475" customWidth="1"/>
    <col min="6914" max="6914" width="8.75" style="3475"/>
    <col min="6915" max="6917" width="11.625" style="3475" customWidth="1"/>
    <col min="6918" max="6918" width="42.75" style="3475" customWidth="1"/>
    <col min="6919" max="6919" width="11.75" style="3475" customWidth="1"/>
    <col min="6920" max="6921" width="8.75" style="3475"/>
    <col min="6922" max="6922" width="5.25" style="3475" customWidth="1"/>
    <col min="6923" max="6923" width="10.625" style="3475" customWidth="1"/>
    <col min="6924" max="6925" width="9.75" style="3475" customWidth="1"/>
    <col min="6926" max="6926" width="9" style="3475" customWidth="1"/>
    <col min="6927" max="6928" width="9.375" style="3475" bestFit="1" customWidth="1"/>
    <col min="6929" max="6929" width="9" style="3475" customWidth="1"/>
    <col min="6930" max="6930" width="9.125" style="3475" customWidth="1"/>
    <col min="6931" max="6931" width="9" style="3475" customWidth="1"/>
    <col min="6932" max="6932" width="23.5" style="3475" customWidth="1"/>
    <col min="6933" max="7168" width="8.75" style="3475"/>
    <col min="7169" max="7169" width="8.5" style="3475" customWidth="1"/>
    <col min="7170" max="7170" width="8.75" style="3475"/>
    <col min="7171" max="7173" width="11.625" style="3475" customWidth="1"/>
    <col min="7174" max="7174" width="42.75" style="3475" customWidth="1"/>
    <col min="7175" max="7175" width="11.75" style="3475" customWidth="1"/>
    <col min="7176" max="7177" width="8.75" style="3475"/>
    <col min="7178" max="7178" width="5.25" style="3475" customWidth="1"/>
    <col min="7179" max="7179" width="10.625" style="3475" customWidth="1"/>
    <col min="7180" max="7181" width="9.75" style="3475" customWidth="1"/>
    <col min="7182" max="7182" width="9" style="3475" customWidth="1"/>
    <col min="7183" max="7184" width="9.375" style="3475" bestFit="1" customWidth="1"/>
    <col min="7185" max="7185" width="9" style="3475" customWidth="1"/>
    <col min="7186" max="7186" width="9.125" style="3475" customWidth="1"/>
    <col min="7187" max="7187" width="9" style="3475" customWidth="1"/>
    <col min="7188" max="7188" width="23.5" style="3475" customWidth="1"/>
    <col min="7189" max="7424" width="8.75" style="3475"/>
    <col min="7425" max="7425" width="8.5" style="3475" customWidth="1"/>
    <col min="7426" max="7426" width="8.75" style="3475"/>
    <col min="7427" max="7429" width="11.625" style="3475" customWidth="1"/>
    <col min="7430" max="7430" width="42.75" style="3475" customWidth="1"/>
    <col min="7431" max="7431" width="11.75" style="3475" customWidth="1"/>
    <col min="7432" max="7433" width="8.75" style="3475"/>
    <col min="7434" max="7434" width="5.25" style="3475" customWidth="1"/>
    <col min="7435" max="7435" width="10.625" style="3475" customWidth="1"/>
    <col min="7436" max="7437" width="9.75" style="3475" customWidth="1"/>
    <col min="7438" max="7438" width="9" style="3475" customWidth="1"/>
    <col min="7439" max="7440" width="9.375" style="3475" bestFit="1" customWidth="1"/>
    <col min="7441" max="7441" width="9" style="3475" customWidth="1"/>
    <col min="7442" max="7442" width="9.125" style="3475" customWidth="1"/>
    <col min="7443" max="7443" width="9" style="3475" customWidth="1"/>
    <col min="7444" max="7444" width="23.5" style="3475" customWidth="1"/>
    <col min="7445" max="7680" width="8.75" style="3475"/>
    <col min="7681" max="7681" width="8.5" style="3475" customWidth="1"/>
    <col min="7682" max="7682" width="8.75" style="3475"/>
    <col min="7683" max="7685" width="11.625" style="3475" customWidth="1"/>
    <col min="7686" max="7686" width="42.75" style="3475" customWidth="1"/>
    <col min="7687" max="7687" width="11.75" style="3475" customWidth="1"/>
    <col min="7688" max="7689" width="8.75" style="3475"/>
    <col min="7690" max="7690" width="5.25" style="3475" customWidth="1"/>
    <col min="7691" max="7691" width="10.625" style="3475" customWidth="1"/>
    <col min="7692" max="7693" width="9.75" style="3475" customWidth="1"/>
    <col min="7694" max="7694" width="9" style="3475" customWidth="1"/>
    <col min="7695" max="7696" width="9.375" style="3475" bestFit="1" customWidth="1"/>
    <col min="7697" max="7697" width="9" style="3475" customWidth="1"/>
    <col min="7698" max="7698" width="9.125" style="3475" customWidth="1"/>
    <col min="7699" max="7699" width="9" style="3475" customWidth="1"/>
    <col min="7700" max="7700" width="23.5" style="3475" customWidth="1"/>
    <col min="7701" max="7936" width="8.75" style="3475"/>
    <col min="7937" max="7937" width="8.5" style="3475" customWidth="1"/>
    <col min="7938" max="7938" width="8.75" style="3475"/>
    <col min="7939" max="7941" width="11.625" style="3475" customWidth="1"/>
    <col min="7942" max="7942" width="42.75" style="3475" customWidth="1"/>
    <col min="7943" max="7943" width="11.75" style="3475" customWidth="1"/>
    <col min="7944" max="7945" width="8.75" style="3475"/>
    <col min="7946" max="7946" width="5.25" style="3475" customWidth="1"/>
    <col min="7947" max="7947" width="10.625" style="3475" customWidth="1"/>
    <col min="7948" max="7949" width="9.75" style="3475" customWidth="1"/>
    <col min="7950" max="7950" width="9" style="3475" customWidth="1"/>
    <col min="7951" max="7952" width="9.375" style="3475" bestFit="1" customWidth="1"/>
    <col min="7953" max="7953" width="9" style="3475" customWidth="1"/>
    <col min="7954" max="7954" width="9.125" style="3475" customWidth="1"/>
    <col min="7955" max="7955" width="9" style="3475" customWidth="1"/>
    <col min="7956" max="7956" width="23.5" style="3475" customWidth="1"/>
    <col min="7957" max="8192" width="8.75" style="3475"/>
    <col min="8193" max="8193" width="8.5" style="3475" customWidth="1"/>
    <col min="8194" max="8194" width="8.75" style="3475"/>
    <col min="8195" max="8197" width="11.625" style="3475" customWidth="1"/>
    <col min="8198" max="8198" width="42.75" style="3475" customWidth="1"/>
    <col min="8199" max="8199" width="11.75" style="3475" customWidth="1"/>
    <col min="8200" max="8201" width="8.75" style="3475"/>
    <col min="8202" max="8202" width="5.25" style="3475" customWidth="1"/>
    <col min="8203" max="8203" width="10.625" style="3475" customWidth="1"/>
    <col min="8204" max="8205" width="9.75" style="3475" customWidth="1"/>
    <col min="8206" max="8206" width="9" style="3475" customWidth="1"/>
    <col min="8207" max="8208" width="9.375" style="3475" bestFit="1" customWidth="1"/>
    <col min="8209" max="8209" width="9" style="3475" customWidth="1"/>
    <col min="8210" max="8210" width="9.125" style="3475" customWidth="1"/>
    <col min="8211" max="8211" width="9" style="3475" customWidth="1"/>
    <col min="8212" max="8212" width="23.5" style="3475" customWidth="1"/>
    <col min="8213" max="8448" width="8.75" style="3475"/>
    <col min="8449" max="8449" width="8.5" style="3475" customWidth="1"/>
    <col min="8450" max="8450" width="8.75" style="3475"/>
    <col min="8451" max="8453" width="11.625" style="3475" customWidth="1"/>
    <col min="8454" max="8454" width="42.75" style="3475" customWidth="1"/>
    <col min="8455" max="8455" width="11.75" style="3475" customWidth="1"/>
    <col min="8456" max="8457" width="8.75" style="3475"/>
    <col min="8458" max="8458" width="5.25" style="3475" customWidth="1"/>
    <col min="8459" max="8459" width="10.625" style="3475" customWidth="1"/>
    <col min="8460" max="8461" width="9.75" style="3475" customWidth="1"/>
    <col min="8462" max="8462" width="9" style="3475" customWidth="1"/>
    <col min="8463" max="8464" width="9.375" style="3475" bestFit="1" customWidth="1"/>
    <col min="8465" max="8465" width="9" style="3475" customWidth="1"/>
    <col min="8466" max="8466" width="9.125" style="3475" customWidth="1"/>
    <col min="8467" max="8467" width="9" style="3475" customWidth="1"/>
    <col min="8468" max="8468" width="23.5" style="3475" customWidth="1"/>
    <col min="8469" max="8704" width="8.75" style="3475"/>
    <col min="8705" max="8705" width="8.5" style="3475" customWidth="1"/>
    <col min="8706" max="8706" width="8.75" style="3475"/>
    <col min="8707" max="8709" width="11.625" style="3475" customWidth="1"/>
    <col min="8710" max="8710" width="42.75" style="3475" customWidth="1"/>
    <col min="8711" max="8711" width="11.75" style="3475" customWidth="1"/>
    <col min="8712" max="8713" width="8.75" style="3475"/>
    <col min="8714" max="8714" width="5.25" style="3475" customWidth="1"/>
    <col min="8715" max="8715" width="10.625" style="3475" customWidth="1"/>
    <col min="8716" max="8717" width="9.75" style="3475" customWidth="1"/>
    <col min="8718" max="8718" width="9" style="3475" customWidth="1"/>
    <col min="8719" max="8720" width="9.375" style="3475" bestFit="1" customWidth="1"/>
    <col min="8721" max="8721" width="9" style="3475" customWidth="1"/>
    <col min="8722" max="8722" width="9.125" style="3475" customWidth="1"/>
    <col min="8723" max="8723" width="9" style="3475" customWidth="1"/>
    <col min="8724" max="8724" width="23.5" style="3475" customWidth="1"/>
    <col min="8725" max="8960" width="8.75" style="3475"/>
    <col min="8961" max="8961" width="8.5" style="3475" customWidth="1"/>
    <col min="8962" max="8962" width="8.75" style="3475"/>
    <col min="8963" max="8965" width="11.625" style="3475" customWidth="1"/>
    <col min="8966" max="8966" width="42.75" style="3475" customWidth="1"/>
    <col min="8967" max="8967" width="11.75" style="3475" customWidth="1"/>
    <col min="8968" max="8969" width="8.75" style="3475"/>
    <col min="8970" max="8970" width="5.25" style="3475" customWidth="1"/>
    <col min="8971" max="8971" width="10.625" style="3475" customWidth="1"/>
    <col min="8972" max="8973" width="9.75" style="3475" customWidth="1"/>
    <col min="8974" max="8974" width="9" style="3475" customWidth="1"/>
    <col min="8975" max="8976" width="9.375" style="3475" bestFit="1" customWidth="1"/>
    <col min="8977" max="8977" width="9" style="3475" customWidth="1"/>
    <col min="8978" max="8978" width="9.125" style="3475" customWidth="1"/>
    <col min="8979" max="8979" width="9" style="3475" customWidth="1"/>
    <col min="8980" max="8980" width="23.5" style="3475" customWidth="1"/>
    <col min="8981" max="9216" width="8.75" style="3475"/>
    <col min="9217" max="9217" width="8.5" style="3475" customWidth="1"/>
    <col min="9218" max="9218" width="8.75" style="3475"/>
    <col min="9219" max="9221" width="11.625" style="3475" customWidth="1"/>
    <col min="9222" max="9222" width="42.75" style="3475" customWidth="1"/>
    <col min="9223" max="9223" width="11.75" style="3475" customWidth="1"/>
    <col min="9224" max="9225" width="8.75" style="3475"/>
    <col min="9226" max="9226" width="5.25" style="3475" customWidth="1"/>
    <col min="9227" max="9227" width="10.625" style="3475" customWidth="1"/>
    <col min="9228" max="9229" width="9.75" style="3475" customWidth="1"/>
    <col min="9230" max="9230" width="9" style="3475" customWidth="1"/>
    <col min="9231" max="9232" width="9.375" style="3475" bestFit="1" customWidth="1"/>
    <col min="9233" max="9233" width="9" style="3475" customWidth="1"/>
    <col min="9234" max="9234" width="9.125" style="3475" customWidth="1"/>
    <col min="9235" max="9235" width="9" style="3475" customWidth="1"/>
    <col min="9236" max="9236" width="23.5" style="3475" customWidth="1"/>
    <col min="9237" max="9472" width="8.75" style="3475"/>
    <col min="9473" max="9473" width="8.5" style="3475" customWidth="1"/>
    <col min="9474" max="9474" width="8.75" style="3475"/>
    <col min="9475" max="9477" width="11.625" style="3475" customWidth="1"/>
    <col min="9478" max="9478" width="42.75" style="3475" customWidth="1"/>
    <col min="9479" max="9479" width="11.75" style="3475" customWidth="1"/>
    <col min="9480" max="9481" width="8.75" style="3475"/>
    <col min="9482" max="9482" width="5.25" style="3475" customWidth="1"/>
    <col min="9483" max="9483" width="10.625" style="3475" customWidth="1"/>
    <col min="9484" max="9485" width="9.75" style="3475" customWidth="1"/>
    <col min="9486" max="9486" width="9" style="3475" customWidth="1"/>
    <col min="9487" max="9488" width="9.375" style="3475" bestFit="1" customWidth="1"/>
    <col min="9489" max="9489" width="9" style="3475" customWidth="1"/>
    <col min="9490" max="9490" width="9.125" style="3475" customWidth="1"/>
    <col min="9491" max="9491" width="9" style="3475" customWidth="1"/>
    <col min="9492" max="9492" width="23.5" style="3475" customWidth="1"/>
    <col min="9493" max="9728" width="8.75" style="3475"/>
    <col min="9729" max="9729" width="8.5" style="3475" customWidth="1"/>
    <col min="9730" max="9730" width="8.75" style="3475"/>
    <col min="9731" max="9733" width="11.625" style="3475" customWidth="1"/>
    <col min="9734" max="9734" width="42.75" style="3475" customWidth="1"/>
    <col min="9735" max="9735" width="11.75" style="3475" customWidth="1"/>
    <col min="9736" max="9737" width="8.75" style="3475"/>
    <col min="9738" max="9738" width="5.25" style="3475" customWidth="1"/>
    <col min="9739" max="9739" width="10.625" style="3475" customWidth="1"/>
    <col min="9740" max="9741" width="9.75" style="3475" customWidth="1"/>
    <col min="9742" max="9742" width="9" style="3475" customWidth="1"/>
    <col min="9743" max="9744" width="9.375" style="3475" bestFit="1" customWidth="1"/>
    <col min="9745" max="9745" width="9" style="3475" customWidth="1"/>
    <col min="9746" max="9746" width="9.125" style="3475" customWidth="1"/>
    <col min="9747" max="9747" width="9" style="3475" customWidth="1"/>
    <col min="9748" max="9748" width="23.5" style="3475" customWidth="1"/>
    <col min="9749" max="9984" width="8.75" style="3475"/>
    <col min="9985" max="9985" width="8.5" style="3475" customWidth="1"/>
    <col min="9986" max="9986" width="8.75" style="3475"/>
    <col min="9987" max="9989" width="11.625" style="3475" customWidth="1"/>
    <col min="9990" max="9990" width="42.75" style="3475" customWidth="1"/>
    <col min="9991" max="9991" width="11.75" style="3475" customWidth="1"/>
    <col min="9992" max="9993" width="8.75" style="3475"/>
    <col min="9994" max="9994" width="5.25" style="3475" customWidth="1"/>
    <col min="9995" max="9995" width="10.625" style="3475" customWidth="1"/>
    <col min="9996" max="9997" width="9.75" style="3475" customWidth="1"/>
    <col min="9998" max="9998" width="9" style="3475" customWidth="1"/>
    <col min="9999" max="10000" width="9.375" style="3475" bestFit="1" customWidth="1"/>
    <col min="10001" max="10001" width="9" style="3475" customWidth="1"/>
    <col min="10002" max="10002" width="9.125" style="3475" customWidth="1"/>
    <col min="10003" max="10003" width="9" style="3475" customWidth="1"/>
    <col min="10004" max="10004" width="23.5" style="3475" customWidth="1"/>
    <col min="10005" max="10240" width="8.75" style="3475"/>
    <col min="10241" max="10241" width="8.5" style="3475" customWidth="1"/>
    <col min="10242" max="10242" width="8.75" style="3475"/>
    <col min="10243" max="10245" width="11.625" style="3475" customWidth="1"/>
    <col min="10246" max="10246" width="42.75" style="3475" customWidth="1"/>
    <col min="10247" max="10247" width="11.75" style="3475" customWidth="1"/>
    <col min="10248" max="10249" width="8.75" style="3475"/>
    <col min="10250" max="10250" width="5.25" style="3475" customWidth="1"/>
    <col min="10251" max="10251" width="10.625" style="3475" customWidth="1"/>
    <col min="10252" max="10253" width="9.75" style="3475" customWidth="1"/>
    <col min="10254" max="10254" width="9" style="3475" customWidth="1"/>
    <col min="10255" max="10256" width="9.375" style="3475" bestFit="1" customWidth="1"/>
    <col min="10257" max="10257" width="9" style="3475" customWidth="1"/>
    <col min="10258" max="10258" width="9.125" style="3475" customWidth="1"/>
    <col min="10259" max="10259" width="9" style="3475" customWidth="1"/>
    <col min="10260" max="10260" width="23.5" style="3475" customWidth="1"/>
    <col min="10261" max="10496" width="8.75" style="3475"/>
    <col min="10497" max="10497" width="8.5" style="3475" customWidth="1"/>
    <col min="10498" max="10498" width="8.75" style="3475"/>
    <col min="10499" max="10501" width="11.625" style="3475" customWidth="1"/>
    <col min="10502" max="10502" width="42.75" style="3475" customWidth="1"/>
    <col min="10503" max="10503" width="11.75" style="3475" customWidth="1"/>
    <col min="10504" max="10505" width="8.75" style="3475"/>
    <col min="10506" max="10506" width="5.25" style="3475" customWidth="1"/>
    <col min="10507" max="10507" width="10.625" style="3475" customWidth="1"/>
    <col min="10508" max="10509" width="9.75" style="3475" customWidth="1"/>
    <col min="10510" max="10510" width="9" style="3475" customWidth="1"/>
    <col min="10511" max="10512" width="9.375" style="3475" bestFit="1" customWidth="1"/>
    <col min="10513" max="10513" width="9" style="3475" customWidth="1"/>
    <col min="10514" max="10514" width="9.125" style="3475" customWidth="1"/>
    <col min="10515" max="10515" width="9" style="3475" customWidth="1"/>
    <col min="10516" max="10516" width="23.5" style="3475" customWidth="1"/>
    <col min="10517" max="10752" width="8.75" style="3475"/>
    <col min="10753" max="10753" width="8.5" style="3475" customWidth="1"/>
    <col min="10754" max="10754" width="8.75" style="3475"/>
    <col min="10755" max="10757" width="11.625" style="3475" customWidth="1"/>
    <col min="10758" max="10758" width="42.75" style="3475" customWidth="1"/>
    <col min="10759" max="10759" width="11.75" style="3475" customWidth="1"/>
    <col min="10760" max="10761" width="8.75" style="3475"/>
    <col min="10762" max="10762" width="5.25" style="3475" customWidth="1"/>
    <col min="10763" max="10763" width="10.625" style="3475" customWidth="1"/>
    <col min="10764" max="10765" width="9.75" style="3475" customWidth="1"/>
    <col min="10766" max="10766" width="9" style="3475" customWidth="1"/>
    <col min="10767" max="10768" width="9.375" style="3475" bestFit="1" customWidth="1"/>
    <col min="10769" max="10769" width="9" style="3475" customWidth="1"/>
    <col min="10770" max="10770" width="9.125" style="3475" customWidth="1"/>
    <col min="10771" max="10771" width="9" style="3475" customWidth="1"/>
    <col min="10772" max="10772" width="23.5" style="3475" customWidth="1"/>
    <col min="10773" max="11008" width="8.75" style="3475"/>
    <col min="11009" max="11009" width="8.5" style="3475" customWidth="1"/>
    <col min="11010" max="11010" width="8.75" style="3475"/>
    <col min="11011" max="11013" width="11.625" style="3475" customWidth="1"/>
    <col min="11014" max="11014" width="42.75" style="3475" customWidth="1"/>
    <col min="11015" max="11015" width="11.75" style="3475" customWidth="1"/>
    <col min="11016" max="11017" width="8.75" style="3475"/>
    <col min="11018" max="11018" width="5.25" style="3475" customWidth="1"/>
    <col min="11019" max="11019" width="10.625" style="3475" customWidth="1"/>
    <col min="11020" max="11021" width="9.75" style="3475" customWidth="1"/>
    <col min="11022" max="11022" width="9" style="3475" customWidth="1"/>
    <col min="11023" max="11024" width="9.375" style="3475" bestFit="1" customWidth="1"/>
    <col min="11025" max="11025" width="9" style="3475" customWidth="1"/>
    <col min="11026" max="11026" width="9.125" style="3475" customWidth="1"/>
    <col min="11027" max="11027" width="9" style="3475" customWidth="1"/>
    <col min="11028" max="11028" width="23.5" style="3475" customWidth="1"/>
    <col min="11029" max="11264" width="8.75" style="3475"/>
    <col min="11265" max="11265" width="8.5" style="3475" customWidth="1"/>
    <col min="11266" max="11266" width="8.75" style="3475"/>
    <col min="11267" max="11269" width="11.625" style="3475" customWidth="1"/>
    <col min="11270" max="11270" width="42.75" style="3475" customWidth="1"/>
    <col min="11271" max="11271" width="11.75" style="3475" customWidth="1"/>
    <col min="11272" max="11273" width="8.75" style="3475"/>
    <col min="11274" max="11274" width="5.25" style="3475" customWidth="1"/>
    <col min="11275" max="11275" width="10.625" style="3475" customWidth="1"/>
    <col min="11276" max="11277" width="9.75" style="3475" customWidth="1"/>
    <col min="11278" max="11278" width="9" style="3475" customWidth="1"/>
    <col min="11279" max="11280" width="9.375" style="3475" bestFit="1" customWidth="1"/>
    <col min="11281" max="11281" width="9" style="3475" customWidth="1"/>
    <col min="11282" max="11282" width="9.125" style="3475" customWidth="1"/>
    <col min="11283" max="11283" width="9" style="3475" customWidth="1"/>
    <col min="11284" max="11284" width="23.5" style="3475" customWidth="1"/>
    <col min="11285" max="11520" width="8.75" style="3475"/>
    <col min="11521" max="11521" width="8.5" style="3475" customWidth="1"/>
    <col min="11522" max="11522" width="8.75" style="3475"/>
    <col min="11523" max="11525" width="11.625" style="3475" customWidth="1"/>
    <col min="11526" max="11526" width="42.75" style="3475" customWidth="1"/>
    <col min="11527" max="11527" width="11.75" style="3475" customWidth="1"/>
    <col min="11528" max="11529" width="8.75" style="3475"/>
    <col min="11530" max="11530" width="5.25" style="3475" customWidth="1"/>
    <col min="11531" max="11531" width="10.625" style="3475" customWidth="1"/>
    <col min="11532" max="11533" width="9.75" style="3475" customWidth="1"/>
    <col min="11534" max="11534" width="9" style="3475" customWidth="1"/>
    <col min="11535" max="11536" width="9.375" style="3475" bestFit="1" customWidth="1"/>
    <col min="11537" max="11537" width="9" style="3475" customWidth="1"/>
    <col min="11538" max="11538" width="9.125" style="3475" customWidth="1"/>
    <col min="11539" max="11539" width="9" style="3475" customWidth="1"/>
    <col min="11540" max="11540" width="23.5" style="3475" customWidth="1"/>
    <col min="11541" max="11776" width="8.75" style="3475"/>
    <col min="11777" max="11777" width="8.5" style="3475" customWidth="1"/>
    <col min="11778" max="11778" width="8.75" style="3475"/>
    <col min="11779" max="11781" width="11.625" style="3475" customWidth="1"/>
    <col min="11782" max="11782" width="42.75" style="3475" customWidth="1"/>
    <col min="11783" max="11783" width="11.75" style="3475" customWidth="1"/>
    <col min="11784" max="11785" width="8.75" style="3475"/>
    <col min="11786" max="11786" width="5.25" style="3475" customWidth="1"/>
    <col min="11787" max="11787" width="10.625" style="3475" customWidth="1"/>
    <col min="11788" max="11789" width="9.75" style="3475" customWidth="1"/>
    <col min="11790" max="11790" width="9" style="3475" customWidth="1"/>
    <col min="11791" max="11792" width="9.375" style="3475" bestFit="1" customWidth="1"/>
    <col min="11793" max="11793" width="9" style="3475" customWidth="1"/>
    <col min="11794" max="11794" width="9.125" style="3475" customWidth="1"/>
    <col min="11795" max="11795" width="9" style="3475" customWidth="1"/>
    <col min="11796" max="11796" width="23.5" style="3475" customWidth="1"/>
    <col min="11797" max="12032" width="8.75" style="3475"/>
    <col min="12033" max="12033" width="8.5" style="3475" customWidth="1"/>
    <col min="12034" max="12034" width="8.75" style="3475"/>
    <col min="12035" max="12037" width="11.625" style="3475" customWidth="1"/>
    <col min="12038" max="12038" width="42.75" style="3475" customWidth="1"/>
    <col min="12039" max="12039" width="11.75" style="3475" customWidth="1"/>
    <col min="12040" max="12041" width="8.75" style="3475"/>
    <col min="12042" max="12042" width="5.25" style="3475" customWidth="1"/>
    <col min="12043" max="12043" width="10.625" style="3475" customWidth="1"/>
    <col min="12044" max="12045" width="9.75" style="3475" customWidth="1"/>
    <col min="12046" max="12046" width="9" style="3475" customWidth="1"/>
    <col min="12047" max="12048" width="9.375" style="3475" bestFit="1" customWidth="1"/>
    <col min="12049" max="12049" width="9" style="3475" customWidth="1"/>
    <col min="12050" max="12050" width="9.125" style="3475" customWidth="1"/>
    <col min="12051" max="12051" width="9" style="3475" customWidth="1"/>
    <col min="12052" max="12052" width="23.5" style="3475" customWidth="1"/>
    <col min="12053" max="12288" width="8.75" style="3475"/>
    <col min="12289" max="12289" width="8.5" style="3475" customWidth="1"/>
    <col min="12290" max="12290" width="8.75" style="3475"/>
    <col min="12291" max="12293" width="11.625" style="3475" customWidth="1"/>
    <col min="12294" max="12294" width="42.75" style="3475" customWidth="1"/>
    <col min="12295" max="12295" width="11.75" style="3475" customWidth="1"/>
    <col min="12296" max="12297" width="8.75" style="3475"/>
    <col min="12298" max="12298" width="5.25" style="3475" customWidth="1"/>
    <col min="12299" max="12299" width="10.625" style="3475" customWidth="1"/>
    <col min="12300" max="12301" width="9.75" style="3475" customWidth="1"/>
    <col min="12302" max="12302" width="9" style="3475" customWidth="1"/>
    <col min="12303" max="12304" width="9.375" style="3475" bestFit="1" customWidth="1"/>
    <col min="12305" max="12305" width="9" style="3475" customWidth="1"/>
    <col min="12306" max="12306" width="9.125" style="3475" customWidth="1"/>
    <col min="12307" max="12307" width="9" style="3475" customWidth="1"/>
    <col min="12308" max="12308" width="23.5" style="3475" customWidth="1"/>
    <col min="12309" max="12544" width="8.75" style="3475"/>
    <col min="12545" max="12545" width="8.5" style="3475" customWidth="1"/>
    <col min="12546" max="12546" width="8.75" style="3475"/>
    <col min="12547" max="12549" width="11.625" style="3475" customWidth="1"/>
    <col min="12550" max="12550" width="42.75" style="3475" customWidth="1"/>
    <col min="12551" max="12551" width="11.75" style="3475" customWidth="1"/>
    <col min="12552" max="12553" width="8.75" style="3475"/>
    <col min="12554" max="12554" width="5.25" style="3475" customWidth="1"/>
    <col min="12555" max="12555" width="10.625" style="3475" customWidth="1"/>
    <col min="12556" max="12557" width="9.75" style="3475" customWidth="1"/>
    <col min="12558" max="12558" width="9" style="3475" customWidth="1"/>
    <col min="12559" max="12560" width="9.375" style="3475" bestFit="1" customWidth="1"/>
    <col min="12561" max="12561" width="9" style="3475" customWidth="1"/>
    <col min="12562" max="12562" width="9.125" style="3475" customWidth="1"/>
    <col min="12563" max="12563" width="9" style="3475" customWidth="1"/>
    <col min="12564" max="12564" width="23.5" style="3475" customWidth="1"/>
    <col min="12565" max="12800" width="8.75" style="3475"/>
    <col min="12801" max="12801" width="8.5" style="3475" customWidth="1"/>
    <col min="12802" max="12802" width="8.75" style="3475"/>
    <col min="12803" max="12805" width="11.625" style="3475" customWidth="1"/>
    <col min="12806" max="12806" width="42.75" style="3475" customWidth="1"/>
    <col min="12807" max="12807" width="11.75" style="3475" customWidth="1"/>
    <col min="12808" max="12809" width="8.75" style="3475"/>
    <col min="12810" max="12810" width="5.25" style="3475" customWidth="1"/>
    <col min="12811" max="12811" width="10.625" style="3475" customWidth="1"/>
    <col min="12812" max="12813" width="9.75" style="3475" customWidth="1"/>
    <col min="12814" max="12814" width="9" style="3475" customWidth="1"/>
    <col min="12815" max="12816" width="9.375" style="3475" bestFit="1" customWidth="1"/>
    <col min="12817" max="12817" width="9" style="3475" customWidth="1"/>
    <col min="12818" max="12818" width="9.125" style="3475" customWidth="1"/>
    <col min="12819" max="12819" width="9" style="3475" customWidth="1"/>
    <col min="12820" max="12820" width="23.5" style="3475" customWidth="1"/>
    <col min="12821" max="13056" width="8.75" style="3475"/>
    <col min="13057" max="13057" width="8.5" style="3475" customWidth="1"/>
    <col min="13058" max="13058" width="8.75" style="3475"/>
    <col min="13059" max="13061" width="11.625" style="3475" customWidth="1"/>
    <col min="13062" max="13062" width="42.75" style="3475" customWidth="1"/>
    <col min="13063" max="13063" width="11.75" style="3475" customWidth="1"/>
    <col min="13064" max="13065" width="8.75" style="3475"/>
    <col min="13066" max="13066" width="5.25" style="3475" customWidth="1"/>
    <col min="13067" max="13067" width="10.625" style="3475" customWidth="1"/>
    <col min="13068" max="13069" width="9.75" style="3475" customWidth="1"/>
    <col min="13070" max="13070" width="9" style="3475" customWidth="1"/>
    <col min="13071" max="13072" width="9.375" style="3475" bestFit="1" customWidth="1"/>
    <col min="13073" max="13073" width="9" style="3475" customWidth="1"/>
    <col min="13074" max="13074" width="9.125" style="3475" customWidth="1"/>
    <col min="13075" max="13075" width="9" style="3475" customWidth="1"/>
    <col min="13076" max="13076" width="23.5" style="3475" customWidth="1"/>
    <col min="13077" max="13312" width="8.75" style="3475"/>
    <col min="13313" max="13313" width="8.5" style="3475" customWidth="1"/>
    <col min="13314" max="13314" width="8.75" style="3475"/>
    <col min="13315" max="13317" width="11.625" style="3475" customWidth="1"/>
    <col min="13318" max="13318" width="42.75" style="3475" customWidth="1"/>
    <col min="13319" max="13319" width="11.75" style="3475" customWidth="1"/>
    <col min="13320" max="13321" width="8.75" style="3475"/>
    <col min="13322" max="13322" width="5.25" style="3475" customWidth="1"/>
    <col min="13323" max="13323" width="10.625" style="3475" customWidth="1"/>
    <col min="13324" max="13325" width="9.75" style="3475" customWidth="1"/>
    <col min="13326" max="13326" width="9" style="3475" customWidth="1"/>
    <col min="13327" max="13328" width="9.375" style="3475" bestFit="1" customWidth="1"/>
    <col min="13329" max="13329" width="9" style="3475" customWidth="1"/>
    <col min="13330" max="13330" width="9.125" style="3475" customWidth="1"/>
    <col min="13331" max="13331" width="9" style="3475" customWidth="1"/>
    <col min="13332" max="13332" width="23.5" style="3475" customWidth="1"/>
    <col min="13333" max="13568" width="8.75" style="3475"/>
    <col min="13569" max="13569" width="8.5" style="3475" customWidth="1"/>
    <col min="13570" max="13570" width="8.75" style="3475"/>
    <col min="13571" max="13573" width="11.625" style="3475" customWidth="1"/>
    <col min="13574" max="13574" width="42.75" style="3475" customWidth="1"/>
    <col min="13575" max="13575" width="11.75" style="3475" customWidth="1"/>
    <col min="13576" max="13577" width="8.75" style="3475"/>
    <col min="13578" max="13578" width="5.25" style="3475" customWidth="1"/>
    <col min="13579" max="13579" width="10.625" style="3475" customWidth="1"/>
    <col min="13580" max="13581" width="9.75" style="3475" customWidth="1"/>
    <col min="13582" max="13582" width="9" style="3475" customWidth="1"/>
    <col min="13583" max="13584" width="9.375" style="3475" bestFit="1" customWidth="1"/>
    <col min="13585" max="13585" width="9" style="3475" customWidth="1"/>
    <col min="13586" max="13586" width="9.125" style="3475" customWidth="1"/>
    <col min="13587" max="13587" width="9" style="3475" customWidth="1"/>
    <col min="13588" max="13588" width="23.5" style="3475" customWidth="1"/>
    <col min="13589" max="13824" width="8.75" style="3475"/>
    <col min="13825" max="13825" width="8.5" style="3475" customWidth="1"/>
    <col min="13826" max="13826" width="8.75" style="3475"/>
    <col min="13827" max="13829" width="11.625" style="3475" customWidth="1"/>
    <col min="13830" max="13830" width="42.75" style="3475" customWidth="1"/>
    <col min="13831" max="13831" width="11.75" style="3475" customWidth="1"/>
    <col min="13832" max="13833" width="8.75" style="3475"/>
    <col min="13834" max="13834" width="5.25" style="3475" customWidth="1"/>
    <col min="13835" max="13835" width="10.625" style="3475" customWidth="1"/>
    <col min="13836" max="13837" width="9.75" style="3475" customWidth="1"/>
    <col min="13838" max="13838" width="9" style="3475" customWidth="1"/>
    <col min="13839" max="13840" width="9.375" style="3475" bestFit="1" customWidth="1"/>
    <col min="13841" max="13841" width="9" style="3475" customWidth="1"/>
    <col min="13842" max="13842" width="9.125" style="3475" customWidth="1"/>
    <col min="13843" max="13843" width="9" style="3475" customWidth="1"/>
    <col min="13844" max="13844" width="23.5" style="3475" customWidth="1"/>
    <col min="13845" max="14080" width="8.75" style="3475"/>
    <col min="14081" max="14081" width="8.5" style="3475" customWidth="1"/>
    <col min="14082" max="14082" width="8.75" style="3475"/>
    <col min="14083" max="14085" width="11.625" style="3475" customWidth="1"/>
    <col min="14086" max="14086" width="42.75" style="3475" customWidth="1"/>
    <col min="14087" max="14087" width="11.75" style="3475" customWidth="1"/>
    <col min="14088" max="14089" width="8.75" style="3475"/>
    <col min="14090" max="14090" width="5.25" style="3475" customWidth="1"/>
    <col min="14091" max="14091" width="10.625" style="3475" customWidth="1"/>
    <col min="14092" max="14093" width="9.75" style="3475" customWidth="1"/>
    <col min="14094" max="14094" width="9" style="3475" customWidth="1"/>
    <col min="14095" max="14096" width="9.375" style="3475" bestFit="1" customWidth="1"/>
    <col min="14097" max="14097" width="9" style="3475" customWidth="1"/>
    <col min="14098" max="14098" width="9.125" style="3475" customWidth="1"/>
    <col min="14099" max="14099" width="9" style="3475" customWidth="1"/>
    <col min="14100" max="14100" width="23.5" style="3475" customWidth="1"/>
    <col min="14101" max="14336" width="8.75" style="3475"/>
    <col min="14337" max="14337" width="8.5" style="3475" customWidth="1"/>
    <col min="14338" max="14338" width="8.75" style="3475"/>
    <col min="14339" max="14341" width="11.625" style="3475" customWidth="1"/>
    <col min="14342" max="14342" width="42.75" style="3475" customWidth="1"/>
    <col min="14343" max="14343" width="11.75" style="3475" customWidth="1"/>
    <col min="14344" max="14345" width="8.75" style="3475"/>
    <col min="14346" max="14346" width="5.25" style="3475" customWidth="1"/>
    <col min="14347" max="14347" width="10.625" style="3475" customWidth="1"/>
    <col min="14348" max="14349" width="9.75" style="3475" customWidth="1"/>
    <col min="14350" max="14350" width="9" style="3475" customWidth="1"/>
    <col min="14351" max="14352" width="9.375" style="3475" bestFit="1" customWidth="1"/>
    <col min="14353" max="14353" width="9" style="3475" customWidth="1"/>
    <col min="14354" max="14354" width="9.125" style="3475" customWidth="1"/>
    <col min="14355" max="14355" width="9" style="3475" customWidth="1"/>
    <col min="14356" max="14356" width="23.5" style="3475" customWidth="1"/>
    <col min="14357" max="14592" width="8.75" style="3475"/>
    <col min="14593" max="14593" width="8.5" style="3475" customWidth="1"/>
    <col min="14594" max="14594" width="8.75" style="3475"/>
    <col min="14595" max="14597" width="11.625" style="3475" customWidth="1"/>
    <col min="14598" max="14598" width="42.75" style="3475" customWidth="1"/>
    <col min="14599" max="14599" width="11.75" style="3475" customWidth="1"/>
    <col min="14600" max="14601" width="8.75" style="3475"/>
    <col min="14602" max="14602" width="5.25" style="3475" customWidth="1"/>
    <col min="14603" max="14603" width="10.625" style="3475" customWidth="1"/>
    <col min="14604" max="14605" width="9.75" style="3475" customWidth="1"/>
    <col min="14606" max="14606" width="9" style="3475" customWidth="1"/>
    <col min="14607" max="14608" width="9.375" style="3475" bestFit="1" customWidth="1"/>
    <col min="14609" max="14609" width="9" style="3475" customWidth="1"/>
    <col min="14610" max="14610" width="9.125" style="3475" customWidth="1"/>
    <col min="14611" max="14611" width="9" style="3475" customWidth="1"/>
    <col min="14612" max="14612" width="23.5" style="3475" customWidth="1"/>
    <col min="14613" max="14848" width="8.75" style="3475"/>
    <col min="14849" max="14849" width="8.5" style="3475" customWidth="1"/>
    <col min="14850" max="14850" width="8.75" style="3475"/>
    <col min="14851" max="14853" width="11.625" style="3475" customWidth="1"/>
    <col min="14854" max="14854" width="42.75" style="3475" customWidth="1"/>
    <col min="14855" max="14855" width="11.75" style="3475" customWidth="1"/>
    <col min="14856" max="14857" width="8.75" style="3475"/>
    <col min="14858" max="14858" width="5.25" style="3475" customWidth="1"/>
    <col min="14859" max="14859" width="10.625" style="3475" customWidth="1"/>
    <col min="14860" max="14861" width="9.75" style="3475" customWidth="1"/>
    <col min="14862" max="14862" width="9" style="3475" customWidth="1"/>
    <col min="14863" max="14864" width="9.375" style="3475" bestFit="1" customWidth="1"/>
    <col min="14865" max="14865" width="9" style="3475" customWidth="1"/>
    <col min="14866" max="14866" width="9.125" style="3475" customWidth="1"/>
    <col min="14867" max="14867" width="9" style="3475" customWidth="1"/>
    <col min="14868" max="14868" width="23.5" style="3475" customWidth="1"/>
    <col min="14869" max="15104" width="8.75" style="3475"/>
    <col min="15105" max="15105" width="8.5" style="3475" customWidth="1"/>
    <col min="15106" max="15106" width="8.75" style="3475"/>
    <col min="15107" max="15109" width="11.625" style="3475" customWidth="1"/>
    <col min="15110" max="15110" width="42.75" style="3475" customWidth="1"/>
    <col min="15111" max="15111" width="11.75" style="3475" customWidth="1"/>
    <col min="15112" max="15113" width="8.75" style="3475"/>
    <col min="15114" max="15114" width="5.25" style="3475" customWidth="1"/>
    <col min="15115" max="15115" width="10.625" style="3475" customWidth="1"/>
    <col min="15116" max="15117" width="9.75" style="3475" customWidth="1"/>
    <col min="15118" max="15118" width="9" style="3475" customWidth="1"/>
    <col min="15119" max="15120" width="9.375" style="3475" bestFit="1" customWidth="1"/>
    <col min="15121" max="15121" width="9" style="3475" customWidth="1"/>
    <col min="15122" max="15122" width="9.125" style="3475" customWidth="1"/>
    <col min="15123" max="15123" width="9" style="3475" customWidth="1"/>
    <col min="15124" max="15124" width="23.5" style="3475" customWidth="1"/>
    <col min="15125" max="15360" width="8.75" style="3475"/>
    <col min="15361" max="15361" width="8.5" style="3475" customWidth="1"/>
    <col min="15362" max="15362" width="8.75" style="3475"/>
    <col min="15363" max="15365" width="11.625" style="3475" customWidth="1"/>
    <col min="15366" max="15366" width="42.75" style="3475" customWidth="1"/>
    <col min="15367" max="15367" width="11.75" style="3475" customWidth="1"/>
    <col min="15368" max="15369" width="8.75" style="3475"/>
    <col min="15370" max="15370" width="5.25" style="3475" customWidth="1"/>
    <col min="15371" max="15371" width="10.625" style="3475" customWidth="1"/>
    <col min="15372" max="15373" width="9.75" style="3475" customWidth="1"/>
    <col min="15374" max="15374" width="9" style="3475" customWidth="1"/>
    <col min="15375" max="15376" width="9.375" style="3475" bestFit="1" customWidth="1"/>
    <col min="15377" max="15377" width="9" style="3475" customWidth="1"/>
    <col min="15378" max="15378" width="9.125" style="3475" customWidth="1"/>
    <col min="15379" max="15379" width="9" style="3475" customWidth="1"/>
    <col min="15380" max="15380" width="23.5" style="3475" customWidth="1"/>
    <col min="15381" max="15616" width="8.75" style="3475"/>
    <col min="15617" max="15617" width="8.5" style="3475" customWidth="1"/>
    <col min="15618" max="15618" width="8.75" style="3475"/>
    <col min="15619" max="15621" width="11.625" style="3475" customWidth="1"/>
    <col min="15622" max="15622" width="42.75" style="3475" customWidth="1"/>
    <col min="15623" max="15623" width="11.75" style="3475" customWidth="1"/>
    <col min="15624" max="15625" width="8.75" style="3475"/>
    <col min="15626" max="15626" width="5.25" style="3475" customWidth="1"/>
    <col min="15627" max="15627" width="10.625" style="3475" customWidth="1"/>
    <col min="15628" max="15629" width="9.75" style="3475" customWidth="1"/>
    <col min="15630" max="15630" width="9" style="3475" customWidth="1"/>
    <col min="15631" max="15632" width="9.375" style="3475" bestFit="1" customWidth="1"/>
    <col min="15633" max="15633" width="9" style="3475" customWidth="1"/>
    <col min="15634" max="15634" width="9.125" style="3475" customWidth="1"/>
    <col min="15635" max="15635" width="9" style="3475" customWidth="1"/>
    <col min="15636" max="15636" width="23.5" style="3475" customWidth="1"/>
    <col min="15637" max="15872" width="8.75" style="3475"/>
    <col min="15873" max="15873" width="8.5" style="3475" customWidth="1"/>
    <col min="15874" max="15874" width="8.75" style="3475"/>
    <col min="15875" max="15877" width="11.625" style="3475" customWidth="1"/>
    <col min="15878" max="15878" width="42.75" style="3475" customWidth="1"/>
    <col min="15879" max="15879" width="11.75" style="3475" customWidth="1"/>
    <col min="15880" max="15881" width="8.75" style="3475"/>
    <col min="15882" max="15882" width="5.25" style="3475" customWidth="1"/>
    <col min="15883" max="15883" width="10.625" style="3475" customWidth="1"/>
    <col min="15884" max="15885" width="9.75" style="3475" customWidth="1"/>
    <col min="15886" max="15886" width="9" style="3475" customWidth="1"/>
    <col min="15887" max="15888" width="9.375" style="3475" bestFit="1" customWidth="1"/>
    <col min="15889" max="15889" width="9" style="3475" customWidth="1"/>
    <col min="15890" max="15890" width="9.125" style="3475" customWidth="1"/>
    <col min="15891" max="15891" width="9" style="3475" customWidth="1"/>
    <col min="15892" max="15892" width="23.5" style="3475" customWidth="1"/>
    <col min="15893" max="16128" width="8.75" style="3475"/>
    <col min="16129" max="16129" width="8.5" style="3475" customWidth="1"/>
    <col min="16130" max="16130" width="8.75" style="3475"/>
    <col min="16131" max="16133" width="11.625" style="3475" customWidth="1"/>
    <col min="16134" max="16134" width="42.75" style="3475" customWidth="1"/>
    <col min="16135" max="16135" width="11.75" style="3475" customWidth="1"/>
    <col min="16136" max="16137" width="8.75" style="3475"/>
    <col min="16138" max="16138" width="5.25" style="3475" customWidth="1"/>
    <col min="16139" max="16139" width="10.625" style="3475" customWidth="1"/>
    <col min="16140" max="16141" width="9.75" style="3475" customWidth="1"/>
    <col min="16142" max="16142" width="9" style="3475" customWidth="1"/>
    <col min="16143" max="16144" width="9.375" style="3475" bestFit="1" customWidth="1"/>
    <col min="16145" max="16145" width="9" style="3475" customWidth="1"/>
    <col min="16146" max="16146" width="9.125" style="3475" customWidth="1"/>
    <col min="16147" max="16147" width="9" style="3475" customWidth="1"/>
    <col min="16148" max="16148" width="23.5" style="3475" customWidth="1"/>
    <col min="16149" max="16384" width="8.75" style="3475"/>
  </cols>
  <sheetData>
    <row r="1" spans="1:22" ht="21" customHeight="1">
      <c r="A1" s="3468" t="s">
        <v>1554</v>
      </c>
      <c r="B1" s="3469"/>
      <c r="C1" s="3470"/>
      <c r="D1" s="3471"/>
      <c r="E1" s="3472" t="s">
        <v>1352</v>
      </c>
      <c r="F1" s="3473" t="e">
        <f>#REF!</f>
        <v>#REF!</v>
      </c>
      <c r="G1" s="3474"/>
      <c r="J1" s="3477" t="s">
        <v>3432</v>
      </c>
      <c r="K1" s="3478"/>
      <c r="L1" s="3478"/>
      <c r="M1" s="3478"/>
      <c r="N1" s="3478"/>
      <c r="O1" s="3478"/>
      <c r="P1" s="3478"/>
      <c r="Q1" s="3478"/>
      <c r="R1" s="3479"/>
      <c r="S1" s="3480"/>
      <c r="T1" s="3480"/>
      <c r="U1" s="3480"/>
    </row>
    <row r="2" spans="1:22" s="3487" customFormat="1" ht="13.15" customHeight="1">
      <c r="A2" s="3481" t="s">
        <v>3433</v>
      </c>
      <c r="B2" s="3482">
        <f ca="1">C40</f>
        <v>7136333</v>
      </c>
      <c r="C2" s="3483" t="s">
        <v>1481</v>
      </c>
      <c r="D2" s="3483"/>
      <c r="E2" s="3484"/>
      <c r="F2" s="3485"/>
      <c r="G2" s="3486"/>
      <c r="I2" s="3488"/>
      <c r="J2" s="3754" t="s">
        <v>3434</v>
      </c>
      <c r="K2" s="3755"/>
      <c r="L2" s="3489" t="s">
        <v>3435</v>
      </c>
      <c r="M2" s="3489" t="s">
        <v>3436</v>
      </c>
      <c r="N2" s="3489" t="s">
        <v>3437</v>
      </c>
      <c r="O2" s="3489" t="s">
        <v>3438</v>
      </c>
      <c r="P2" s="3489" t="s">
        <v>3439</v>
      </c>
      <c r="Q2" s="3490" t="s">
        <v>3440</v>
      </c>
      <c r="R2" s="3491" t="s">
        <v>3441</v>
      </c>
      <c r="S2" s="3480"/>
      <c r="T2" s="3480"/>
      <c r="U2" s="3480"/>
      <c r="V2" s="3488"/>
    </row>
    <row r="3" spans="1:22" s="3487" customFormat="1" ht="13.15" customHeight="1">
      <c r="A3" s="3492" t="s">
        <v>3442</v>
      </c>
      <c r="B3" s="3493">
        <f ca="1">ROUND(B2*10000/B4,0)</f>
        <v>360293482</v>
      </c>
      <c r="C3" s="3483" t="s">
        <v>1483</v>
      </c>
      <c r="D3" s="3483"/>
      <c r="E3" s="3484"/>
      <c r="F3" s="3485"/>
      <c r="G3" s="3486"/>
      <c r="I3" s="3488"/>
      <c r="J3" s="3756" t="s">
        <v>3443</v>
      </c>
      <c r="K3" s="3757"/>
      <c r="L3" s="3494">
        <v>20000</v>
      </c>
      <c r="M3" s="3494">
        <v>500</v>
      </c>
      <c r="N3" s="3494">
        <v>500</v>
      </c>
      <c r="O3" s="3494">
        <v>10000</v>
      </c>
      <c r="P3" s="3494">
        <v>10000</v>
      </c>
      <c r="Q3" s="3495">
        <v>500</v>
      </c>
      <c r="R3" s="3496">
        <f>SUM(L3:Q3)</f>
        <v>41500</v>
      </c>
      <c r="S3" s="3480"/>
      <c r="T3" s="3480"/>
      <c r="U3" s="3480"/>
      <c r="V3" s="3488"/>
    </row>
    <row r="4" spans="1:22" s="3487" customFormat="1" ht="13.15" customHeight="1">
      <c r="A4" s="3497" t="s">
        <v>1079</v>
      </c>
      <c r="B4" s="3498">
        <f>'数据-基础表'!B3</f>
        <v>198.07</v>
      </c>
      <c r="C4" s="3483"/>
      <c r="D4" s="3483"/>
      <c r="E4" s="3484"/>
      <c r="F4" s="3485"/>
      <c r="G4" s="3486"/>
      <c r="I4" s="3488"/>
      <c r="J4" s="3756" t="s">
        <v>3444</v>
      </c>
      <c r="K4" s="3757"/>
      <c r="L4" s="3499">
        <v>6500</v>
      </c>
      <c r="M4" s="3499">
        <v>150</v>
      </c>
      <c r="N4" s="3499">
        <v>150</v>
      </c>
      <c r="O4" s="3499">
        <v>3500</v>
      </c>
      <c r="P4" s="3499">
        <v>3500</v>
      </c>
      <c r="Q4" s="3500">
        <v>150</v>
      </c>
      <c r="R4" s="3501">
        <f>SUM(L4:Q4)</f>
        <v>13950</v>
      </c>
      <c r="S4" s="3480"/>
      <c r="T4" s="3480"/>
      <c r="U4" s="3480"/>
      <c r="V4" s="3488"/>
    </row>
    <row r="5" spans="1:22" s="3487" customFormat="1" ht="13.15" customHeight="1" thickBot="1">
      <c r="A5" s="3502" t="s">
        <v>3445</v>
      </c>
      <c r="B5" s="3503">
        <f>'数据-汇总表'!D6</f>
        <v>1442.46</v>
      </c>
      <c r="C5" s="3483"/>
      <c r="D5" s="3504"/>
      <c r="E5" s="3485"/>
      <c r="F5" s="3485"/>
      <c r="G5" s="3486"/>
      <c r="I5" s="3488"/>
      <c r="J5" s="3505" t="s">
        <v>3446</v>
      </c>
      <c r="K5" s="3506"/>
      <c r="L5" s="3506"/>
      <c r="M5" s="3507"/>
      <c r="N5" s="3507"/>
      <c r="O5" s="3507"/>
      <c r="P5" s="3507"/>
      <c r="Q5" s="3507"/>
      <c r="R5" s="3491">
        <f>SUM(R14,R19,R24,R25,R27,R28)</f>
        <v>1160821</v>
      </c>
      <c r="S5" s="3480"/>
      <c r="T5" s="3480" t="s">
        <v>3447</v>
      </c>
      <c r="U5" s="3480">
        <f>ROUND(R5*10000/365/R3,1)</f>
        <v>766.3</v>
      </c>
      <c r="V5" s="3488"/>
    </row>
    <row r="6" spans="1:22" s="3487" customFormat="1" ht="13.15" customHeight="1" thickBot="1">
      <c r="A6" s="3758" t="s">
        <v>3448</v>
      </c>
      <c r="B6" s="3759"/>
      <c r="C6" s="3760"/>
      <c r="D6" s="3508">
        <f>R5</f>
        <v>1160821</v>
      </c>
      <c r="E6" s="3509"/>
      <c r="F6" s="3510"/>
      <c r="G6" s="3511"/>
      <c r="I6" s="3488"/>
      <c r="J6" s="3761">
        <v>1</v>
      </c>
      <c r="K6" s="3762" t="s">
        <v>3449</v>
      </c>
      <c r="L6" s="3512" t="s">
        <v>3450</v>
      </c>
      <c r="M6" s="3513" t="s">
        <v>3451</v>
      </c>
      <c r="N6" s="3513" t="s">
        <v>3452</v>
      </c>
      <c r="O6" s="3513" t="s">
        <v>3453</v>
      </c>
      <c r="P6" s="3513" t="s">
        <v>3454</v>
      </c>
      <c r="Q6" s="3513" t="s">
        <v>3455</v>
      </c>
      <c r="R6" s="3496" t="s">
        <v>3456</v>
      </c>
      <c r="S6" s="3480"/>
      <c r="T6" s="3480" t="s">
        <v>3457</v>
      </c>
      <c r="U6" s="3480"/>
      <c r="V6" s="3488"/>
    </row>
    <row r="7" spans="1:22" s="3487" customFormat="1" ht="13.15" customHeight="1">
      <c r="A7" s="3514" t="s">
        <v>3458</v>
      </c>
      <c r="B7" s="3515"/>
      <c r="C7" s="3516"/>
      <c r="D7" s="3517">
        <f ca="1">SUM(D9,D10,D11,D17,0)</f>
        <v>336003.14</v>
      </c>
      <c r="E7" s="3518">
        <f ca="1">E9+E10+E11+E17</f>
        <v>0.28945339031599188</v>
      </c>
      <c r="F7" s="3519"/>
      <c r="G7" s="3520"/>
      <c r="I7" s="3488"/>
      <c r="J7" s="3761"/>
      <c r="K7" s="3763"/>
      <c r="L7" s="3603" t="s">
        <v>3489</v>
      </c>
      <c r="M7" s="3522"/>
      <c r="N7" s="3498"/>
      <c r="O7" s="3523"/>
      <c r="P7" s="3523"/>
      <c r="Q7" s="3524"/>
      <c r="R7" s="3525">
        <f>Sheet1!B47</f>
        <v>1055292</v>
      </c>
      <c r="S7" s="3480"/>
      <c r="T7" s="3480" t="s">
        <v>3459</v>
      </c>
      <c r="U7" s="3480"/>
      <c r="V7" s="3488"/>
    </row>
    <row r="8" spans="1:22" ht="13.15" customHeight="1">
      <c r="A8" s="3604" t="s">
        <v>3490</v>
      </c>
      <c r="B8" s="3765" t="s">
        <v>3491</v>
      </c>
      <c r="C8" s="3766"/>
      <c r="D8" s="3605" t="s">
        <v>3492</v>
      </c>
      <c r="E8" s="3606" t="s">
        <v>3493</v>
      </c>
      <c r="F8" s="3607" t="s">
        <v>3494</v>
      </c>
      <c r="G8" s="3608"/>
      <c r="J8" s="3761"/>
      <c r="K8" s="3763"/>
      <c r="L8" s="3609"/>
      <c r="M8" s="3610"/>
      <c r="N8" s="3611"/>
      <c r="O8" s="3612"/>
      <c r="P8" s="3612"/>
      <c r="Q8" s="3613"/>
      <c r="R8" s="3614"/>
      <c r="T8" s="3601" t="s">
        <v>3495</v>
      </c>
    </row>
    <row r="9" spans="1:22" ht="13.15" customHeight="1">
      <c r="A9" s="3604">
        <v>1</v>
      </c>
      <c r="B9" s="3765" t="s">
        <v>3496</v>
      </c>
      <c r="C9" s="3766"/>
      <c r="D9" s="3605">
        <f>ROUND(D6*E9,0)</f>
        <v>4643</v>
      </c>
      <c r="E9" s="3615">
        <v>4.0000000000000001E-3</v>
      </c>
      <c r="F9" s="3616" t="s">
        <v>3497</v>
      </c>
      <c r="G9" s="3617"/>
      <c r="J9" s="3761"/>
      <c r="K9" s="3763"/>
      <c r="L9" s="3609"/>
      <c r="M9" s="3610"/>
      <c r="N9" s="3611"/>
      <c r="O9" s="3612"/>
      <c r="P9" s="3612"/>
      <c r="Q9" s="3613"/>
      <c r="R9" s="3614"/>
    </row>
    <row r="10" spans="1:22" ht="13.15" customHeight="1">
      <c r="A10" s="3604">
        <v>2</v>
      </c>
      <c r="B10" s="3765" t="s">
        <v>3498</v>
      </c>
      <c r="C10" s="3766"/>
      <c r="D10" s="3605">
        <f>ROUND(D6*E10,0)</f>
        <v>174123</v>
      </c>
      <c r="E10" s="3618">
        <v>0.15</v>
      </c>
      <c r="F10" s="3616" t="s">
        <v>3499</v>
      </c>
      <c r="G10" s="3617"/>
      <c r="J10" s="3761"/>
      <c r="K10" s="3763"/>
      <c r="L10" s="3609"/>
      <c r="M10" s="3610"/>
      <c r="N10" s="3611"/>
      <c r="O10" s="3612"/>
      <c r="P10" s="3612"/>
      <c r="Q10" s="3613"/>
      <c r="R10" s="3614"/>
    </row>
    <row r="11" spans="1:22" ht="13.15" customHeight="1">
      <c r="A11" s="3604">
        <v>3</v>
      </c>
      <c r="B11" s="3765" t="s">
        <v>3500</v>
      </c>
      <c r="C11" s="3766"/>
      <c r="D11" s="3605">
        <f ca="1">D12+D14+D15+D16</f>
        <v>157237.14000000001</v>
      </c>
      <c r="E11" s="3619">
        <f ca="1">D11/D6</f>
        <v>0.13545339031599188</v>
      </c>
      <c r="F11" s="3607"/>
      <c r="G11" s="3608"/>
      <c r="J11" s="3761"/>
      <c r="K11" s="3763"/>
      <c r="L11" s="3609"/>
      <c r="M11" s="3610"/>
      <c r="N11" s="3611"/>
      <c r="O11" s="3612"/>
      <c r="P11" s="3612"/>
      <c r="Q11" s="3613"/>
      <c r="R11" s="3614"/>
    </row>
    <row r="12" spans="1:22" ht="13.15" customHeight="1">
      <c r="A12" s="3620" t="s">
        <v>3501</v>
      </c>
      <c r="B12" s="3767" t="s">
        <v>3502</v>
      </c>
      <c r="C12" s="3768"/>
      <c r="D12" s="3621">
        <f ca="1">ROUND(D13*1.2%*(1-30%),0)</f>
        <v>4956</v>
      </c>
      <c r="E12" s="3622">
        <v>1.2E-2</v>
      </c>
      <c r="F12" s="3607" t="s">
        <v>3503</v>
      </c>
      <c r="G12" s="3608"/>
      <c r="J12" s="3761"/>
      <c r="K12" s="3763"/>
      <c r="L12" s="3609"/>
      <c r="M12" s="3610"/>
      <c r="N12" s="3611"/>
      <c r="O12" s="3612"/>
      <c r="P12" s="3612"/>
      <c r="Q12" s="3613"/>
      <c r="R12" s="3614"/>
    </row>
    <row r="13" spans="1:22" ht="13.15" customHeight="1">
      <c r="A13" s="3620"/>
      <c r="B13" s="3623"/>
      <c r="C13" s="3624" t="s">
        <v>3461</v>
      </c>
      <c r="D13" s="3625">
        <f ca="1">收益法!C13*10000</f>
        <v>590000</v>
      </c>
      <c r="E13" s="3626"/>
      <c r="F13" s="3607"/>
      <c r="G13" s="3608"/>
      <c r="J13" s="3761"/>
      <c r="K13" s="3763"/>
      <c r="L13" s="3609"/>
      <c r="M13" s="3610"/>
      <c r="N13" s="3611"/>
      <c r="O13" s="3612"/>
      <c r="P13" s="3612"/>
      <c r="Q13" s="3613"/>
      <c r="R13" s="3614"/>
    </row>
    <row r="14" spans="1:22" ht="13.15" customHeight="1">
      <c r="A14" s="3620" t="s">
        <v>3504</v>
      </c>
      <c r="B14" s="3767" t="s">
        <v>3505</v>
      </c>
      <c r="C14" s="3768"/>
      <c r="D14" s="3621">
        <f ca="1">收益法!F34*收益法!F35</f>
        <v>12982.14</v>
      </c>
      <c r="E14" s="3613"/>
      <c r="F14" s="3607" t="s">
        <v>3506</v>
      </c>
      <c r="G14" s="3608"/>
      <c r="J14" s="3761"/>
      <c r="K14" s="3764"/>
      <c r="L14" s="3627" t="s">
        <v>3507</v>
      </c>
      <c r="M14" s="3628">
        <f>SUM(M7:M13)</f>
        <v>0</v>
      </c>
      <c r="N14" s="3628" t="e">
        <f>ROUND((N7*M7+N8*M8+N9*M9+N10*M10+N11*M11+N12*M12+N13*M13)/M14,0)</f>
        <v>#DIV/0!</v>
      </c>
      <c r="O14" s="3629"/>
      <c r="P14" s="3629"/>
      <c r="Q14" s="3630"/>
      <c r="R14" s="3607">
        <f>SUM(R7:R13)</f>
        <v>1055292</v>
      </c>
    </row>
    <row r="15" spans="1:22" ht="13.15" customHeight="1">
      <c r="A15" s="3620" t="s">
        <v>3508</v>
      </c>
      <c r="B15" s="3767" t="s">
        <v>3509</v>
      </c>
      <c r="C15" s="3768"/>
      <c r="D15" s="3621">
        <f>ROUND(D6*E15,0)</f>
        <v>139299</v>
      </c>
      <c r="E15" s="3622">
        <v>0.12</v>
      </c>
      <c r="F15" s="3607" t="s">
        <v>3510</v>
      </c>
      <c r="G15" s="3617"/>
      <c r="J15" s="3769">
        <v>2</v>
      </c>
      <c r="K15" s="3770" t="s">
        <v>3511</v>
      </c>
      <c r="L15" s="3609" t="s">
        <v>3512</v>
      </c>
      <c r="M15" s="3610" t="s">
        <v>3513</v>
      </c>
      <c r="N15" s="3610" t="s">
        <v>3514</v>
      </c>
      <c r="O15" s="3612" t="s">
        <v>3515</v>
      </c>
      <c r="P15" s="3612" t="s">
        <v>3516</v>
      </c>
      <c r="Q15" s="3611" t="s">
        <v>1</v>
      </c>
      <c r="R15" s="3631" t="s">
        <v>3517</v>
      </c>
    </row>
    <row r="16" spans="1:22" ht="13.15" customHeight="1">
      <c r="A16" s="3620" t="s">
        <v>3518</v>
      </c>
      <c r="B16" s="3767" t="s">
        <v>3519</v>
      </c>
      <c r="C16" s="3768"/>
      <c r="D16" s="3632">
        <f>D6*E16</f>
        <v>0</v>
      </c>
      <c r="E16" s="3633"/>
      <c r="F16" s="3616" t="s">
        <v>3520</v>
      </c>
      <c r="G16" s="3617"/>
      <c r="J16" s="3769"/>
      <c r="K16" s="3771"/>
      <c r="L16" s="3609" t="s">
        <v>3521</v>
      </c>
      <c r="M16" s="3610">
        <v>100</v>
      </c>
      <c r="N16" s="3610">
        <v>100</v>
      </c>
      <c r="O16" s="3612">
        <v>1.2</v>
      </c>
      <c r="P16" s="3613">
        <v>365</v>
      </c>
      <c r="Q16" s="3611"/>
      <c r="R16" s="3631"/>
    </row>
    <row r="17" spans="1:22" ht="13.15" customHeight="1" thickBot="1">
      <c r="A17" s="3634">
        <v>4</v>
      </c>
      <c r="B17" s="3773" t="s">
        <v>3522</v>
      </c>
      <c r="C17" s="3774"/>
      <c r="D17" s="3635">
        <f>ROUND(D6*E17,0)</f>
        <v>0</v>
      </c>
      <c r="E17" s="3636"/>
      <c r="F17" s="3637" t="s">
        <v>3523</v>
      </c>
      <c r="G17" s="3617"/>
      <c r="J17" s="3769"/>
      <c r="K17" s="3771"/>
      <c r="L17" s="3609" t="s">
        <v>3524</v>
      </c>
      <c r="M17" s="3610">
        <v>200</v>
      </c>
      <c r="N17" s="3610">
        <v>200</v>
      </c>
      <c r="O17" s="3612">
        <v>2</v>
      </c>
      <c r="P17" s="3613">
        <v>365</v>
      </c>
      <c r="Q17" s="3611"/>
      <c r="R17" s="3631"/>
    </row>
    <row r="18" spans="1:22" ht="13.15" customHeight="1" thickBot="1">
      <c r="A18" s="3638" t="s">
        <v>3525</v>
      </c>
      <c r="B18" s="3639"/>
      <c r="C18" s="3639"/>
      <c r="D18" s="3640">
        <f>ROUND(D6*E18,0)</f>
        <v>406287</v>
      </c>
      <c r="E18" s="3641">
        <v>0.35</v>
      </c>
      <c r="F18" s="3642" t="s">
        <v>3526</v>
      </c>
      <c r="G18" s="3617"/>
      <c r="J18" s="3769"/>
      <c r="K18" s="3771"/>
      <c r="L18" s="3609" t="s">
        <v>3527</v>
      </c>
      <c r="M18" s="3610"/>
      <c r="N18" s="3610"/>
      <c r="O18" s="3612"/>
      <c r="P18" s="3613">
        <v>365</v>
      </c>
      <c r="Q18" s="3611"/>
      <c r="R18" s="3631"/>
    </row>
    <row r="19" spans="1:22" ht="13.15" customHeight="1" thickBot="1">
      <c r="A19" s="3643" t="s">
        <v>3528</v>
      </c>
      <c r="B19" s="3644"/>
      <c r="C19" s="3644"/>
      <c r="D19" s="3644"/>
      <c r="E19" s="3644"/>
      <c r="F19" s="3645"/>
      <c r="G19" s="3608"/>
      <c r="J19" s="3769"/>
      <c r="K19" s="3772"/>
      <c r="L19" s="3627" t="s">
        <v>3507</v>
      </c>
      <c r="M19" s="3628"/>
      <c r="N19" s="3628">
        <f>SUM(N16:N18)</f>
        <v>300</v>
      </c>
      <c r="O19" s="3629"/>
      <c r="P19" s="3646" t="s">
        <v>3529</v>
      </c>
      <c r="Q19" s="3612">
        <v>0</v>
      </c>
      <c r="R19" s="3647">
        <f>ROUND(IF(P19="按比例",R14*Q19,SUM(R16:R18)),0)</f>
        <v>0</v>
      </c>
    </row>
    <row r="20" spans="1:22" ht="13.15" customHeight="1">
      <c r="A20" s="3638"/>
      <c r="B20" s="3639"/>
      <c r="C20" s="3639"/>
      <c r="D20" s="3639"/>
      <c r="E20" s="3639"/>
      <c r="F20" s="3648"/>
      <c r="G20" s="3608"/>
      <c r="J20" s="3761">
        <v>3</v>
      </c>
      <c r="K20" s="3762" t="s">
        <v>3464</v>
      </c>
      <c r="L20" s="3609" t="s">
        <v>3530</v>
      </c>
      <c r="M20" s="3610" t="s">
        <v>3531</v>
      </c>
      <c r="N20" s="3649" t="s">
        <v>3532</v>
      </c>
      <c r="O20" s="3612" t="s">
        <v>3533</v>
      </c>
      <c r="P20" s="3613" t="s">
        <v>3516</v>
      </c>
      <c r="Q20" s="3611" t="s">
        <v>1</v>
      </c>
      <c r="R20" s="3631" t="s">
        <v>3517</v>
      </c>
    </row>
    <row r="21" spans="1:22" ht="13.15" customHeight="1">
      <c r="A21" s="3638"/>
      <c r="B21" s="3639"/>
      <c r="C21" s="3650" t="s">
        <v>3534</v>
      </c>
      <c r="D21" s="3651" t="s">
        <v>3535</v>
      </c>
      <c r="E21" s="3652" t="s">
        <v>3536</v>
      </c>
      <c r="F21" s="3648"/>
      <c r="G21" s="3608"/>
      <c r="J21" s="3761"/>
      <c r="K21" s="3763"/>
      <c r="L21" s="3609" t="s">
        <v>3537</v>
      </c>
      <c r="M21" s="3610">
        <v>2</v>
      </c>
      <c r="N21" s="3610">
        <v>3000</v>
      </c>
      <c r="O21" s="3612">
        <v>0.3</v>
      </c>
      <c r="P21" s="3613">
        <v>365</v>
      </c>
      <c r="Q21" s="3611"/>
      <c r="R21" s="3653"/>
    </row>
    <row r="22" spans="1:22" ht="13.15" customHeight="1">
      <c r="A22" s="3638"/>
      <c r="B22" s="3639"/>
      <c r="C22" s="3654" t="s">
        <v>3538</v>
      </c>
      <c r="D22" s="3655" t="s">
        <v>3539</v>
      </c>
      <c r="E22" s="3656" t="s">
        <v>3540</v>
      </c>
      <c r="F22" s="3648"/>
      <c r="G22" s="3601"/>
      <c r="J22" s="3761"/>
      <c r="K22" s="3763"/>
      <c r="L22" s="3609" t="s">
        <v>3541</v>
      </c>
      <c r="M22" s="3610">
        <v>5</v>
      </c>
      <c r="N22" s="3610">
        <v>1500</v>
      </c>
      <c r="O22" s="3612">
        <v>0.5</v>
      </c>
      <c r="P22" s="3613">
        <v>365</v>
      </c>
      <c r="Q22" s="3611"/>
      <c r="R22" s="3653"/>
    </row>
    <row r="23" spans="1:22" ht="13.15" customHeight="1">
      <c r="A23" s="3657">
        <v>1</v>
      </c>
      <c r="B23" s="3658" t="s">
        <v>3542</v>
      </c>
      <c r="C23" s="3659">
        <f>D6</f>
        <v>1160821</v>
      </c>
      <c r="D23" s="3660">
        <f>C23*(1+D24)</f>
        <v>1160821</v>
      </c>
      <c r="E23" s="3661">
        <f>D23*(1+E24)</f>
        <v>1160821</v>
      </c>
      <c r="F23" s="3662"/>
      <c r="G23" s="3663"/>
      <c r="J23" s="3761"/>
      <c r="K23" s="3763"/>
      <c r="L23" s="3609" t="s">
        <v>3543</v>
      </c>
      <c r="M23" s="3610">
        <v>8</v>
      </c>
      <c r="N23" s="3610">
        <v>1000</v>
      </c>
      <c r="O23" s="3612">
        <v>0.6</v>
      </c>
      <c r="P23" s="3613">
        <v>365</v>
      </c>
      <c r="Q23" s="3611"/>
      <c r="R23" s="3653"/>
    </row>
    <row r="24" spans="1:22" s="3487" customFormat="1" ht="13.15" customHeight="1">
      <c r="A24" s="3544"/>
      <c r="B24" s="3545" t="s">
        <v>3465</v>
      </c>
      <c r="C24" s="3546"/>
      <c r="D24" s="3547"/>
      <c r="E24" s="3548"/>
      <c r="F24" s="3549"/>
      <c r="G24" s="3543"/>
      <c r="I24" s="3488"/>
      <c r="J24" s="3761"/>
      <c r="K24" s="3764"/>
      <c r="L24" s="3531" t="s">
        <v>3462</v>
      </c>
      <c r="M24" s="3532">
        <f>SUM(M21:M23)</f>
        <v>15</v>
      </c>
      <c r="N24" s="3532"/>
      <c r="O24" s="3533"/>
      <c r="P24" s="3535" t="s">
        <v>3463</v>
      </c>
      <c r="Q24" s="3523">
        <v>0</v>
      </c>
      <c r="R24" s="3536">
        <f>ROUND(IF(P24="按比例",R14*Q24,SUM(R21:R23)),0)</f>
        <v>0</v>
      </c>
      <c r="S24" s="3480"/>
      <c r="T24" s="3480"/>
      <c r="U24" s="3480"/>
      <c r="V24" s="3488"/>
    </row>
    <row r="25" spans="1:22" s="3556" customFormat="1" ht="13.15" customHeight="1">
      <c r="A25" s="3544"/>
      <c r="B25" s="3545"/>
      <c r="C25" s="3546"/>
      <c r="D25" s="3547"/>
      <c r="E25" s="3548"/>
      <c r="F25" s="3549"/>
      <c r="G25" s="3480"/>
      <c r="H25" s="3487"/>
      <c r="I25" s="3488"/>
      <c r="J25" s="3550">
        <v>4</v>
      </c>
      <c r="K25" s="3551" t="s">
        <v>3466</v>
      </c>
      <c r="L25" s="3552"/>
      <c r="M25" s="3552"/>
      <c r="N25" s="3552"/>
      <c r="O25" s="3552"/>
      <c r="P25" s="3553"/>
      <c r="Q25" s="3554">
        <v>0.1</v>
      </c>
      <c r="R25" s="3536">
        <f>ROUND(R14*Q25,0)</f>
        <v>105529</v>
      </c>
      <c r="S25" s="3480"/>
      <c r="T25" s="3480"/>
      <c r="U25" s="3480"/>
      <c r="V25" s="3555"/>
    </row>
    <row r="26" spans="1:22" s="3556" customFormat="1" ht="13.15" customHeight="1">
      <c r="A26" s="3538">
        <v>2</v>
      </c>
      <c r="B26" s="3513" t="s">
        <v>3467</v>
      </c>
      <c r="C26" s="3539">
        <f ca="1">D7</f>
        <v>336003.14</v>
      </c>
      <c r="D26" s="3540">
        <f>D23*D27</f>
        <v>0</v>
      </c>
      <c r="E26" s="3541">
        <f>E23*E27</f>
        <v>0</v>
      </c>
      <c r="F26" s="3542"/>
      <c r="G26" s="3543"/>
      <c r="H26" s="3487"/>
      <c r="I26" s="3488"/>
      <c r="J26" s="3775">
        <v>5</v>
      </c>
      <c r="K26" s="3557" t="s">
        <v>3468</v>
      </c>
      <c r="L26" s="3558"/>
      <c r="M26" s="3559"/>
      <c r="N26" s="3560" t="s">
        <v>1751</v>
      </c>
      <c r="O26" s="3560" t="s">
        <v>3469</v>
      </c>
      <c r="P26" s="3561" t="s">
        <v>3470</v>
      </c>
      <c r="Q26" s="3561" t="s">
        <v>3471</v>
      </c>
      <c r="R26" s="3496" t="s">
        <v>3456</v>
      </c>
      <c r="S26" s="3528"/>
      <c r="T26" s="3528"/>
      <c r="U26" s="3528"/>
      <c r="V26" s="3555"/>
    </row>
    <row r="27" spans="1:22" s="3487" customFormat="1" ht="13.15" customHeight="1">
      <c r="A27" s="3544"/>
      <c r="B27" s="3545" t="s">
        <v>3472</v>
      </c>
      <c r="C27" s="3562">
        <f ca="1">E7</f>
        <v>0.28945339031599188</v>
      </c>
      <c r="D27" s="3547"/>
      <c r="E27" s="3548"/>
      <c r="F27" s="3549"/>
      <c r="G27" s="3543"/>
      <c r="H27" s="3556"/>
      <c r="I27" s="3555"/>
      <c r="J27" s="3776"/>
      <c r="K27" s="3563"/>
      <c r="L27" s="3564"/>
      <c r="M27" s="3565"/>
      <c r="N27" s="3566"/>
      <c r="O27" s="3566"/>
      <c r="P27" s="3566"/>
      <c r="Q27" s="3567"/>
      <c r="R27" s="3536">
        <f>ROUND(O27*N27*P27*(1-Q27)/10000,0)</f>
        <v>0</v>
      </c>
      <c r="S27" s="3480"/>
      <c r="T27" s="3480"/>
      <c r="U27" s="3480"/>
      <c r="V27" s="3488"/>
    </row>
    <row r="28" spans="1:22" s="3556" customFormat="1" ht="13.15" customHeight="1" thickBot="1">
      <c r="A28" s="3544"/>
      <c r="B28" s="3545"/>
      <c r="C28" s="3562"/>
      <c r="D28" s="3547"/>
      <c r="E28" s="3548" t="s">
        <v>3473</v>
      </c>
      <c r="F28" s="3549"/>
      <c r="G28" s="3480"/>
      <c r="I28" s="3555"/>
      <c r="J28" s="3568">
        <v>6</v>
      </c>
      <c r="K28" s="3569" t="s">
        <v>3474</v>
      </c>
      <c r="L28" s="3570" t="s">
        <v>3475</v>
      </c>
      <c r="M28" s="3571"/>
      <c r="N28" s="3570" t="s">
        <v>3476</v>
      </c>
      <c r="O28" s="3572" t="s">
        <v>3477</v>
      </c>
      <c r="P28" s="3570" t="s">
        <v>3478</v>
      </c>
      <c r="Q28" s="3573">
        <v>1.4999999999999999E-2</v>
      </c>
      <c r="R28" s="3574"/>
      <c r="S28" s="3480"/>
      <c r="T28" s="3480"/>
      <c r="U28" s="3480"/>
      <c r="V28" s="3555"/>
    </row>
    <row r="29" spans="1:22" s="3556" customFormat="1" ht="13.15" customHeight="1">
      <c r="A29" s="3538">
        <v>3</v>
      </c>
      <c r="B29" s="3513" t="s">
        <v>3479</v>
      </c>
      <c r="C29" s="3539">
        <f>C23*C30</f>
        <v>406287.35</v>
      </c>
      <c r="D29" s="3540">
        <f>D23*C30</f>
        <v>406287.35</v>
      </c>
      <c r="E29" s="3541">
        <f>E23*C30</f>
        <v>406287.35</v>
      </c>
      <c r="F29" s="3542"/>
      <c r="G29" s="3543"/>
      <c r="H29" s="3487"/>
      <c r="I29" s="3488"/>
      <c r="J29" s="3480"/>
      <c r="K29" s="3480"/>
      <c r="L29" s="3480"/>
      <c r="M29" s="3480"/>
      <c r="N29" s="3480"/>
      <c r="O29" s="3480"/>
      <c r="P29" s="3480"/>
      <c r="Q29" s="3480"/>
      <c r="R29" s="3480"/>
      <c r="S29" s="3480"/>
      <c r="T29" s="3480"/>
      <c r="U29" s="3480"/>
      <c r="V29" s="3555"/>
    </row>
    <row r="30" spans="1:22" s="3487" customFormat="1" ht="13.15" customHeight="1" thickBot="1">
      <c r="A30" s="3544"/>
      <c r="B30" s="3545" t="s">
        <v>3472</v>
      </c>
      <c r="C30" s="3562">
        <f>E18</f>
        <v>0.35</v>
      </c>
      <c r="D30" s="3575"/>
      <c r="E30" s="3530"/>
      <c r="F30" s="3549"/>
      <c r="G30" s="3543"/>
      <c r="H30" s="3556"/>
      <c r="I30" s="3555"/>
      <c r="J30" s="3480"/>
      <c r="K30" s="3480"/>
      <c r="L30" s="3480"/>
      <c r="M30" s="3480"/>
      <c r="N30" s="3480"/>
      <c r="O30" s="3480"/>
      <c r="P30" s="3480"/>
      <c r="Q30" s="3480"/>
      <c r="R30" s="3480"/>
      <c r="S30" s="3480"/>
      <c r="T30" s="3480"/>
      <c r="U30" s="3480"/>
      <c r="V30" s="3488"/>
    </row>
    <row r="31" spans="1:22" s="3556" customFormat="1" ht="13.15" customHeight="1">
      <c r="A31" s="3544"/>
      <c r="B31" s="3545"/>
      <c r="C31" s="3576"/>
      <c r="D31" s="3575"/>
      <c r="E31" s="3530"/>
      <c r="F31" s="3549"/>
      <c r="G31" s="3480"/>
      <c r="I31" s="3555"/>
      <c r="J31" s="3477" t="s">
        <v>3480</v>
      </c>
      <c r="K31" s="3478"/>
      <c r="L31" s="3478"/>
      <c r="M31" s="3478"/>
      <c r="N31" s="3478"/>
      <c r="O31" s="3478"/>
      <c r="P31" s="3478"/>
      <c r="Q31" s="3478"/>
      <c r="R31" s="3479"/>
      <c r="S31" s="3480"/>
      <c r="T31" s="3480"/>
      <c r="U31" s="3480"/>
      <c r="V31" s="3555"/>
    </row>
    <row r="32" spans="1:22" s="3556" customFormat="1" ht="13.15" customHeight="1">
      <c r="A32" s="3538">
        <v>4</v>
      </c>
      <c r="B32" s="3513" t="s">
        <v>3481</v>
      </c>
      <c r="C32" s="3539">
        <f ca="1">C23-C26-C29</f>
        <v>418530.51</v>
      </c>
      <c r="D32" s="3540">
        <f>D23-D26-D29</f>
        <v>754533.65</v>
      </c>
      <c r="E32" s="3541">
        <f>E23-E26-E29</f>
        <v>754533.65</v>
      </c>
      <c r="F32" s="3542"/>
      <c r="G32" s="3480"/>
      <c r="H32" s="3487"/>
      <c r="I32" s="3488"/>
      <c r="J32" s="3754" t="s">
        <v>3434</v>
      </c>
      <c r="K32" s="3755"/>
      <c r="L32" s="3489" t="s">
        <v>3435</v>
      </c>
      <c r="M32" s="3489" t="s">
        <v>3436</v>
      </c>
      <c r="N32" s="3489" t="s">
        <v>3437</v>
      </c>
      <c r="O32" s="3489" t="s">
        <v>3438</v>
      </c>
      <c r="P32" s="3489" t="s">
        <v>3439</v>
      </c>
      <c r="Q32" s="3490" t="s">
        <v>3440</v>
      </c>
      <c r="R32" s="3527" t="s">
        <v>3441</v>
      </c>
      <c r="S32" s="3480"/>
      <c r="T32" s="3480"/>
      <c r="U32" s="3480"/>
      <c r="V32" s="3555"/>
    </row>
    <row r="33" spans="1:23" s="3487" customFormat="1" ht="13.15" customHeight="1">
      <c r="A33" s="3538"/>
      <c r="B33" s="3513"/>
      <c r="C33" s="3539"/>
      <c r="D33" s="3577"/>
      <c r="E33" s="3578"/>
      <c r="F33" s="3542"/>
      <c r="G33" s="3480"/>
      <c r="H33" s="3556"/>
      <c r="I33" s="3555"/>
      <c r="J33" s="3756" t="s">
        <v>3443</v>
      </c>
      <c r="K33" s="3757"/>
      <c r="L33" s="3494">
        <v>20000</v>
      </c>
      <c r="M33" s="3494">
        <v>500</v>
      </c>
      <c r="N33" s="3494">
        <v>500</v>
      </c>
      <c r="O33" s="3494">
        <v>10000</v>
      </c>
      <c r="P33" s="3494">
        <v>10000</v>
      </c>
      <c r="Q33" s="3495">
        <v>500</v>
      </c>
      <c r="R33" s="3579">
        <f>SUM(L33:Q33)</f>
        <v>41500</v>
      </c>
      <c r="S33" s="3480"/>
      <c r="T33" s="3480"/>
      <c r="U33" s="3480"/>
      <c r="V33" s="3488"/>
    </row>
    <row r="34" spans="1:23" s="3487" customFormat="1" ht="13.15" customHeight="1">
      <c r="A34" s="3538">
        <v>5</v>
      </c>
      <c r="B34" s="3513" t="s">
        <v>3482</v>
      </c>
      <c r="C34" s="3580">
        <v>7.0000000000000007E-2</v>
      </c>
      <c r="D34" s="3581"/>
      <c r="E34" s="3582"/>
      <c r="F34" s="3542"/>
      <c r="G34" s="3480"/>
      <c r="H34" s="3556"/>
      <c r="I34" s="3555"/>
      <c r="J34" s="3756" t="s">
        <v>3444</v>
      </c>
      <c r="K34" s="3757"/>
      <c r="L34" s="3499">
        <v>6500</v>
      </c>
      <c r="M34" s="3499">
        <v>150</v>
      </c>
      <c r="N34" s="3499">
        <v>150</v>
      </c>
      <c r="O34" s="3499">
        <v>3500</v>
      </c>
      <c r="P34" s="3499">
        <v>3500</v>
      </c>
      <c r="Q34" s="3500">
        <v>150</v>
      </c>
      <c r="R34" s="3583">
        <f>SUM(L34:Q34)</f>
        <v>13950</v>
      </c>
      <c r="S34" s="3480"/>
      <c r="T34" s="3480"/>
      <c r="U34" s="3480">
        <f>ROUND(R35*10000/365/R33,1)</f>
        <v>7.3</v>
      </c>
      <c r="V34" s="3488"/>
    </row>
    <row r="35" spans="1:23" s="3487" customFormat="1" ht="13.15" customHeight="1">
      <c r="A35" s="3538">
        <v>6</v>
      </c>
      <c r="B35" s="3513" t="s">
        <v>3483</v>
      </c>
      <c r="C35" s="3584">
        <v>0.02</v>
      </c>
      <c r="D35" s="3585"/>
      <c r="E35" s="3586"/>
      <c r="F35" s="3542"/>
      <c r="G35" s="3587"/>
      <c r="I35" s="3555"/>
      <c r="J35" s="3505" t="s">
        <v>3446</v>
      </c>
      <c r="K35" s="3506"/>
      <c r="L35" s="3506"/>
      <c r="M35" s="3507"/>
      <c r="N35" s="3507"/>
      <c r="O35" s="3507"/>
      <c r="P35" s="3507"/>
      <c r="Q35" s="3507"/>
      <c r="R35" s="3537">
        <f>R40+R41+R43</f>
        <v>11078</v>
      </c>
      <c r="S35" s="3480"/>
      <c r="T35" s="3480" t="s">
        <v>3447</v>
      </c>
      <c r="U35" s="3480"/>
      <c r="V35" s="3488"/>
    </row>
    <row r="36" spans="1:23" s="3487" customFormat="1" ht="13.15" customHeight="1" thickBot="1">
      <c r="A36" s="3538">
        <v>7</v>
      </c>
      <c r="B36" s="3588" t="s">
        <v>3484</v>
      </c>
      <c r="C36" s="3589">
        <v>40</v>
      </c>
      <c r="D36" s="3590"/>
      <c r="E36" s="3591"/>
      <c r="F36" s="3592">
        <f>C36+D36+E36</f>
        <v>40</v>
      </c>
      <c r="G36" s="3480"/>
      <c r="I36" s="3488"/>
      <c r="J36" s="3761">
        <v>1</v>
      </c>
      <c r="K36" s="3762" t="s">
        <v>3485</v>
      </c>
      <c r="L36" s="3512"/>
      <c r="M36" s="3513"/>
      <c r="N36" s="3513"/>
      <c r="O36" s="3513"/>
      <c r="P36" s="3513"/>
      <c r="Q36" s="3513"/>
      <c r="R36" s="3496" t="s">
        <v>3456</v>
      </c>
      <c r="S36" s="3480"/>
      <c r="T36" s="3480" t="s">
        <v>3457</v>
      </c>
      <c r="U36" s="3480"/>
      <c r="V36" s="3488"/>
    </row>
    <row r="37" spans="1:23" s="3487" customFormat="1" ht="13.15" customHeight="1">
      <c r="A37" s="3538"/>
      <c r="B37" s="3513"/>
      <c r="C37" s="3513"/>
      <c r="D37" s="3513"/>
      <c r="E37" s="3513"/>
      <c r="F37" s="3542"/>
      <c r="G37" s="3480"/>
      <c r="I37" s="3488"/>
      <c r="J37" s="3761"/>
      <c r="K37" s="3763"/>
      <c r="L37" s="3521"/>
      <c r="M37" s="3522"/>
      <c r="N37" s="3498"/>
      <c r="O37" s="3523"/>
      <c r="P37" s="3523"/>
      <c r="Q37" s="3524"/>
      <c r="R37" s="3525">
        <v>10000</v>
      </c>
      <c r="S37" s="3480"/>
      <c r="T37" s="3480" t="s">
        <v>3459</v>
      </c>
      <c r="U37" s="3480"/>
      <c r="V37" s="3488"/>
    </row>
    <row r="38" spans="1:23" s="3487" customFormat="1" ht="13.15" customHeight="1">
      <c r="A38" s="3538">
        <v>8</v>
      </c>
      <c r="B38" s="3513"/>
      <c r="C38" s="3526">
        <f ca="1">ROUND(C32*(1-((1+C35)/(1+C34))^C36)/(C34-C35),0)</f>
        <v>7136333</v>
      </c>
      <c r="D38" s="3526"/>
      <c r="E38" s="3526"/>
      <c r="F38" s="3542"/>
      <c r="G38" s="3480"/>
      <c r="I38" s="3488"/>
      <c r="J38" s="3761"/>
      <c r="K38" s="3763"/>
      <c r="L38" s="3521"/>
      <c r="M38" s="3522"/>
      <c r="N38" s="3498"/>
      <c r="O38" s="3523"/>
      <c r="P38" s="3523"/>
      <c r="Q38" s="3524"/>
      <c r="R38" s="3525"/>
      <c r="S38" s="3480"/>
      <c r="T38" s="3480" t="s">
        <v>3460</v>
      </c>
      <c r="U38" s="3480"/>
      <c r="V38" s="3488"/>
    </row>
    <row r="39" spans="1:23" s="3487" customFormat="1" ht="13.15" customHeight="1">
      <c r="A39" s="3538">
        <v>9</v>
      </c>
      <c r="B39" s="3513" t="s">
        <v>3486</v>
      </c>
      <c r="C39" s="3529">
        <f ca="1">C38</f>
        <v>7136333</v>
      </c>
      <c r="D39" s="3513"/>
      <c r="E39" s="3513"/>
      <c r="F39" s="3542"/>
      <c r="G39" s="3488"/>
      <c r="I39" s="3488"/>
      <c r="J39" s="3761"/>
      <c r="K39" s="3763"/>
      <c r="L39" s="3521"/>
      <c r="M39" s="3522"/>
      <c r="N39" s="3498"/>
      <c r="O39" s="3523"/>
      <c r="P39" s="3523"/>
      <c r="Q39" s="3524"/>
      <c r="R39" s="3525"/>
      <c r="S39" s="3480"/>
      <c r="T39" s="3480"/>
      <c r="U39" s="3480"/>
      <c r="V39" s="3488"/>
    </row>
    <row r="40" spans="1:23" s="3487" customFormat="1" ht="13.15" customHeight="1">
      <c r="A40" s="3593">
        <v>10</v>
      </c>
      <c r="B40" s="3513" t="s">
        <v>3487</v>
      </c>
      <c r="C40" s="3594">
        <f ca="1">C39+D39+E39</f>
        <v>7136333</v>
      </c>
      <c r="D40" s="3595"/>
      <c r="E40" s="3595"/>
      <c r="F40" s="3596"/>
      <c r="G40" s="3480"/>
      <c r="I40" s="3488"/>
      <c r="J40" s="3761"/>
      <c r="K40" s="3764"/>
      <c r="L40" s="3531" t="s">
        <v>3462</v>
      </c>
      <c r="M40" s="3532"/>
      <c r="N40" s="3532"/>
      <c r="O40" s="3533"/>
      <c r="P40" s="3533"/>
      <c r="Q40" s="3534"/>
      <c r="R40" s="3491">
        <f>SUM(R37:R39)</f>
        <v>10000</v>
      </c>
      <c r="S40" s="3480"/>
      <c r="T40" s="3480"/>
      <c r="U40" s="3480"/>
      <c r="V40" s="3488"/>
    </row>
    <row r="41" spans="1:23" s="3487" customFormat="1" ht="13.15" customHeight="1" thickBot="1">
      <c r="A41" s="3597">
        <v>11</v>
      </c>
      <c r="B41" s="3598" t="s">
        <v>3488</v>
      </c>
      <c r="C41" s="3598">
        <f ca="1">ROUND(C40/B4,0)</f>
        <v>36029</v>
      </c>
      <c r="D41" s="3599"/>
      <c r="E41" s="3599"/>
      <c r="F41" s="3600"/>
      <c r="I41" s="3488"/>
      <c r="J41" s="3550">
        <v>2</v>
      </c>
      <c r="K41" s="3551" t="s">
        <v>3466</v>
      </c>
      <c r="L41" s="3552"/>
      <c r="M41" s="3552"/>
      <c r="N41" s="3552"/>
      <c r="O41" s="3552"/>
      <c r="P41" s="3553"/>
      <c r="Q41" s="3554">
        <v>0.1</v>
      </c>
      <c r="R41" s="3536">
        <f>ROUND(R40*Q41,0)</f>
        <v>1000</v>
      </c>
      <c r="S41" s="3480"/>
      <c r="T41" s="3480"/>
      <c r="U41" s="3528"/>
      <c r="V41" s="3488"/>
    </row>
    <row r="42" spans="1:23" s="3487" customFormat="1" ht="13.15" customHeight="1">
      <c r="I42" s="3488"/>
      <c r="J42" s="3775">
        <v>3</v>
      </c>
      <c r="K42" s="3557" t="s">
        <v>3468</v>
      </c>
      <c r="L42" s="3558"/>
      <c r="M42" s="3559"/>
      <c r="N42" s="3560" t="s">
        <v>1751</v>
      </c>
      <c r="O42" s="3560" t="s">
        <v>3469</v>
      </c>
      <c r="P42" s="3561" t="s">
        <v>3470</v>
      </c>
      <c r="Q42" s="3561" t="s">
        <v>3471</v>
      </c>
      <c r="R42" s="3496" t="s">
        <v>3456</v>
      </c>
      <c r="S42" s="3528"/>
      <c r="T42" s="3528"/>
      <c r="U42" s="3480"/>
      <c r="V42" s="3488"/>
    </row>
    <row r="43" spans="1:23" ht="13.15" customHeight="1">
      <c r="A43" s="3487"/>
      <c r="B43" s="3487"/>
      <c r="C43" s="3487"/>
      <c r="D43" s="3487"/>
      <c r="E43" s="3487"/>
      <c r="F43" s="3487"/>
      <c r="I43" s="3475"/>
      <c r="J43" s="3776"/>
      <c r="K43" s="3563"/>
      <c r="L43" s="3564"/>
      <c r="M43" s="3565"/>
      <c r="N43" s="3522">
        <f>Q33</f>
        <v>500</v>
      </c>
      <c r="O43" s="3522">
        <v>5</v>
      </c>
      <c r="P43" s="3522">
        <v>365</v>
      </c>
      <c r="Q43" s="3554">
        <v>0.15</v>
      </c>
      <c r="R43" s="3536">
        <f>ROUND(O43*N43*P43*(1-Q43)/10000,0)</f>
        <v>78</v>
      </c>
      <c r="S43" s="3480"/>
      <c r="T43" s="3480"/>
      <c r="V43" s="3601"/>
      <c r="W43" s="3476"/>
    </row>
    <row r="44" spans="1:23" ht="13.15" customHeight="1" thickBot="1">
      <c r="J44" s="3568">
        <v>6</v>
      </c>
      <c r="K44" s="3569" t="s">
        <v>3474</v>
      </c>
      <c r="L44" s="3602" t="s">
        <v>3475</v>
      </c>
      <c r="M44" s="3571"/>
      <c r="N44" s="3602" t="s">
        <v>3476</v>
      </c>
      <c r="O44" s="3571" t="s">
        <v>3477</v>
      </c>
      <c r="P44" s="3602" t="s">
        <v>3478</v>
      </c>
      <c r="Q44" s="3573">
        <v>1.4999999999999999E-2</v>
      </c>
      <c r="R44" s="3574"/>
    </row>
  </sheetData>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disablePrompts="1" count="2">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F65D8FB6-7871-4EC4-B22D-589C06976E9A}">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4B745507-D1DB-4674-8B83-2EF504E4F349}">
      <formula1>"按明细,按比例"</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I49"/>
  <sheetViews>
    <sheetView topLeftCell="A26" workbookViewId="0">
      <selection activeCell="B43" sqref="B43"/>
    </sheetView>
  </sheetViews>
  <sheetFormatPr defaultColWidth="8.875" defaultRowHeight="13.5"/>
  <cols>
    <col min="1" max="1" width="10.5" bestFit="1" customWidth="1"/>
    <col min="2" max="5" width="12" style="3457" customWidth="1"/>
    <col min="6" max="6" width="10.875" style="3457" customWidth="1"/>
    <col min="7" max="7" width="10.875" customWidth="1"/>
    <col min="8" max="8" width="12.125" customWidth="1"/>
    <col min="9" max="9" width="11.5" customWidth="1"/>
  </cols>
  <sheetData>
    <row r="1" spans="1:8">
      <c r="B1" s="3456" t="s">
        <v>3405</v>
      </c>
    </row>
    <row r="2" spans="1:8">
      <c r="A2">
        <f>7.5</f>
        <v>7.5</v>
      </c>
      <c r="B2" s="3457">
        <v>2019</v>
      </c>
      <c r="D2" s="3457">
        <v>2020</v>
      </c>
    </row>
    <row r="3" spans="1:8">
      <c r="A3">
        <v>1379</v>
      </c>
      <c r="B3" s="3458">
        <v>44561</v>
      </c>
      <c r="C3" s="3457">
        <v>6.99</v>
      </c>
      <c r="D3" s="3458">
        <v>44548</v>
      </c>
      <c r="E3" s="3458"/>
      <c r="F3" s="3457">
        <v>5.88</v>
      </c>
      <c r="H3" t="s">
        <v>3406</v>
      </c>
    </row>
    <row r="4" spans="1:8">
      <c r="A4">
        <f>A2*A3</f>
        <v>10342.5</v>
      </c>
      <c r="B4" s="3458">
        <v>44533</v>
      </c>
      <c r="C4" s="3457">
        <v>6.8</v>
      </c>
      <c r="D4" s="3458">
        <v>44534</v>
      </c>
      <c r="E4" s="3458"/>
      <c r="F4" s="3457">
        <v>5.75</v>
      </c>
    </row>
    <row r="5" spans="1:8">
      <c r="A5">
        <f>7113</f>
        <v>7113</v>
      </c>
      <c r="B5" s="3458">
        <v>44519</v>
      </c>
      <c r="C5" s="3457">
        <v>6.76</v>
      </c>
      <c r="D5" s="3458">
        <v>44520</v>
      </c>
      <c r="E5" s="3458"/>
      <c r="F5" s="3457">
        <v>5.55</v>
      </c>
    </row>
    <row r="6" spans="1:8">
      <c r="A6">
        <f>A4-A5</f>
        <v>3229.5</v>
      </c>
      <c r="B6" s="3458">
        <v>44505</v>
      </c>
      <c r="C6" s="3457">
        <v>6.7</v>
      </c>
      <c r="D6" s="3458">
        <v>44506</v>
      </c>
      <c r="E6" s="3458"/>
      <c r="F6" s="3457">
        <v>5.43</v>
      </c>
    </row>
    <row r="7" spans="1:8">
      <c r="A7">
        <f>A6*375</f>
        <v>1211062.5</v>
      </c>
      <c r="B7" s="3458">
        <v>44491</v>
      </c>
      <c r="C7" s="3457">
        <v>6.62</v>
      </c>
      <c r="D7" s="3458">
        <v>44492</v>
      </c>
      <c r="E7" s="3458"/>
      <c r="F7" s="3457">
        <v>5.56</v>
      </c>
    </row>
    <row r="8" spans="1:8">
      <c r="B8" s="3458">
        <v>44458</v>
      </c>
      <c r="C8" s="3457">
        <v>6.74</v>
      </c>
      <c r="D8" s="3458">
        <v>44458</v>
      </c>
      <c r="E8" s="3458"/>
      <c r="F8" s="3457">
        <v>5.5</v>
      </c>
    </row>
    <row r="9" spans="1:8">
      <c r="B9" s="3458">
        <v>44443</v>
      </c>
      <c r="C9" s="3457">
        <v>6.64</v>
      </c>
      <c r="D9" s="3458">
        <v>44430</v>
      </c>
      <c r="E9" s="3458"/>
      <c r="F9" s="3457">
        <v>5.75</v>
      </c>
    </row>
    <row r="10" spans="1:8">
      <c r="B10" s="3458">
        <v>44429</v>
      </c>
      <c r="C10" s="3457">
        <v>6.54</v>
      </c>
      <c r="D10" s="3458">
        <v>44388</v>
      </c>
      <c r="E10" s="3458"/>
      <c r="F10" s="3457">
        <v>5.68</v>
      </c>
    </row>
    <row r="11" spans="1:8">
      <c r="B11" s="3458">
        <v>44415</v>
      </c>
      <c r="C11" s="3457">
        <v>6.71</v>
      </c>
      <c r="D11" s="3458">
        <v>44376</v>
      </c>
      <c r="E11" s="3458"/>
      <c r="F11" s="3457">
        <v>5.6</v>
      </c>
    </row>
    <row r="12" spans="1:8">
      <c r="B12" s="3458">
        <v>44387</v>
      </c>
      <c r="C12" s="3457">
        <v>6.78</v>
      </c>
      <c r="D12" s="3458">
        <v>44274</v>
      </c>
      <c r="E12" s="3458"/>
      <c r="F12" s="3457">
        <v>5.5</v>
      </c>
    </row>
    <row r="13" spans="1:8">
      <c r="B13" s="3458">
        <v>44374</v>
      </c>
      <c r="C13" s="3457">
        <v>6.66</v>
      </c>
      <c r="D13" s="3458">
        <v>44232</v>
      </c>
      <c r="E13" s="3458"/>
      <c r="F13" s="3457">
        <v>6.65</v>
      </c>
    </row>
    <row r="14" spans="1:8">
      <c r="B14" s="3458">
        <v>44359</v>
      </c>
      <c r="C14" s="3457">
        <v>6.75</v>
      </c>
      <c r="F14" s="3459">
        <f>ROUND(AVERAGE(F3:F13),2)</f>
        <v>5.71</v>
      </c>
    </row>
    <row r="15" spans="1:8">
      <c r="B15" s="3458">
        <v>44344</v>
      </c>
      <c r="C15" s="3457">
        <v>7.13</v>
      </c>
    </row>
    <row r="16" spans="1:8">
      <c r="B16" s="3458">
        <v>44330</v>
      </c>
      <c r="C16" s="3457">
        <v>7.09</v>
      </c>
    </row>
    <row r="17" spans="1:5">
      <c r="B17" s="3458">
        <v>44313</v>
      </c>
      <c r="C17" s="3457">
        <v>7.15</v>
      </c>
    </row>
    <row r="18" spans="1:5">
      <c r="B18" s="3458">
        <v>44299</v>
      </c>
      <c r="C18" s="3457">
        <v>6.99</v>
      </c>
    </row>
    <row r="19" spans="1:5">
      <c r="B19" s="3458">
        <v>44284</v>
      </c>
      <c r="C19" s="3457">
        <v>7.05</v>
      </c>
    </row>
    <row r="20" spans="1:5">
      <c r="B20" s="3458">
        <v>44256</v>
      </c>
      <c r="C20" s="3457">
        <v>6.98</v>
      </c>
    </row>
    <row r="21" spans="1:5">
      <c r="B21" s="3458">
        <v>44242</v>
      </c>
      <c r="C21" s="3457">
        <v>6.76</v>
      </c>
    </row>
    <row r="22" spans="1:5">
      <c r="B22" s="3458">
        <v>44225</v>
      </c>
      <c r="C22" s="3457">
        <v>6.72</v>
      </c>
    </row>
    <row r="23" spans="1:5">
      <c r="B23" s="3458">
        <v>44211</v>
      </c>
      <c r="C23" s="3457">
        <v>6.53</v>
      </c>
    </row>
    <row r="24" spans="1:5">
      <c r="C24" s="3459">
        <f>ROUND(AVERAGE(C3:C23),2)</f>
        <v>6.81</v>
      </c>
    </row>
    <row r="27" spans="1:5">
      <c r="A27" s="3462">
        <v>44505</v>
      </c>
      <c r="B27" s="3460" t="s">
        <v>3407</v>
      </c>
      <c r="C27" s="3461" t="s">
        <v>3408</v>
      </c>
    </row>
    <row r="28" spans="1:5">
      <c r="B28" s="3460" t="s">
        <v>3409</v>
      </c>
      <c r="C28" s="3461" t="s">
        <v>3410</v>
      </c>
      <c r="E28" s="3457">
        <v>1379</v>
      </c>
    </row>
    <row r="29" spans="1:5">
      <c r="B29" s="3460" t="s">
        <v>3411</v>
      </c>
      <c r="C29" s="3461" t="s">
        <v>3412</v>
      </c>
      <c r="D29" s="3457">
        <f>8.11/7.52</f>
        <v>1.0784574468085106</v>
      </c>
      <c r="E29" s="3457">
        <v>1360</v>
      </c>
    </row>
    <row r="30" spans="1:5">
      <c r="B30" s="3460" t="s">
        <v>3413</v>
      </c>
      <c r="C30" s="3461" t="s">
        <v>3414</v>
      </c>
      <c r="D30" s="3457">
        <f>7.13/7.52</f>
        <v>0.9481382978723405</v>
      </c>
      <c r="E30" s="3457">
        <v>1190</v>
      </c>
    </row>
    <row r="34" spans="1:9" s="3" customFormat="1" ht="27">
      <c r="A34" s="3465" t="s">
        <v>3415</v>
      </c>
      <c r="B34" s="3465" t="s">
        <v>3417</v>
      </c>
      <c r="C34" s="3465" t="s">
        <v>3418</v>
      </c>
      <c r="D34" s="3465" t="s">
        <v>3421</v>
      </c>
      <c r="E34" s="3465" t="s">
        <v>3423</v>
      </c>
      <c r="F34" s="3465" t="s">
        <v>3419</v>
      </c>
      <c r="G34" s="3465" t="s">
        <v>3420</v>
      </c>
      <c r="H34" s="3463" t="s">
        <v>3422</v>
      </c>
      <c r="I34" s="3463" t="s">
        <v>3424</v>
      </c>
    </row>
    <row r="35" spans="1:9">
      <c r="A35" s="3466">
        <v>92</v>
      </c>
      <c r="B35" s="3466">
        <v>375</v>
      </c>
      <c r="C35" s="3466">
        <v>7113</v>
      </c>
      <c r="D35" s="3466">
        <f>C24</f>
        <v>6.81</v>
      </c>
      <c r="E35" s="3466">
        <f>ROUND(D35*E28,0)</f>
        <v>9391</v>
      </c>
      <c r="F35" s="3466">
        <v>190</v>
      </c>
      <c r="G35" s="3466">
        <v>7150</v>
      </c>
      <c r="H35" s="3457">
        <f>F14</f>
        <v>5.71</v>
      </c>
      <c r="I35" s="3457">
        <f>ROUND(H35*E28,0)</f>
        <v>7874</v>
      </c>
    </row>
    <row r="36" spans="1:9">
      <c r="A36" s="3466">
        <v>95</v>
      </c>
      <c r="B36" s="3466">
        <v>180</v>
      </c>
      <c r="C36" s="3466">
        <v>7223</v>
      </c>
      <c r="D36" s="3466">
        <f>ROUND(D35*D29,2)</f>
        <v>7.34</v>
      </c>
      <c r="E36" s="3466">
        <f t="shared" ref="E36:E37" si="0">ROUND(D36*E29,0)</f>
        <v>9982</v>
      </c>
      <c r="F36" s="3466">
        <v>223</v>
      </c>
      <c r="G36" s="3466">
        <v>7230</v>
      </c>
      <c r="H36" s="3457">
        <f>ROUND(H35*D29,2)</f>
        <v>6.16</v>
      </c>
      <c r="I36" s="3457">
        <f t="shared" ref="I36:I37" si="1">ROUND(H36*E29,0)</f>
        <v>8378</v>
      </c>
    </row>
    <row r="37" spans="1:9">
      <c r="A37" s="3467" t="s">
        <v>3416</v>
      </c>
      <c r="B37" s="3466">
        <v>1350</v>
      </c>
      <c r="C37" s="3466">
        <v>6988</v>
      </c>
      <c r="D37" s="3466">
        <f>ROUND(D35*D30,2)</f>
        <v>6.46</v>
      </c>
      <c r="E37" s="3466">
        <f t="shared" si="0"/>
        <v>7687</v>
      </c>
      <c r="F37" s="3466">
        <v>1540</v>
      </c>
      <c r="G37" s="3466">
        <v>6813</v>
      </c>
      <c r="H37" s="3457">
        <f>ROUND(H35*D30,2)</f>
        <v>5.41</v>
      </c>
      <c r="I37" s="3457">
        <f t="shared" si="1"/>
        <v>6438</v>
      </c>
    </row>
    <row r="39" spans="1:9">
      <c r="A39" s="3456" t="s">
        <v>3426</v>
      </c>
      <c r="B39" s="3457">
        <f>B35*(E35-C35)</f>
        <v>854250</v>
      </c>
    </row>
    <row r="40" spans="1:9">
      <c r="A40" s="3457"/>
      <c r="B40" s="3457">
        <f t="shared" ref="B40:B41" si="2">B36*(E36-C36)</f>
        <v>496620</v>
      </c>
    </row>
    <row r="41" spans="1:9">
      <c r="A41" s="3457"/>
      <c r="B41" s="3457">
        <f t="shared" si="2"/>
        <v>943650</v>
      </c>
    </row>
    <row r="42" spans="1:9">
      <c r="A42" s="3456" t="s">
        <v>3428</v>
      </c>
      <c r="B42" s="3457">
        <f>SUM(B39:B41)</f>
        <v>2294520</v>
      </c>
    </row>
    <row r="43" spans="1:9">
      <c r="A43" s="3456" t="s">
        <v>3427</v>
      </c>
      <c r="B43" s="3457">
        <f>F35*(I35-G35)</f>
        <v>137560</v>
      </c>
    </row>
    <row r="44" spans="1:9">
      <c r="A44" s="3457"/>
      <c r="B44" s="3457">
        <f t="shared" ref="B44:B45" si="3">F36*(I36-G36)</f>
        <v>256004</v>
      </c>
    </row>
    <row r="45" spans="1:9">
      <c r="A45" s="3457"/>
      <c r="B45" s="3457">
        <f t="shared" si="3"/>
        <v>-577500</v>
      </c>
    </row>
    <row r="46" spans="1:9">
      <c r="A46" s="3456" t="s">
        <v>3428</v>
      </c>
      <c r="B46" s="3457">
        <f>SUM(B43:B45)</f>
        <v>-183936</v>
      </c>
    </row>
    <row r="47" spans="1:9">
      <c r="A47" s="3456" t="s">
        <v>3429</v>
      </c>
      <c r="B47" s="3457">
        <f>(B42+B46)/2</f>
        <v>1055292</v>
      </c>
    </row>
    <row r="48" spans="1:9">
      <c r="A48" s="3456" t="s">
        <v>3430</v>
      </c>
      <c r="B48" s="3464">
        <v>0.3</v>
      </c>
      <c r="D48" s="3456" t="s">
        <v>3425</v>
      </c>
    </row>
    <row r="49" spans="1:2">
      <c r="A49" s="3456" t="s">
        <v>3431</v>
      </c>
      <c r="B49" s="3457">
        <f>ROUND(B47*(1-B48),0)</f>
        <v>738704</v>
      </c>
    </row>
  </sheetData>
  <phoneticPr fontId="14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6" customWidth="1"/>
    <col min="4" max="4" width="2.625" style="2736" customWidth="1"/>
    <col min="5" max="5" width="5.875" style="2736" customWidth="1"/>
    <col min="6" max="6" width="27" style="1757" customWidth="1"/>
    <col min="7" max="7" width="27" style="2737" customWidth="1"/>
    <col min="8" max="8" width="11.875" style="2717" customWidth="1"/>
    <col min="9" max="9" width="16.625" style="2718" customWidth="1"/>
    <col min="10" max="10" width="2.625" style="2717" customWidth="1"/>
    <col min="11" max="11" width="11.875" style="2717" customWidth="1"/>
    <col min="12" max="12" width="16.625" style="2718" customWidth="1"/>
    <col min="13" max="13" width="2.625" style="2717" customWidth="1"/>
    <col min="14" max="14" width="11.875" style="2717" customWidth="1"/>
    <col min="15" max="15" width="16.625" style="2718" customWidth="1"/>
    <col min="16" max="16" width="2.625" style="2717" customWidth="1"/>
    <col min="17" max="17" width="11.875" style="2717" customWidth="1"/>
    <col min="18" max="18" width="16.625" style="2719" customWidth="1"/>
    <col min="19" max="29" width="9" style="907"/>
    <col min="30" max="16384" width="9" style="1872"/>
  </cols>
  <sheetData>
    <row r="1" spans="1:29" s="2683" customFormat="1" ht="18.75" thickBot="1">
      <c r="A1" s="3777" t="s">
        <v>3033</v>
      </c>
      <c r="B1" s="3778"/>
      <c r="C1" s="3778"/>
      <c r="D1" s="3778"/>
      <c r="E1" s="3778"/>
      <c r="F1" s="3778"/>
      <c r="G1" s="3778"/>
      <c r="H1" s="2678"/>
      <c r="I1" s="2679"/>
      <c r="J1" s="2678"/>
      <c r="K1" s="2678"/>
      <c r="L1" s="2679"/>
      <c r="M1" s="2678"/>
      <c r="N1" s="2678"/>
      <c r="O1" s="2679"/>
      <c r="P1" s="2678"/>
      <c r="Q1" s="2680"/>
      <c r="R1" s="2681"/>
      <c r="S1" s="2682"/>
      <c r="T1" s="2682"/>
      <c r="U1" s="2682"/>
      <c r="V1" s="2682"/>
      <c r="W1" s="2682"/>
      <c r="X1" s="2682"/>
      <c r="Y1" s="2682"/>
      <c r="Z1" s="2682"/>
      <c r="AA1" s="2682"/>
      <c r="AB1" s="2682"/>
      <c r="AC1" s="2682"/>
    </row>
    <row r="2" spans="1:29" ht="15" thickBot="1">
      <c r="A2" s="2684"/>
      <c r="B2" s="2685"/>
      <c r="C2" s="2686" t="s">
        <v>3028</v>
      </c>
      <c r="D2" s="2687"/>
      <c r="E2" s="2684"/>
      <c r="F2" s="2688"/>
      <c r="G2" s="2686" t="s">
        <v>3029</v>
      </c>
      <c r="H2" s="907"/>
      <c r="I2" s="907"/>
      <c r="J2" s="907"/>
      <c r="K2" s="907"/>
      <c r="L2" s="907"/>
      <c r="M2" s="907"/>
      <c r="N2" s="907"/>
      <c r="O2" s="907"/>
      <c r="P2" s="907"/>
      <c r="Q2" s="907"/>
      <c r="R2" s="907"/>
    </row>
    <row r="3" spans="1:29" ht="48">
      <c r="A3" s="2667" t="s">
        <v>3030</v>
      </c>
      <c r="B3" s="2689" t="s">
        <v>2999</v>
      </c>
      <c r="C3" s="2690" t="s">
        <v>3031</v>
      </c>
      <c r="D3" s="2691"/>
      <c r="E3" s="2668" t="s">
        <v>3030</v>
      </c>
      <c r="F3" s="2692" t="s">
        <v>3000</v>
      </c>
      <c r="G3" s="2693" t="s">
        <v>3032</v>
      </c>
      <c r="H3" s="907"/>
      <c r="I3" s="907"/>
      <c r="J3" s="907"/>
      <c r="K3" s="907"/>
      <c r="L3" s="907"/>
      <c r="M3" s="907"/>
      <c r="N3" s="907"/>
      <c r="O3" s="907"/>
      <c r="P3" s="907"/>
      <c r="Q3" s="907"/>
      <c r="R3" s="907"/>
    </row>
    <row r="4" spans="1:29" ht="36.75">
      <c r="A4" s="2668"/>
      <c r="B4" s="329" t="s">
        <v>3001</v>
      </c>
      <c r="C4" s="2694" t="s">
        <v>3002</v>
      </c>
      <c r="D4" s="2691"/>
      <c r="E4" s="2695"/>
      <c r="F4" s="1557" t="s">
        <v>3003</v>
      </c>
      <c r="G4" s="2696" t="s">
        <v>3004</v>
      </c>
      <c r="H4" s="907"/>
      <c r="I4" s="907"/>
      <c r="J4" s="907"/>
      <c r="K4" s="907"/>
      <c r="L4" s="907"/>
      <c r="M4" s="907"/>
      <c r="N4" s="907"/>
      <c r="O4" s="907"/>
      <c r="P4" s="907"/>
      <c r="Q4" s="907"/>
      <c r="R4" s="907"/>
    </row>
    <row r="5" spans="1:29" ht="36.75">
      <c r="A5" s="2668"/>
      <c r="B5" s="329" t="s">
        <v>3005</v>
      </c>
      <c r="C5" s="2694" t="s">
        <v>3006</v>
      </c>
      <c r="D5" s="2691"/>
      <c r="E5" s="2695"/>
      <c r="F5" s="329" t="s">
        <v>3007</v>
      </c>
      <c r="G5" s="2696" t="s">
        <v>3008</v>
      </c>
      <c r="H5" s="907"/>
      <c r="I5" s="907"/>
      <c r="J5" s="907"/>
      <c r="K5" s="907"/>
      <c r="L5" s="907"/>
      <c r="M5" s="907"/>
      <c r="N5" s="907"/>
      <c r="O5" s="907"/>
      <c r="P5" s="907"/>
      <c r="Q5" s="907"/>
      <c r="R5" s="907"/>
    </row>
    <row r="6" spans="1:29" ht="36">
      <c r="A6" s="2668"/>
      <c r="B6" s="329" t="s">
        <v>3009</v>
      </c>
      <c r="C6" s="2696" t="s">
        <v>3004</v>
      </c>
      <c r="D6" s="2691"/>
      <c r="E6" s="2695"/>
      <c r="F6" s="329" t="s">
        <v>3010</v>
      </c>
      <c r="G6" s="2696" t="s">
        <v>3011</v>
      </c>
      <c r="H6" s="907"/>
      <c r="I6" s="907"/>
      <c r="J6" s="907"/>
      <c r="K6" s="907"/>
      <c r="L6" s="907"/>
      <c r="M6" s="907"/>
      <c r="N6" s="907"/>
      <c r="O6" s="907"/>
      <c r="P6" s="907"/>
      <c r="Q6" s="907"/>
      <c r="R6" s="907"/>
    </row>
    <row r="7" spans="1:29" ht="24.75" thickBot="1">
      <c r="A7" s="2668"/>
      <c r="B7" s="329" t="s">
        <v>3007</v>
      </c>
      <c r="C7" s="2696" t="s">
        <v>3008</v>
      </c>
      <c r="D7" s="2697"/>
      <c r="E7" s="2698"/>
      <c r="F7" s="2699" t="s">
        <v>3012</v>
      </c>
      <c r="G7" s="2700" t="s">
        <v>3013</v>
      </c>
      <c r="H7" s="907"/>
      <c r="I7" s="907"/>
      <c r="J7" s="907"/>
      <c r="K7" s="907"/>
      <c r="L7" s="907"/>
      <c r="M7" s="907"/>
      <c r="N7" s="907"/>
      <c r="O7" s="907"/>
      <c r="P7" s="907"/>
      <c r="Q7" s="907"/>
      <c r="R7" s="907"/>
    </row>
    <row r="8" spans="1:29">
      <c r="A8" s="2668"/>
      <c r="B8" s="329" t="s">
        <v>3010</v>
      </c>
      <c r="C8" s="2696" t="s">
        <v>3011</v>
      </c>
      <c r="D8" s="2697"/>
      <c r="E8" s="2697"/>
      <c r="F8" s="2701"/>
      <c r="G8" s="2701"/>
      <c r="H8" s="907"/>
      <c r="I8" s="907"/>
      <c r="J8" s="907"/>
      <c r="K8" s="907"/>
      <c r="L8" s="907"/>
      <c r="M8" s="907"/>
      <c r="N8" s="907"/>
      <c r="O8" s="907"/>
      <c r="P8" s="907"/>
      <c r="Q8" s="907"/>
      <c r="R8" s="907"/>
    </row>
    <row r="9" spans="1:29" ht="24">
      <c r="A9" s="2668"/>
      <c r="B9" s="329" t="s">
        <v>3014</v>
      </c>
      <c r="C9" s="2694" t="s">
        <v>3015</v>
      </c>
      <c r="D9" s="2691"/>
      <c r="E9" s="2697"/>
      <c r="F9" s="2701"/>
      <c r="G9" s="2701"/>
      <c r="H9" s="907"/>
      <c r="I9" s="907"/>
      <c r="J9" s="907"/>
      <c r="K9" s="907"/>
      <c r="L9" s="907"/>
      <c r="M9" s="907"/>
      <c r="N9" s="907"/>
      <c r="O9" s="907"/>
      <c r="P9" s="907"/>
      <c r="Q9" s="907"/>
      <c r="R9" s="907"/>
    </row>
    <row r="10" spans="1:29" s="2707" customFormat="1" ht="15" thickBot="1">
      <c r="A10" s="2669"/>
      <c r="B10" s="2702" t="s">
        <v>3016</v>
      </c>
      <c r="C10" s="2703"/>
      <c r="D10" s="2691"/>
      <c r="E10" s="2691"/>
      <c r="F10" s="2701"/>
      <c r="G10" s="2701"/>
      <c r="H10" s="2704"/>
      <c r="I10" s="2705"/>
      <c r="J10" s="2706"/>
      <c r="K10" s="2704"/>
      <c r="L10" s="2705"/>
      <c r="M10" s="2706"/>
      <c r="N10" s="2704"/>
      <c r="O10" s="2705"/>
      <c r="P10" s="2706"/>
      <c r="Q10" s="2704"/>
      <c r="R10" s="2705"/>
      <c r="S10" s="907"/>
      <c r="T10" s="907"/>
      <c r="U10" s="907"/>
      <c r="V10" s="907"/>
      <c r="W10" s="907"/>
      <c r="X10" s="907"/>
      <c r="Y10" s="907"/>
      <c r="Z10" s="907"/>
      <c r="AA10" s="907"/>
      <c r="AB10" s="907"/>
      <c r="AC10" s="907"/>
    </row>
    <row r="11" spans="1:29" s="2707" customFormat="1">
      <c r="A11" s="2708"/>
      <c r="B11" s="2697"/>
      <c r="C11" s="2691"/>
      <c r="D11" s="2691"/>
      <c r="E11" s="2691"/>
      <c r="F11" s="2697"/>
      <c r="G11" s="2709"/>
      <c r="H11" s="2704"/>
      <c r="I11" s="2705"/>
      <c r="J11" s="2706"/>
      <c r="K11" s="2704"/>
      <c r="L11" s="2705"/>
      <c r="M11" s="2706"/>
      <c r="N11" s="2704"/>
      <c r="O11" s="2705"/>
      <c r="P11" s="2706"/>
      <c r="Q11" s="2704"/>
      <c r="R11" s="2705"/>
      <c r="S11" s="907"/>
      <c r="T11" s="907"/>
      <c r="U11" s="907"/>
      <c r="V11" s="907"/>
      <c r="W11" s="907"/>
      <c r="X11" s="907"/>
      <c r="Y11" s="907"/>
      <c r="Z11" s="907"/>
      <c r="AA11" s="907"/>
      <c r="AB11" s="907"/>
      <c r="AC11" s="907"/>
    </row>
    <row r="12" spans="1:29" s="2683" customFormat="1" ht="18">
      <c r="A12" s="2708"/>
      <c r="B12" s="2697"/>
      <c r="C12" s="2691"/>
      <c r="D12" s="2710"/>
      <c r="E12" s="2691"/>
      <c r="F12" s="2697"/>
      <c r="G12" s="2709"/>
      <c r="H12" s="2711"/>
      <c r="I12" s="2712"/>
      <c r="J12" s="2711"/>
      <c r="K12" s="2711"/>
      <c r="L12" s="2713"/>
      <c r="M12" s="2711"/>
      <c r="N12" s="2714"/>
      <c r="O12" s="2715"/>
      <c r="P12" s="2714"/>
      <c r="Q12" s="2714"/>
      <c r="R12" s="2681"/>
      <c r="S12" s="2682"/>
      <c r="T12" s="2682"/>
      <c r="U12" s="2682"/>
      <c r="V12" s="2682"/>
      <c r="W12" s="2682"/>
      <c r="X12" s="2682"/>
      <c r="Y12" s="2682"/>
      <c r="Z12" s="2682"/>
      <c r="AA12" s="2682"/>
      <c r="AB12" s="2682"/>
      <c r="AC12" s="2682"/>
    </row>
    <row r="13" spans="1:29" ht="15.75" thickBot="1">
      <c r="A13" s="2716" t="s">
        <v>3034</v>
      </c>
      <c r="B13" s="2710"/>
      <c r="C13" s="2710"/>
      <c r="D13" s="2708"/>
      <c r="E13" s="2710"/>
      <c r="F13" s="2710"/>
      <c r="G13" s="2710"/>
    </row>
    <row r="14" spans="1:29" ht="15" thickBot="1">
      <c r="A14" s="2720"/>
      <c r="B14" s="2720"/>
      <c r="C14" s="2721" t="s">
        <v>3017</v>
      </c>
      <c r="D14" s="2691"/>
      <c r="E14" s="2722"/>
      <c r="F14" s="2722"/>
      <c r="G14" s="2686" t="s">
        <v>3018</v>
      </c>
    </row>
    <row r="15" spans="1:29" ht="51">
      <c r="A15" s="2670" t="s">
        <v>3019</v>
      </c>
      <c r="B15" s="2723" t="s">
        <v>2999</v>
      </c>
      <c r="C15" s="2724" t="str">
        <f>C3</f>
        <v>估价对象周边居住用地比例、居住小区规模和社区发展完善程度，综合评价居住社区成熟度一般</v>
      </c>
      <c r="D15" s="2691"/>
      <c r="E15" s="2671" t="s">
        <v>3020</v>
      </c>
      <c r="F15" s="2723" t="s">
        <v>3021</v>
      </c>
      <c r="G15" s="2725" t="str">
        <f>G3</f>
        <v>估价对象位于XX开发区，园区建设成熟度XX，产业集聚程度XX</v>
      </c>
    </row>
    <row r="16" spans="1:29" ht="38.25">
      <c r="A16" s="2672"/>
      <c r="B16" s="2726" t="s">
        <v>3001</v>
      </c>
      <c r="C16" s="2727" t="str">
        <f>C4</f>
        <v>估价对象位于XX商圈，周边商业氛围成熟，人流量大，商业繁华度好</v>
      </c>
      <c r="D16" s="2691"/>
      <c r="E16" s="2673"/>
      <c r="F16" s="2728" t="s">
        <v>3003</v>
      </c>
      <c r="G16" s="2729" t="str">
        <f>G4</f>
        <v>估价对象周边道路状况、公共交通通达情况、停车便捷程度，综合评价交通便捷度较好</v>
      </c>
    </row>
    <row r="17" spans="1:18" ht="38.25">
      <c r="A17" s="2672"/>
      <c r="B17" s="2726" t="s">
        <v>3005</v>
      </c>
      <c r="C17" s="2727" t="str">
        <f>C5</f>
        <v>估价对象位于XX商圈，周边办公楼项目较多，入驻率高，办公集聚程度较好</v>
      </c>
      <c r="D17" s="2697"/>
      <c r="E17" s="2673"/>
      <c r="F17" s="2728" t="s">
        <v>3022</v>
      </c>
      <c r="G17" s="2730"/>
    </row>
    <row r="18" spans="1:18" ht="38.25">
      <c r="A18" s="2672"/>
      <c r="B18" s="2728" t="s">
        <v>3009</v>
      </c>
      <c r="C18" s="2729" t="str">
        <f>C6</f>
        <v>估价对象周边道路状况、公共交通通达情况、停车便捷程度，综合评价交通便捷度较好</v>
      </c>
      <c r="D18" s="2697"/>
      <c r="E18" s="2673"/>
      <c r="F18" s="2728" t="s">
        <v>3012</v>
      </c>
      <c r="G18" s="2729" t="str">
        <f>G7</f>
        <v>该园区内是否有污染型企业，绿化情况，卫生条件，整体环境状况判断</v>
      </c>
    </row>
    <row r="19" spans="1:18" ht="25.5">
      <c r="A19" s="2672"/>
      <c r="B19" s="2728" t="s">
        <v>3023</v>
      </c>
      <c r="C19" s="2730"/>
      <c r="D19" s="2691"/>
      <c r="E19" s="2673"/>
      <c r="F19" s="329" t="s">
        <v>3007</v>
      </c>
      <c r="G19" s="2729" t="str">
        <f>G5</f>
        <v>估价对象所在区域公共配套设施齐备情况</v>
      </c>
    </row>
    <row r="20" spans="1:18" ht="25.5">
      <c r="A20" s="2672"/>
      <c r="B20" s="2728" t="s">
        <v>3024</v>
      </c>
      <c r="C20" s="2727" t="str">
        <f>C9</f>
        <v>区域自然环境：；人文环境；综合评价环境状况一般</v>
      </c>
      <c r="D20" s="2697"/>
      <c r="E20" s="2673"/>
      <c r="F20" s="329" t="s">
        <v>3010</v>
      </c>
      <c r="G20" s="2729" t="str">
        <f>G6</f>
        <v>估价对象所在区域基础设施水平</v>
      </c>
    </row>
    <row r="21" spans="1:18" ht="25.5">
      <c r="A21" s="2672"/>
      <c r="B21" s="329" t="s">
        <v>3007</v>
      </c>
      <c r="C21" s="2729" t="str">
        <f>C7</f>
        <v>估价对象所在区域公共配套设施齐备情况</v>
      </c>
      <c r="D21" s="2691"/>
      <c r="E21" s="2673"/>
      <c r="F21" s="2728" t="s">
        <v>3025</v>
      </c>
      <c r="G21" s="2731"/>
    </row>
    <row r="22" spans="1:18" ht="13.5" customHeight="1">
      <c r="A22" s="2672"/>
      <c r="B22" s="329" t="s">
        <v>3010</v>
      </c>
      <c r="C22" s="2729" t="str">
        <f>C8</f>
        <v>估价对象所在区域基础设施水平</v>
      </c>
      <c r="D22" s="2691"/>
      <c r="E22" s="2673"/>
      <c r="F22" s="2728" t="s">
        <v>3016</v>
      </c>
      <c r="G22" s="2730"/>
    </row>
    <row r="23" spans="1:18" s="907" customFormat="1" ht="15" thickBot="1">
      <c r="A23" s="2672"/>
      <c r="B23" s="2728" t="s">
        <v>3025</v>
      </c>
      <c r="C23" s="2731"/>
      <c r="D23" s="1927"/>
      <c r="E23" s="2674"/>
      <c r="F23" s="2732" t="s">
        <v>3026</v>
      </c>
      <c r="G23" s="2733"/>
      <c r="H23" s="2717"/>
      <c r="I23" s="2718"/>
      <c r="J23" s="2717"/>
      <c r="K23" s="2717"/>
      <c r="L23" s="2718"/>
      <c r="M23" s="2717"/>
      <c r="N23" s="2717"/>
      <c r="O23" s="2718"/>
      <c r="P23" s="2717"/>
      <c r="Q23" s="2717"/>
      <c r="R23" s="2719"/>
    </row>
    <row r="24" spans="1:18" s="907" customFormat="1" ht="15" thickBot="1">
      <c r="A24" s="2675"/>
      <c r="B24" s="2732" t="s">
        <v>3027</v>
      </c>
      <c r="C24" s="2734">
        <f>C10</f>
        <v>0</v>
      </c>
      <c r="D24" s="1927"/>
      <c r="E24" s="2665"/>
      <c r="F24" s="2665"/>
      <c r="G24" s="2735"/>
      <c r="H24" s="2717"/>
      <c r="I24" s="2718"/>
      <c r="J24" s="2717"/>
      <c r="K24" s="2717"/>
      <c r="L24" s="2718"/>
      <c r="M24" s="2717"/>
      <c r="N24" s="2717"/>
      <c r="O24" s="2718"/>
      <c r="P24" s="2717"/>
      <c r="Q24" s="2717"/>
      <c r="R24" s="2719"/>
    </row>
    <row r="25" spans="1:18" s="907" customFormat="1">
      <c r="B25" s="2717"/>
      <c r="C25" s="2717"/>
      <c r="D25" s="2717"/>
      <c r="H25" s="2717"/>
      <c r="I25" s="2718"/>
      <c r="J25" s="2717"/>
      <c r="K25" s="2717"/>
      <c r="L25" s="2718"/>
      <c r="M25" s="2717"/>
      <c r="N25" s="2717"/>
      <c r="O25" s="2718"/>
      <c r="P25" s="2717"/>
      <c r="Q25" s="2717"/>
      <c r="R25" s="2719"/>
    </row>
    <row r="26" spans="1:18" s="907" customFormat="1">
      <c r="B26" s="2717"/>
      <c r="C26" s="2717"/>
      <c r="D26" s="2717"/>
      <c r="H26" s="2717"/>
      <c r="I26" s="2718"/>
      <c r="J26" s="2717"/>
      <c r="K26" s="2717"/>
      <c r="L26" s="2718"/>
      <c r="M26" s="2717"/>
      <c r="N26" s="2717"/>
      <c r="O26" s="2718"/>
      <c r="P26" s="2717"/>
      <c r="Q26" s="2717"/>
      <c r="R26" s="2719"/>
    </row>
    <row r="27" spans="1:18" s="907" customFormat="1">
      <c r="B27" s="2717"/>
      <c r="C27" s="2717"/>
      <c r="D27" s="2717"/>
      <c r="H27" s="2717"/>
      <c r="I27" s="2718"/>
      <c r="J27" s="2717"/>
      <c r="K27" s="2717"/>
      <c r="L27" s="2718"/>
      <c r="M27" s="2717"/>
      <c r="N27" s="2717"/>
      <c r="O27" s="2718"/>
      <c r="P27" s="2717"/>
      <c r="Q27" s="2717"/>
      <c r="R27" s="2719"/>
    </row>
    <row r="28" spans="1:18" s="907" customFormat="1">
      <c r="B28" s="2717"/>
      <c r="C28" s="2717"/>
      <c r="D28" s="2717"/>
      <c r="H28" s="2717"/>
      <c r="I28" s="2718"/>
      <c r="J28" s="2717"/>
      <c r="K28" s="2717"/>
      <c r="L28" s="2718"/>
      <c r="M28" s="2717"/>
      <c r="N28" s="2717"/>
      <c r="O28" s="2718"/>
      <c r="P28" s="2717"/>
      <c r="Q28" s="2717"/>
      <c r="R28" s="2719"/>
    </row>
    <row r="29" spans="1:18" s="907" customFormat="1">
      <c r="B29" s="2717"/>
      <c r="C29" s="2717"/>
      <c r="D29" s="2717"/>
      <c r="H29" s="2717"/>
      <c r="I29" s="2718"/>
      <c r="J29" s="2717"/>
      <c r="K29" s="2717"/>
      <c r="L29" s="2718"/>
      <c r="M29" s="2717"/>
      <c r="N29" s="2717"/>
      <c r="O29" s="2718"/>
      <c r="P29" s="2717"/>
      <c r="Q29" s="2717"/>
      <c r="R29" s="2719"/>
    </row>
    <row r="30" spans="1:18" s="907" customFormat="1">
      <c r="B30" s="2717"/>
      <c r="C30" s="2717"/>
      <c r="D30" s="2717"/>
      <c r="H30" s="2717"/>
      <c r="I30" s="2718"/>
      <c r="J30" s="2717"/>
      <c r="K30" s="2717"/>
      <c r="L30" s="2718"/>
      <c r="M30" s="2717"/>
      <c r="N30" s="2717"/>
      <c r="O30" s="2718"/>
      <c r="P30" s="2717"/>
      <c r="Q30" s="2717"/>
      <c r="R30" s="2719"/>
    </row>
    <row r="31" spans="1:18" s="907" customFormat="1">
      <c r="B31" s="2717"/>
      <c r="C31" s="2717"/>
      <c r="D31" s="2717"/>
      <c r="H31" s="2717"/>
      <c r="I31" s="2718"/>
      <c r="J31" s="2717"/>
      <c r="K31" s="2717"/>
      <c r="L31" s="2718"/>
      <c r="M31" s="2717"/>
      <c r="N31" s="2717"/>
      <c r="O31" s="2718"/>
      <c r="P31" s="2717"/>
      <c r="Q31" s="2717"/>
      <c r="R31" s="2719"/>
    </row>
    <row r="32" spans="1:18" s="907" customFormat="1">
      <c r="B32" s="2717"/>
      <c r="C32" s="2717"/>
      <c r="D32" s="2717"/>
      <c r="H32" s="2717"/>
      <c r="I32" s="2718"/>
      <c r="J32" s="2717"/>
      <c r="K32" s="2717"/>
      <c r="L32" s="2718"/>
      <c r="M32" s="2717"/>
      <c r="N32" s="2717"/>
      <c r="O32" s="2718"/>
      <c r="P32" s="2717"/>
      <c r="Q32" s="2717"/>
      <c r="R32" s="2719"/>
    </row>
    <row r="33" spans="2:18" s="907" customFormat="1">
      <c r="B33" s="2717"/>
      <c r="C33" s="2717"/>
      <c r="D33" s="2717"/>
      <c r="H33" s="2717"/>
      <c r="I33" s="2718"/>
      <c r="J33" s="2717"/>
      <c r="K33" s="2717"/>
      <c r="L33" s="2718"/>
      <c r="M33" s="2717"/>
      <c r="N33" s="2717"/>
      <c r="O33" s="2718"/>
      <c r="P33" s="2717"/>
      <c r="Q33" s="2717"/>
      <c r="R33" s="2719"/>
    </row>
    <row r="34" spans="2:18" s="907" customFormat="1">
      <c r="B34" s="2717"/>
      <c r="C34" s="2717"/>
      <c r="D34" s="2717"/>
      <c r="H34" s="2717"/>
      <c r="I34" s="2718"/>
      <c r="J34" s="2717"/>
      <c r="K34" s="2717"/>
      <c r="L34" s="2718"/>
      <c r="M34" s="2717"/>
      <c r="N34" s="2717"/>
      <c r="O34" s="2718"/>
      <c r="P34" s="2717"/>
      <c r="Q34" s="2717"/>
      <c r="R34" s="2719"/>
    </row>
    <row r="35" spans="2:18" s="907" customFormat="1">
      <c r="B35" s="2717"/>
      <c r="C35" s="2717"/>
      <c r="D35" s="2717"/>
      <c r="H35" s="2717"/>
      <c r="I35" s="2718"/>
      <c r="J35" s="2717"/>
      <c r="K35" s="2717"/>
      <c r="L35" s="2718"/>
      <c r="M35" s="2717"/>
      <c r="N35" s="2717"/>
      <c r="O35" s="2718"/>
      <c r="P35" s="2717"/>
      <c r="Q35" s="2717"/>
      <c r="R35" s="2719"/>
    </row>
    <row r="36" spans="2:18" s="907" customFormat="1">
      <c r="B36" s="2717"/>
      <c r="C36" s="2717"/>
      <c r="D36" s="2717"/>
      <c r="H36" s="2717"/>
      <c r="I36" s="2718"/>
      <c r="J36" s="2717"/>
      <c r="K36" s="2717"/>
      <c r="L36" s="2718"/>
      <c r="M36" s="2717"/>
      <c r="N36" s="2717"/>
      <c r="O36" s="2718"/>
      <c r="P36" s="2717"/>
      <c r="Q36" s="2717"/>
      <c r="R36" s="2719"/>
    </row>
    <row r="37" spans="2:18" s="907" customFormat="1">
      <c r="B37" s="2717"/>
      <c r="C37" s="2717"/>
      <c r="D37" s="2717"/>
      <c r="H37" s="2717"/>
      <c r="I37" s="2718"/>
      <c r="J37" s="2717"/>
      <c r="K37" s="2717"/>
      <c r="L37" s="2718"/>
      <c r="M37" s="2717"/>
      <c r="N37" s="2717"/>
      <c r="O37" s="2718"/>
      <c r="P37" s="2717"/>
      <c r="Q37" s="2717"/>
      <c r="R37" s="2719"/>
    </row>
    <row r="38" spans="2:18" s="907" customFormat="1">
      <c r="B38" s="2717"/>
      <c r="C38" s="2717"/>
      <c r="D38" s="2717"/>
      <c r="E38" s="2717"/>
      <c r="F38" s="2717"/>
      <c r="G38" s="2718"/>
      <c r="H38" s="2717"/>
      <c r="I38" s="2718"/>
      <c r="J38" s="2717"/>
      <c r="K38" s="2717"/>
      <c r="L38" s="2718"/>
      <c r="M38" s="2717"/>
      <c r="N38" s="2717"/>
      <c r="O38" s="2718"/>
      <c r="P38" s="2717"/>
      <c r="Q38" s="2717"/>
      <c r="R38" s="2719"/>
    </row>
    <row r="39" spans="2:18" s="907" customFormat="1">
      <c r="B39" s="2717"/>
      <c r="C39" s="2717"/>
      <c r="D39" s="2717"/>
      <c r="E39" s="2717"/>
      <c r="F39" s="2717"/>
      <c r="G39" s="2718"/>
      <c r="H39" s="2717"/>
      <c r="I39" s="2718"/>
      <c r="J39" s="2717"/>
      <c r="K39" s="2717"/>
      <c r="L39" s="2718"/>
      <c r="M39" s="2717"/>
      <c r="N39" s="2717"/>
      <c r="O39" s="2718"/>
      <c r="P39" s="2717"/>
      <c r="Q39" s="2717"/>
      <c r="R39" s="2719"/>
    </row>
    <row r="40" spans="2:18" s="907" customFormat="1">
      <c r="B40" s="2717"/>
      <c r="C40" s="2717"/>
      <c r="D40" s="2717"/>
      <c r="E40" s="2717"/>
      <c r="F40" s="2717"/>
      <c r="G40" s="2718"/>
      <c r="H40" s="2717"/>
      <c r="I40" s="2718"/>
      <c r="J40" s="2717"/>
      <c r="K40" s="2717"/>
      <c r="L40" s="2718"/>
      <c r="M40" s="2717"/>
      <c r="N40" s="2717"/>
      <c r="O40" s="2718"/>
      <c r="P40" s="2717"/>
      <c r="Q40" s="2717"/>
      <c r="R40" s="2719"/>
    </row>
    <row r="41" spans="2:18" s="907" customFormat="1">
      <c r="B41" s="2717"/>
      <c r="C41" s="2717"/>
      <c r="D41" s="2717"/>
      <c r="E41" s="2717"/>
      <c r="F41" s="2717"/>
      <c r="G41" s="2718"/>
      <c r="H41" s="2717"/>
      <c r="I41" s="2718"/>
      <c r="J41" s="2717"/>
      <c r="K41" s="2717"/>
      <c r="L41" s="2718"/>
      <c r="M41" s="2717"/>
      <c r="N41" s="2717"/>
      <c r="O41" s="2718"/>
      <c r="P41" s="2717"/>
      <c r="Q41" s="2717"/>
      <c r="R41" s="2719"/>
    </row>
    <row r="42" spans="2:18" s="907" customFormat="1">
      <c r="B42" s="2717"/>
      <c r="C42" s="2717"/>
      <c r="D42" s="2717"/>
      <c r="E42" s="2717"/>
      <c r="F42" s="2717"/>
      <c r="G42" s="2718"/>
      <c r="H42" s="2717"/>
      <c r="I42" s="2718"/>
      <c r="J42" s="2717"/>
      <c r="K42" s="2717"/>
      <c r="L42" s="2718"/>
      <c r="M42" s="2717"/>
      <c r="N42" s="2717"/>
      <c r="O42" s="2718"/>
      <c r="P42" s="2717"/>
      <c r="Q42" s="2717"/>
      <c r="R42" s="2719"/>
    </row>
    <row r="43" spans="2:18" s="907" customFormat="1">
      <c r="B43" s="2717"/>
      <c r="C43" s="2717"/>
      <c r="D43" s="2717"/>
      <c r="E43" s="2717"/>
      <c r="F43" s="2717"/>
      <c r="G43" s="2718"/>
      <c r="H43" s="2717"/>
      <c r="I43" s="2718"/>
      <c r="J43" s="2717"/>
      <c r="K43" s="2717"/>
      <c r="L43" s="2718"/>
      <c r="M43" s="2717"/>
      <c r="N43" s="2717"/>
      <c r="O43" s="2718"/>
      <c r="P43" s="2717"/>
      <c r="Q43" s="2717"/>
      <c r="R43" s="2719"/>
    </row>
    <row r="44" spans="2:18" s="907" customFormat="1">
      <c r="B44" s="2717"/>
      <c r="C44" s="2717"/>
      <c r="D44" s="2717"/>
      <c r="E44" s="2717"/>
      <c r="F44" s="2717"/>
      <c r="G44" s="2718"/>
      <c r="H44" s="2717"/>
      <c r="I44" s="2718"/>
      <c r="J44" s="2717"/>
      <c r="K44" s="2717"/>
      <c r="L44" s="2718"/>
      <c r="M44" s="2717"/>
      <c r="N44" s="2717"/>
      <c r="O44" s="2718"/>
      <c r="P44" s="2717"/>
      <c r="Q44" s="2717"/>
      <c r="R44" s="2719"/>
    </row>
    <row r="45" spans="2:18" s="907" customFormat="1">
      <c r="B45" s="2717"/>
      <c r="C45" s="2717"/>
      <c r="D45" s="2717"/>
      <c r="E45" s="2717"/>
      <c r="F45" s="2717"/>
      <c r="G45" s="2718"/>
      <c r="H45" s="2717"/>
      <c r="I45" s="2718"/>
      <c r="J45" s="2717"/>
      <c r="K45" s="2717"/>
      <c r="L45" s="2718"/>
      <c r="M45" s="2717"/>
      <c r="N45" s="2717"/>
      <c r="O45" s="2718"/>
      <c r="P45" s="2717"/>
      <c r="Q45" s="2717"/>
      <c r="R45" s="2719"/>
    </row>
    <row r="46" spans="2:18" s="907" customFormat="1">
      <c r="B46" s="2717"/>
      <c r="C46" s="2717"/>
      <c r="D46" s="2717"/>
      <c r="E46" s="2717"/>
      <c r="F46" s="2717"/>
      <c r="G46" s="2718"/>
      <c r="H46" s="2717"/>
      <c r="I46" s="2718"/>
      <c r="J46" s="2717"/>
      <c r="K46" s="2717"/>
      <c r="L46" s="2718"/>
      <c r="M46" s="2717"/>
      <c r="N46" s="2717"/>
      <c r="O46" s="2718"/>
      <c r="P46" s="2717"/>
      <c r="Q46" s="2717"/>
      <c r="R46" s="2719"/>
    </row>
    <row r="47" spans="2:18" s="907" customFormat="1">
      <c r="B47" s="2717"/>
      <c r="C47" s="2717"/>
      <c r="D47" s="2717"/>
      <c r="E47" s="2717"/>
      <c r="F47" s="2717"/>
      <c r="G47" s="2718"/>
      <c r="H47" s="2717"/>
      <c r="I47" s="2718"/>
      <c r="J47" s="2717"/>
      <c r="K47" s="2717"/>
      <c r="L47" s="2718"/>
      <c r="M47" s="2717"/>
      <c r="N47" s="2717"/>
      <c r="O47" s="2718"/>
      <c r="P47" s="2717"/>
      <c r="Q47" s="2717"/>
      <c r="R47" s="2719"/>
    </row>
    <row r="48" spans="2:18" s="907" customFormat="1">
      <c r="B48" s="2717"/>
      <c r="C48" s="2717"/>
      <c r="D48" s="2717"/>
      <c r="E48" s="2717"/>
      <c r="F48" s="2717"/>
      <c r="G48" s="2718"/>
      <c r="H48" s="2717"/>
      <c r="I48" s="2718"/>
      <c r="J48" s="2717"/>
      <c r="K48" s="2717"/>
      <c r="L48" s="2718"/>
      <c r="M48" s="2717"/>
      <c r="N48" s="2717"/>
      <c r="O48" s="2718"/>
      <c r="P48" s="2717"/>
      <c r="Q48" s="2717"/>
      <c r="R48" s="2719"/>
    </row>
    <row r="49" spans="2:18" s="907" customFormat="1">
      <c r="B49" s="2717"/>
      <c r="C49" s="2717"/>
      <c r="D49" s="2717"/>
      <c r="E49" s="2717"/>
      <c r="F49" s="2717"/>
      <c r="G49" s="2718"/>
      <c r="H49" s="2717"/>
      <c r="I49" s="2718"/>
      <c r="J49" s="2717"/>
      <c r="K49" s="2717"/>
      <c r="L49" s="2718"/>
      <c r="M49" s="2717"/>
      <c r="N49" s="2717"/>
      <c r="O49" s="2718"/>
      <c r="P49" s="2717"/>
      <c r="Q49" s="2717"/>
      <c r="R49" s="2719"/>
    </row>
    <row r="50" spans="2:18" s="907" customFormat="1">
      <c r="B50" s="2717"/>
      <c r="C50" s="2717"/>
      <c r="D50" s="2717"/>
      <c r="E50" s="2717"/>
      <c r="F50" s="2717"/>
      <c r="G50" s="2718"/>
      <c r="H50" s="2717"/>
      <c r="I50" s="2718"/>
      <c r="J50" s="2717"/>
      <c r="K50" s="2717"/>
      <c r="L50" s="2718"/>
      <c r="M50" s="2717"/>
      <c r="N50" s="2717"/>
      <c r="O50" s="2718"/>
      <c r="P50" s="2717"/>
      <c r="Q50" s="2717"/>
      <c r="R50" s="2719"/>
    </row>
    <row r="51" spans="2:18" s="907" customFormat="1">
      <c r="B51" s="2717"/>
      <c r="C51" s="2717"/>
      <c r="D51" s="2717"/>
      <c r="E51" s="2717"/>
      <c r="F51" s="2717"/>
      <c r="G51" s="2718"/>
      <c r="H51" s="2717"/>
      <c r="I51" s="2718"/>
      <c r="J51" s="2717"/>
      <c r="K51" s="2717"/>
      <c r="L51" s="2718"/>
      <c r="M51" s="2717"/>
      <c r="N51" s="2717"/>
      <c r="O51" s="2718"/>
      <c r="P51" s="2717"/>
      <c r="Q51" s="2717"/>
      <c r="R51" s="2719"/>
    </row>
    <row r="52" spans="2:18" s="907" customFormat="1">
      <c r="B52" s="2717"/>
      <c r="C52" s="2717"/>
      <c r="D52" s="2717"/>
      <c r="E52" s="2717"/>
      <c r="F52" s="2717"/>
      <c r="G52" s="2718"/>
      <c r="H52" s="2717"/>
      <c r="I52" s="2718"/>
      <c r="J52" s="2717"/>
      <c r="K52" s="2717"/>
      <c r="L52" s="2718"/>
      <c r="M52" s="2717"/>
      <c r="N52" s="2717"/>
      <c r="O52" s="2718"/>
      <c r="P52" s="2717"/>
      <c r="Q52" s="2717"/>
      <c r="R52" s="2719"/>
    </row>
    <row r="53" spans="2:18" s="907" customFormat="1">
      <c r="B53" s="2717"/>
      <c r="C53" s="2717"/>
      <c r="D53" s="2717"/>
      <c r="E53" s="2717"/>
      <c r="F53" s="2717"/>
      <c r="G53" s="2718"/>
      <c r="H53" s="2717"/>
      <c r="I53" s="2718"/>
      <c r="J53" s="2717"/>
      <c r="K53" s="2717"/>
      <c r="L53" s="2718"/>
      <c r="M53" s="2717"/>
      <c r="N53" s="2717"/>
      <c r="O53" s="2718"/>
      <c r="P53" s="2717"/>
      <c r="Q53" s="2717"/>
      <c r="R53" s="2719"/>
    </row>
    <row r="54" spans="2:18" s="907" customFormat="1">
      <c r="B54" s="2717"/>
      <c r="C54" s="2717"/>
      <c r="D54" s="2717"/>
      <c r="E54" s="2717"/>
      <c r="F54" s="2717"/>
      <c r="G54" s="2718"/>
      <c r="H54" s="2717"/>
      <c r="I54" s="2718"/>
      <c r="J54" s="2717"/>
      <c r="K54" s="2717"/>
      <c r="L54" s="2718"/>
      <c r="M54" s="2717"/>
      <c r="N54" s="2717"/>
      <c r="O54" s="2718"/>
      <c r="P54" s="2717"/>
      <c r="Q54" s="2717"/>
      <c r="R54" s="2719"/>
    </row>
    <row r="55" spans="2:18" s="907" customFormat="1">
      <c r="B55" s="2717"/>
      <c r="C55" s="2717"/>
      <c r="D55" s="2717"/>
      <c r="E55" s="2717"/>
      <c r="F55" s="2717"/>
      <c r="G55" s="2718"/>
      <c r="H55" s="2717"/>
      <c r="I55" s="2718"/>
      <c r="J55" s="2717"/>
      <c r="K55" s="2717"/>
      <c r="L55" s="2718"/>
      <c r="M55" s="2717"/>
      <c r="N55" s="2717"/>
      <c r="O55" s="2718"/>
      <c r="P55" s="2717"/>
      <c r="Q55" s="2717"/>
      <c r="R55" s="2719"/>
    </row>
    <row r="56" spans="2:18" s="907" customFormat="1">
      <c r="B56" s="2717"/>
      <c r="C56" s="2717"/>
      <c r="D56" s="2717"/>
      <c r="E56" s="2717"/>
      <c r="F56" s="2717"/>
      <c r="G56" s="2718"/>
      <c r="H56" s="2717"/>
      <c r="I56" s="2718"/>
      <c r="J56" s="2717"/>
      <c r="K56" s="2717"/>
      <c r="L56" s="2718"/>
      <c r="M56" s="2717"/>
      <c r="N56" s="2717"/>
      <c r="O56" s="2718"/>
      <c r="P56" s="2717"/>
      <c r="Q56" s="2717"/>
      <c r="R56" s="2719"/>
    </row>
    <row r="57" spans="2:18" s="907" customFormat="1">
      <c r="B57" s="2717"/>
      <c r="C57" s="2717"/>
      <c r="D57" s="2717"/>
      <c r="E57" s="2717"/>
      <c r="F57" s="2717"/>
      <c r="G57" s="2718"/>
      <c r="H57" s="2717"/>
      <c r="I57" s="2718"/>
      <c r="J57" s="2717"/>
      <c r="K57" s="2717"/>
      <c r="L57" s="2718"/>
      <c r="M57" s="2717"/>
      <c r="N57" s="2717"/>
      <c r="O57" s="2718"/>
      <c r="P57" s="2717"/>
      <c r="Q57" s="2717"/>
      <c r="R57" s="2719"/>
    </row>
    <row r="58" spans="2:18" s="907" customFormat="1">
      <c r="B58" s="2717"/>
      <c r="C58" s="2717"/>
      <c r="D58" s="2717"/>
      <c r="E58" s="2717"/>
      <c r="F58" s="2717"/>
      <c r="G58" s="2718"/>
      <c r="H58" s="2717"/>
      <c r="I58" s="2718"/>
      <c r="J58" s="2717"/>
      <c r="K58" s="2717"/>
      <c r="L58" s="2718"/>
      <c r="M58" s="2717"/>
      <c r="N58" s="2717"/>
      <c r="O58" s="2718"/>
      <c r="P58" s="2717"/>
      <c r="Q58" s="2717"/>
      <c r="R58" s="2719"/>
    </row>
    <row r="59" spans="2:18" s="907" customFormat="1">
      <c r="B59" s="2717"/>
      <c r="C59" s="2717"/>
      <c r="D59" s="2717"/>
      <c r="E59" s="2717"/>
      <c r="F59" s="2717"/>
      <c r="G59" s="2718"/>
      <c r="H59" s="2717"/>
      <c r="I59" s="2718"/>
      <c r="J59" s="2717"/>
      <c r="K59" s="2717"/>
      <c r="L59" s="2718"/>
      <c r="M59" s="2717"/>
      <c r="N59" s="2717"/>
      <c r="O59" s="2718"/>
      <c r="P59" s="2717"/>
      <c r="Q59" s="2717"/>
      <c r="R59" s="2719"/>
    </row>
    <row r="60" spans="2:18" s="907" customFormat="1">
      <c r="B60" s="2717"/>
      <c r="C60" s="2717"/>
      <c r="D60" s="2717"/>
      <c r="E60" s="2717"/>
      <c r="F60" s="2717"/>
      <c r="G60" s="2718"/>
      <c r="H60" s="2717"/>
      <c r="I60" s="2718"/>
      <c r="J60" s="2717"/>
      <c r="K60" s="2717"/>
      <c r="L60" s="2718"/>
      <c r="M60" s="2717"/>
      <c r="N60" s="2717"/>
      <c r="O60" s="2718"/>
      <c r="P60" s="2717"/>
      <c r="Q60" s="2717"/>
      <c r="R60" s="2719"/>
    </row>
    <row r="61" spans="2:18" s="907" customFormat="1">
      <c r="B61" s="2717"/>
      <c r="C61" s="2717"/>
      <c r="D61" s="2717"/>
      <c r="E61" s="2717"/>
      <c r="F61" s="2717"/>
      <c r="G61" s="2718"/>
      <c r="H61" s="2717"/>
      <c r="I61" s="2718"/>
      <c r="J61" s="2717"/>
      <c r="K61" s="2717"/>
      <c r="L61" s="2718"/>
      <c r="M61" s="2717"/>
      <c r="N61" s="2717"/>
      <c r="O61" s="2718"/>
      <c r="P61" s="2717"/>
      <c r="Q61" s="2717"/>
      <c r="R61" s="2719"/>
    </row>
    <row r="62" spans="2:18" s="907" customFormat="1">
      <c r="B62" s="2717"/>
      <c r="C62" s="2717"/>
      <c r="D62" s="2717"/>
      <c r="E62" s="2717"/>
      <c r="F62" s="2717"/>
      <c r="G62" s="2718"/>
      <c r="H62" s="2717"/>
      <c r="I62" s="2718"/>
      <c r="J62" s="2717"/>
      <c r="K62" s="2717"/>
      <c r="L62" s="2718"/>
      <c r="M62" s="2717"/>
      <c r="N62" s="2717"/>
      <c r="O62" s="2718"/>
      <c r="P62" s="2717"/>
      <c r="Q62" s="2717"/>
      <c r="R62" s="2719"/>
    </row>
    <row r="63" spans="2:18" s="907" customFormat="1">
      <c r="B63" s="2717"/>
      <c r="C63" s="2717"/>
      <c r="D63" s="2717"/>
      <c r="E63" s="2717"/>
      <c r="F63" s="2717"/>
      <c r="G63" s="2718"/>
      <c r="H63" s="2717"/>
      <c r="I63" s="2718"/>
      <c r="J63" s="2717"/>
      <c r="K63" s="2717"/>
      <c r="L63" s="2718"/>
      <c r="M63" s="2717"/>
      <c r="N63" s="2717"/>
      <c r="O63" s="2718"/>
      <c r="P63" s="2717"/>
      <c r="Q63" s="2717"/>
      <c r="R63" s="2719"/>
    </row>
    <row r="64" spans="2:18" s="907" customFormat="1">
      <c r="B64" s="2717"/>
      <c r="C64" s="2717"/>
      <c r="D64" s="2717"/>
      <c r="E64" s="2717"/>
      <c r="F64" s="2717"/>
      <c r="G64" s="2718"/>
      <c r="H64" s="2717"/>
      <c r="I64" s="2718"/>
      <c r="J64" s="2717"/>
      <c r="K64" s="2717"/>
      <c r="L64" s="2718"/>
      <c r="M64" s="2717"/>
      <c r="N64" s="2717"/>
      <c r="O64" s="2718"/>
      <c r="P64" s="2717"/>
      <c r="Q64" s="2717"/>
      <c r="R64" s="2719"/>
    </row>
    <row r="65" spans="2:18" s="907" customFormat="1">
      <c r="B65" s="2717"/>
      <c r="C65" s="2717"/>
      <c r="D65" s="2717"/>
      <c r="E65" s="2717"/>
      <c r="F65" s="2717"/>
      <c r="G65" s="2718"/>
      <c r="H65" s="2717"/>
      <c r="I65" s="2718"/>
      <c r="J65" s="2717"/>
      <c r="K65" s="2717"/>
      <c r="L65" s="2718"/>
      <c r="M65" s="2717"/>
      <c r="N65" s="2717"/>
      <c r="O65" s="2718"/>
      <c r="P65" s="2717"/>
      <c r="Q65" s="2717"/>
      <c r="R65" s="2719"/>
    </row>
    <row r="66" spans="2:18" s="907" customFormat="1">
      <c r="B66" s="2717"/>
      <c r="C66" s="2717"/>
      <c r="D66" s="2717"/>
      <c r="E66" s="2717"/>
      <c r="F66" s="2717"/>
      <c r="G66" s="2718"/>
      <c r="H66" s="2717"/>
      <c r="I66" s="2718"/>
      <c r="J66" s="2717"/>
      <c r="K66" s="2717"/>
      <c r="L66" s="2718"/>
      <c r="M66" s="2717"/>
      <c r="N66" s="2717"/>
      <c r="O66" s="2718"/>
      <c r="P66" s="2717"/>
      <c r="Q66" s="2717"/>
      <c r="R66" s="2719"/>
    </row>
    <row r="67" spans="2:18" s="907" customFormat="1">
      <c r="B67" s="2717"/>
      <c r="C67" s="2717"/>
      <c r="D67" s="2717"/>
      <c r="E67" s="2717"/>
      <c r="F67" s="2717"/>
      <c r="G67" s="2718"/>
      <c r="H67" s="2717"/>
      <c r="I67" s="2718"/>
      <c r="J67" s="2717"/>
      <c r="K67" s="2717"/>
      <c r="L67" s="2718"/>
      <c r="M67" s="2717"/>
      <c r="N67" s="2717"/>
      <c r="O67" s="2718"/>
      <c r="P67" s="2717"/>
      <c r="Q67" s="2717"/>
      <c r="R67" s="2719"/>
    </row>
    <row r="68" spans="2:18" s="907" customFormat="1">
      <c r="B68" s="2717"/>
      <c r="C68" s="2717"/>
      <c r="D68" s="2717"/>
      <c r="E68" s="2717"/>
      <c r="F68" s="2717"/>
      <c r="G68" s="2718"/>
      <c r="H68" s="2717"/>
      <c r="I68" s="2718"/>
      <c r="J68" s="2717"/>
      <c r="K68" s="2717"/>
      <c r="L68" s="2718"/>
      <c r="M68" s="2717"/>
      <c r="N68" s="2717"/>
      <c r="O68" s="2718"/>
      <c r="P68" s="2717"/>
      <c r="Q68" s="2717"/>
      <c r="R68" s="2719"/>
    </row>
    <row r="69" spans="2:18" s="907" customFormat="1">
      <c r="B69" s="2717"/>
      <c r="C69" s="2717"/>
      <c r="D69" s="2717"/>
      <c r="E69" s="2717"/>
      <c r="F69" s="2717"/>
      <c r="G69" s="2718"/>
      <c r="H69" s="2717"/>
      <c r="I69" s="2718"/>
      <c r="J69" s="2717"/>
      <c r="K69" s="2717"/>
      <c r="L69" s="2718"/>
      <c r="M69" s="2717"/>
      <c r="N69" s="2717"/>
      <c r="O69" s="2718"/>
      <c r="P69" s="2717"/>
      <c r="Q69" s="2717"/>
      <c r="R69" s="2719"/>
    </row>
    <row r="70" spans="2:18" s="907" customFormat="1">
      <c r="B70" s="2717"/>
      <c r="C70" s="2717"/>
      <c r="D70" s="2717"/>
      <c r="E70" s="2717"/>
      <c r="F70" s="2717"/>
      <c r="G70" s="2718"/>
      <c r="H70" s="2717"/>
      <c r="I70" s="2718"/>
      <c r="J70" s="2717"/>
      <c r="K70" s="2717"/>
      <c r="L70" s="2718"/>
      <c r="M70" s="2717"/>
      <c r="N70" s="2717"/>
      <c r="O70" s="2718"/>
      <c r="P70" s="2717"/>
      <c r="Q70" s="2717"/>
      <c r="R70" s="2719"/>
    </row>
    <row r="71" spans="2:18" s="907" customFormat="1">
      <c r="B71" s="2717"/>
      <c r="C71" s="2717"/>
      <c r="D71" s="2717"/>
      <c r="E71" s="2717"/>
      <c r="F71" s="2717"/>
      <c r="G71" s="2718"/>
      <c r="H71" s="2717"/>
      <c r="I71" s="2718"/>
      <c r="J71" s="2717"/>
      <c r="K71" s="2717"/>
      <c r="L71" s="2718"/>
      <c r="M71" s="2717"/>
      <c r="N71" s="2717"/>
      <c r="O71" s="2718"/>
      <c r="P71" s="2717"/>
      <c r="Q71" s="2717"/>
      <c r="R71" s="2719"/>
    </row>
    <row r="72" spans="2:18" s="907" customFormat="1">
      <c r="B72" s="2717"/>
      <c r="C72" s="2717"/>
      <c r="D72" s="2717"/>
      <c r="E72" s="2717"/>
      <c r="F72" s="2717"/>
      <c r="G72" s="2718"/>
      <c r="H72" s="2717"/>
      <c r="I72" s="2718"/>
      <c r="J72" s="2717"/>
      <c r="K72" s="2717"/>
      <c r="L72" s="2718"/>
      <c r="M72" s="2717"/>
      <c r="N72" s="2717"/>
      <c r="O72" s="2718"/>
      <c r="P72" s="2717"/>
      <c r="Q72" s="2717"/>
      <c r="R72" s="2719"/>
    </row>
    <row r="73" spans="2:18" s="907" customFormat="1">
      <c r="B73" s="2717"/>
      <c r="C73" s="2717"/>
      <c r="D73" s="2717"/>
      <c r="E73" s="2717"/>
      <c r="F73" s="2717"/>
      <c r="G73" s="2718"/>
      <c r="H73" s="2717"/>
      <c r="I73" s="2718"/>
      <c r="J73" s="2717"/>
      <c r="K73" s="2717"/>
      <c r="L73" s="2718"/>
      <c r="M73" s="2717"/>
      <c r="N73" s="2717"/>
      <c r="O73" s="2718"/>
      <c r="P73" s="2717"/>
      <c r="Q73" s="2717"/>
      <c r="R73" s="2719"/>
    </row>
    <row r="74" spans="2:18" s="907" customFormat="1">
      <c r="B74" s="2717"/>
      <c r="C74" s="2717"/>
      <c r="D74" s="2717"/>
      <c r="E74" s="2717"/>
      <c r="F74" s="2717"/>
      <c r="G74" s="2718"/>
      <c r="H74" s="2717"/>
      <c r="I74" s="2718"/>
      <c r="J74" s="2717"/>
      <c r="K74" s="2717"/>
      <c r="L74" s="2718"/>
      <c r="M74" s="2717"/>
      <c r="N74" s="2717"/>
      <c r="O74" s="2718"/>
      <c r="P74" s="2717"/>
      <c r="Q74" s="2717"/>
      <c r="R74" s="2719"/>
    </row>
    <row r="75" spans="2:18" s="907" customFormat="1">
      <c r="B75" s="2717"/>
      <c r="C75" s="2717"/>
      <c r="D75" s="2717"/>
      <c r="E75" s="2717"/>
      <c r="F75" s="2717"/>
      <c r="G75" s="2718"/>
      <c r="H75" s="2717"/>
      <c r="I75" s="2718"/>
      <c r="J75" s="2717"/>
      <c r="K75" s="2717"/>
      <c r="L75" s="2718"/>
      <c r="M75" s="2717"/>
      <c r="N75" s="2717"/>
      <c r="O75" s="2718"/>
      <c r="P75" s="2717"/>
      <c r="Q75" s="2717"/>
      <c r="R75" s="2719"/>
    </row>
    <row r="76" spans="2:18" s="907" customFormat="1">
      <c r="B76" s="2717"/>
      <c r="C76" s="2717"/>
      <c r="D76" s="2717"/>
      <c r="E76" s="2717"/>
      <c r="F76" s="2717"/>
      <c r="G76" s="2718"/>
      <c r="H76" s="2717"/>
      <c r="I76" s="2718"/>
      <c r="J76" s="2717"/>
      <c r="K76" s="2717"/>
      <c r="L76" s="2718"/>
      <c r="M76" s="2717"/>
      <c r="N76" s="2717"/>
      <c r="O76" s="2718"/>
      <c r="P76" s="2717"/>
      <c r="Q76" s="2717"/>
      <c r="R76" s="2719"/>
    </row>
    <row r="77" spans="2:18" s="907" customFormat="1">
      <c r="B77" s="2717"/>
      <c r="C77" s="2717"/>
      <c r="D77" s="2717"/>
      <c r="E77" s="2717"/>
      <c r="F77" s="2717"/>
      <c r="G77" s="2718"/>
      <c r="H77" s="2717"/>
      <c r="I77" s="2718"/>
      <c r="J77" s="2717"/>
      <c r="K77" s="2717"/>
      <c r="L77" s="2718"/>
      <c r="M77" s="2717"/>
      <c r="N77" s="2717"/>
      <c r="O77" s="2718"/>
      <c r="P77" s="2717"/>
      <c r="Q77" s="2717"/>
      <c r="R77" s="2719"/>
    </row>
    <row r="78" spans="2:18" s="907" customFormat="1">
      <c r="B78" s="2717"/>
      <c r="C78" s="2717"/>
      <c r="D78" s="2717"/>
      <c r="E78" s="2717"/>
      <c r="F78" s="2717"/>
      <c r="G78" s="2718"/>
      <c r="H78" s="2717"/>
      <c r="I78" s="2718"/>
      <c r="J78" s="2717"/>
      <c r="K78" s="2717"/>
      <c r="L78" s="2718"/>
      <c r="M78" s="2717"/>
      <c r="N78" s="2717"/>
      <c r="O78" s="2718"/>
      <c r="P78" s="2717"/>
      <c r="Q78" s="2717"/>
      <c r="R78" s="2719"/>
    </row>
    <row r="79" spans="2:18" s="907" customFormat="1">
      <c r="B79" s="2717"/>
      <c r="C79" s="2717"/>
      <c r="D79" s="2717"/>
      <c r="E79" s="2717"/>
      <c r="F79" s="2717"/>
      <c r="G79" s="2718"/>
      <c r="H79" s="2717"/>
      <c r="I79" s="2718"/>
      <c r="J79" s="2717"/>
      <c r="K79" s="2717"/>
      <c r="L79" s="2718"/>
      <c r="M79" s="2717"/>
      <c r="N79" s="2717"/>
      <c r="O79" s="2718"/>
      <c r="P79" s="2717"/>
      <c r="Q79" s="2717"/>
      <c r="R79" s="2719"/>
    </row>
    <row r="80" spans="2:18" s="907" customFormat="1">
      <c r="B80" s="2717"/>
      <c r="C80" s="2717"/>
      <c r="D80" s="2717"/>
      <c r="E80" s="2717"/>
      <c r="F80" s="2717"/>
      <c r="G80" s="2718"/>
      <c r="H80" s="2717"/>
      <c r="I80" s="2718"/>
      <c r="J80" s="2717"/>
      <c r="K80" s="2717"/>
      <c r="L80" s="2718"/>
      <c r="M80" s="2717"/>
      <c r="N80" s="2717"/>
      <c r="O80" s="2718"/>
      <c r="P80" s="2717"/>
      <c r="Q80" s="2717"/>
      <c r="R80" s="2719"/>
    </row>
    <row r="81" spans="2:18" s="907" customFormat="1">
      <c r="B81" s="2717"/>
      <c r="C81" s="2717"/>
      <c r="D81" s="2717"/>
      <c r="E81" s="2717"/>
      <c r="F81" s="2717"/>
      <c r="G81" s="2718"/>
      <c r="H81" s="2717"/>
      <c r="I81" s="2718"/>
      <c r="J81" s="2717"/>
      <c r="K81" s="2717"/>
      <c r="L81" s="2718"/>
      <c r="M81" s="2717"/>
      <c r="N81" s="2717"/>
      <c r="O81" s="2718"/>
      <c r="P81" s="2717"/>
      <c r="Q81" s="2717"/>
      <c r="R81" s="2719"/>
    </row>
    <row r="82" spans="2:18" s="907" customFormat="1">
      <c r="B82" s="2717"/>
      <c r="C82" s="2717"/>
      <c r="D82" s="2717"/>
      <c r="E82" s="2717"/>
      <c r="F82" s="2717"/>
      <c r="G82" s="2718"/>
      <c r="H82" s="2717"/>
      <c r="I82" s="2718"/>
      <c r="J82" s="2717"/>
      <c r="K82" s="2717"/>
      <c r="L82" s="2718"/>
      <c r="M82" s="2717"/>
      <c r="N82" s="2717"/>
      <c r="O82" s="2718"/>
      <c r="P82" s="2717"/>
      <c r="Q82" s="2717"/>
      <c r="R82" s="2719"/>
    </row>
    <row r="83" spans="2:18" s="907" customFormat="1">
      <c r="B83" s="2717"/>
      <c r="C83" s="2717"/>
      <c r="D83" s="2717"/>
      <c r="E83" s="2717"/>
      <c r="F83" s="2717"/>
      <c r="G83" s="2718"/>
      <c r="H83" s="2717"/>
      <c r="I83" s="2718"/>
      <c r="J83" s="2717"/>
      <c r="K83" s="2717"/>
      <c r="L83" s="2718"/>
      <c r="M83" s="2717"/>
      <c r="N83" s="2717"/>
      <c r="O83" s="2718"/>
      <c r="P83" s="2717"/>
      <c r="Q83" s="2717"/>
      <c r="R83" s="2719"/>
    </row>
    <row r="84" spans="2:18" s="907" customFormat="1">
      <c r="B84" s="2717"/>
      <c r="C84" s="2717"/>
      <c r="D84" s="2717"/>
      <c r="E84" s="2717"/>
      <c r="F84" s="2717"/>
      <c r="G84" s="2718"/>
      <c r="H84" s="2717"/>
      <c r="I84" s="2718"/>
      <c r="J84" s="2717"/>
      <c r="K84" s="2717"/>
      <c r="L84" s="2718"/>
      <c r="M84" s="2717"/>
      <c r="N84" s="2717"/>
      <c r="O84" s="2718"/>
      <c r="P84" s="2717"/>
      <c r="Q84" s="2717"/>
      <c r="R84" s="2719"/>
    </row>
    <row r="85" spans="2:18" s="907" customFormat="1">
      <c r="B85" s="2717"/>
      <c r="C85" s="2717"/>
      <c r="D85" s="2717"/>
      <c r="E85" s="2717"/>
      <c r="F85" s="2717"/>
      <c r="G85" s="2718"/>
      <c r="H85" s="2717"/>
      <c r="I85" s="2718"/>
      <c r="J85" s="2717"/>
      <c r="K85" s="2717"/>
      <c r="L85" s="2718"/>
      <c r="M85" s="2717"/>
      <c r="N85" s="2717"/>
      <c r="O85" s="2718"/>
      <c r="P85" s="2717"/>
      <c r="Q85" s="2717"/>
      <c r="R85" s="2719"/>
    </row>
    <row r="86" spans="2:18" s="907" customFormat="1">
      <c r="B86" s="2717"/>
      <c r="C86" s="2717"/>
      <c r="D86" s="2717"/>
      <c r="E86" s="2717"/>
      <c r="F86" s="2717"/>
      <c r="G86" s="2718"/>
      <c r="H86" s="2717"/>
      <c r="I86" s="2718"/>
      <c r="J86" s="2717"/>
      <c r="K86" s="2717"/>
      <c r="L86" s="2718"/>
      <c r="M86" s="2717"/>
      <c r="N86" s="2717"/>
      <c r="O86" s="2718"/>
      <c r="P86" s="2717"/>
      <c r="Q86" s="2717"/>
      <c r="R86" s="2719"/>
    </row>
    <row r="87" spans="2:18" s="907" customFormat="1">
      <c r="B87" s="2717"/>
      <c r="C87" s="2717"/>
      <c r="D87" s="2717"/>
      <c r="E87" s="2717"/>
      <c r="F87" s="2717"/>
      <c r="G87" s="2718"/>
      <c r="H87" s="2717"/>
      <c r="I87" s="2718"/>
      <c r="J87" s="2717"/>
      <c r="K87" s="2717"/>
      <c r="L87" s="2718"/>
      <c r="M87" s="2717"/>
      <c r="N87" s="2717"/>
      <c r="O87" s="2718"/>
      <c r="P87" s="2717"/>
      <c r="Q87" s="2717"/>
      <c r="R87" s="2719"/>
    </row>
    <row r="88" spans="2:18" s="907" customFormat="1">
      <c r="B88" s="2717"/>
      <c r="C88" s="2717"/>
      <c r="D88" s="2717"/>
      <c r="E88" s="2717"/>
      <c r="F88" s="2717"/>
      <c r="G88" s="2718"/>
      <c r="H88" s="2717"/>
      <c r="I88" s="2718"/>
      <c r="J88" s="2717"/>
      <c r="K88" s="2717"/>
      <c r="L88" s="2718"/>
      <c r="M88" s="2717"/>
      <c r="N88" s="2717"/>
      <c r="O88" s="2718"/>
      <c r="P88" s="2717"/>
      <c r="Q88" s="2717"/>
      <c r="R88" s="2719"/>
    </row>
    <row r="89" spans="2:18" s="907" customFormat="1">
      <c r="B89" s="2717"/>
      <c r="C89" s="2717"/>
      <c r="D89" s="2717"/>
      <c r="E89" s="2717"/>
      <c r="F89" s="2717"/>
      <c r="G89" s="2718"/>
      <c r="H89" s="2717"/>
      <c r="I89" s="2718"/>
      <c r="J89" s="2717"/>
      <c r="K89" s="2717"/>
      <c r="L89" s="2718"/>
      <c r="M89" s="2717"/>
      <c r="N89" s="2717"/>
      <c r="O89" s="2718"/>
      <c r="P89" s="2717"/>
      <c r="Q89" s="2717"/>
      <c r="R89" s="2719"/>
    </row>
    <row r="90" spans="2:18" s="907" customFormat="1">
      <c r="B90" s="2717"/>
      <c r="C90" s="2717"/>
      <c r="D90" s="2717"/>
      <c r="E90" s="2717"/>
      <c r="F90" s="2717"/>
      <c r="G90" s="2718"/>
      <c r="H90" s="2717"/>
      <c r="I90" s="2718"/>
      <c r="J90" s="2717"/>
      <c r="K90" s="2717"/>
      <c r="L90" s="2718"/>
      <c r="M90" s="2717"/>
      <c r="N90" s="2717"/>
      <c r="O90" s="2718"/>
      <c r="P90" s="2717"/>
      <c r="Q90" s="2717"/>
      <c r="R90" s="2719"/>
    </row>
    <row r="91" spans="2:18" s="907" customFormat="1">
      <c r="B91" s="2717"/>
      <c r="C91" s="2717"/>
      <c r="D91" s="2717"/>
      <c r="E91" s="2717"/>
      <c r="F91" s="2717"/>
      <c r="G91" s="2718"/>
      <c r="H91" s="2717"/>
      <c r="I91" s="2718"/>
      <c r="J91" s="2717"/>
      <c r="K91" s="2717"/>
      <c r="L91" s="2718"/>
      <c r="M91" s="2717"/>
      <c r="N91" s="2717"/>
      <c r="O91" s="2718"/>
      <c r="P91" s="2717"/>
      <c r="Q91" s="2717"/>
      <c r="R91" s="2719"/>
    </row>
    <row r="92" spans="2:18" s="907" customFormat="1">
      <c r="B92" s="2717"/>
      <c r="C92" s="2717"/>
      <c r="D92" s="2717"/>
      <c r="E92" s="2717"/>
      <c r="F92" s="2717"/>
      <c r="G92" s="2718"/>
      <c r="H92" s="2717"/>
      <c r="I92" s="2718"/>
      <c r="J92" s="2717"/>
      <c r="K92" s="2717"/>
      <c r="L92" s="2718"/>
      <c r="M92" s="2717"/>
      <c r="N92" s="2717"/>
      <c r="O92" s="2718"/>
      <c r="P92" s="2717"/>
      <c r="Q92" s="2717"/>
      <c r="R92" s="2719"/>
    </row>
    <row r="93" spans="2:18" s="907" customFormat="1">
      <c r="B93" s="2717"/>
      <c r="C93" s="2717"/>
      <c r="D93" s="2717"/>
      <c r="E93" s="2717"/>
      <c r="F93" s="2717"/>
      <c r="G93" s="2718"/>
      <c r="H93" s="2717"/>
      <c r="I93" s="2718"/>
      <c r="J93" s="2717"/>
      <c r="K93" s="2717"/>
      <c r="L93" s="2718"/>
      <c r="M93" s="2717"/>
      <c r="N93" s="2717"/>
      <c r="O93" s="2718"/>
      <c r="P93" s="2717"/>
      <c r="Q93" s="2717"/>
      <c r="R93" s="2719"/>
    </row>
    <row r="94" spans="2:18" s="907" customFormat="1">
      <c r="B94" s="2717"/>
      <c r="C94" s="2717"/>
      <c r="D94" s="2717"/>
      <c r="E94" s="2717"/>
      <c r="F94" s="2717"/>
      <c r="G94" s="2718"/>
      <c r="H94" s="2717"/>
      <c r="I94" s="2718"/>
      <c r="J94" s="2717"/>
      <c r="K94" s="2717"/>
      <c r="L94" s="2718"/>
      <c r="M94" s="2717"/>
      <c r="N94" s="2717"/>
      <c r="O94" s="2718"/>
      <c r="P94" s="2717"/>
      <c r="Q94" s="2717"/>
      <c r="R94" s="2719"/>
    </row>
    <row r="95" spans="2:18" s="907" customFormat="1">
      <c r="B95" s="2717"/>
      <c r="C95" s="2717"/>
      <c r="D95" s="2717"/>
      <c r="E95" s="2717"/>
      <c r="F95" s="2717"/>
      <c r="G95" s="2718"/>
      <c r="H95" s="2717"/>
      <c r="I95" s="2718"/>
      <c r="J95" s="2717"/>
      <c r="K95" s="2717"/>
      <c r="L95" s="2718"/>
      <c r="M95" s="2717"/>
      <c r="N95" s="2717"/>
      <c r="O95" s="2718"/>
      <c r="P95" s="2717"/>
      <c r="Q95" s="2717"/>
      <c r="R95" s="2719"/>
    </row>
    <row r="96" spans="2:18" s="907" customFormat="1">
      <c r="B96" s="2717"/>
      <c r="C96" s="2717"/>
      <c r="D96" s="2717"/>
      <c r="E96" s="2717"/>
      <c r="F96" s="2717"/>
      <c r="G96" s="2718"/>
      <c r="H96" s="2717"/>
      <c r="I96" s="2718"/>
      <c r="J96" s="2717"/>
      <c r="K96" s="2717"/>
      <c r="L96" s="2718"/>
      <c r="M96" s="2717"/>
      <c r="N96" s="2717"/>
      <c r="O96" s="2718"/>
      <c r="P96" s="2717"/>
      <c r="Q96" s="2717"/>
      <c r="R96" s="2719"/>
    </row>
    <row r="97" spans="2:18" s="907" customFormat="1">
      <c r="B97" s="2717"/>
      <c r="C97" s="2717"/>
      <c r="D97" s="2717"/>
      <c r="E97" s="2717"/>
      <c r="F97" s="2717"/>
      <c r="G97" s="2718"/>
      <c r="H97" s="2717"/>
      <c r="I97" s="2718"/>
      <c r="J97" s="2717"/>
      <c r="K97" s="2717"/>
      <c r="L97" s="2718"/>
      <c r="M97" s="2717"/>
      <c r="N97" s="2717"/>
      <c r="O97" s="2718"/>
      <c r="P97" s="2717"/>
      <c r="Q97" s="2717"/>
      <c r="R97" s="2719"/>
    </row>
    <row r="98" spans="2:18" s="907" customFormat="1">
      <c r="B98" s="2717"/>
      <c r="C98" s="2717"/>
      <c r="D98" s="2717"/>
      <c r="E98" s="2717"/>
      <c r="F98" s="2717"/>
      <c r="G98" s="2718"/>
      <c r="H98" s="2717"/>
      <c r="I98" s="2718"/>
      <c r="J98" s="2717"/>
      <c r="K98" s="2717"/>
      <c r="L98" s="2718"/>
      <c r="M98" s="2717"/>
      <c r="N98" s="2717"/>
      <c r="O98" s="2718"/>
      <c r="P98" s="2717"/>
      <c r="Q98" s="2717"/>
      <c r="R98" s="2719"/>
    </row>
    <row r="99" spans="2:18" s="907" customFormat="1">
      <c r="B99" s="2717"/>
      <c r="C99" s="2717"/>
      <c r="D99" s="2717"/>
      <c r="E99" s="2717"/>
      <c r="F99" s="2717"/>
      <c r="G99" s="2718"/>
      <c r="H99" s="2717"/>
      <c r="I99" s="2718"/>
      <c r="J99" s="2717"/>
      <c r="K99" s="2717"/>
      <c r="L99" s="2718"/>
      <c r="M99" s="2717"/>
      <c r="N99" s="2717"/>
      <c r="O99" s="2718"/>
      <c r="P99" s="2717"/>
      <c r="Q99" s="2717"/>
      <c r="R99" s="2719"/>
    </row>
    <row r="100" spans="2:18" s="907" customFormat="1">
      <c r="B100" s="2717"/>
      <c r="C100" s="2717"/>
      <c r="D100" s="2717"/>
      <c r="E100" s="2717"/>
      <c r="F100" s="2717"/>
      <c r="G100" s="2718"/>
      <c r="H100" s="2717"/>
      <c r="I100" s="2718"/>
      <c r="J100" s="2717"/>
      <c r="K100" s="2717"/>
      <c r="L100" s="2718"/>
      <c r="M100" s="2717"/>
      <c r="N100" s="2717"/>
      <c r="O100" s="2718"/>
      <c r="P100" s="2717"/>
      <c r="Q100" s="2717"/>
      <c r="R100" s="2719"/>
    </row>
    <row r="101" spans="2:18" s="907" customFormat="1">
      <c r="B101" s="2717"/>
      <c r="C101" s="2717"/>
      <c r="D101" s="2717"/>
      <c r="E101" s="2717"/>
      <c r="F101" s="2717"/>
      <c r="G101" s="2718"/>
      <c r="H101" s="2717"/>
      <c r="I101" s="2718"/>
      <c r="J101" s="2717"/>
      <c r="K101" s="2717"/>
      <c r="L101" s="2718"/>
      <c r="M101" s="2717"/>
      <c r="N101" s="2717"/>
      <c r="O101" s="2718"/>
      <c r="P101" s="2717"/>
      <c r="Q101" s="2717"/>
      <c r="R101" s="2719"/>
    </row>
    <row r="102" spans="2:18" s="907" customFormat="1">
      <c r="B102" s="2717"/>
      <c r="C102" s="2717"/>
      <c r="D102" s="2717"/>
      <c r="E102" s="2717"/>
      <c r="F102" s="2717"/>
      <c r="G102" s="2718"/>
      <c r="H102" s="2717"/>
      <c r="I102" s="2718"/>
      <c r="J102" s="2717"/>
      <c r="K102" s="2717"/>
      <c r="L102" s="2718"/>
      <c r="M102" s="2717"/>
      <c r="N102" s="2717"/>
      <c r="O102" s="2718"/>
      <c r="P102" s="2717"/>
      <c r="Q102" s="2717"/>
      <c r="R102" s="2719"/>
    </row>
    <row r="103" spans="2:18" s="907" customFormat="1">
      <c r="B103" s="2717"/>
      <c r="C103" s="2717"/>
      <c r="D103" s="2717"/>
      <c r="E103" s="2717"/>
      <c r="F103" s="2717"/>
      <c r="G103" s="2718"/>
      <c r="H103" s="2717"/>
      <c r="I103" s="2718"/>
      <c r="J103" s="2717"/>
      <c r="K103" s="2717"/>
      <c r="L103" s="2718"/>
      <c r="M103" s="2717"/>
      <c r="N103" s="2717"/>
      <c r="O103" s="2718"/>
      <c r="P103" s="2717"/>
      <c r="Q103" s="2717"/>
      <c r="R103" s="2719"/>
    </row>
    <row r="104" spans="2:18" s="907" customFormat="1">
      <c r="B104" s="2717"/>
      <c r="C104" s="2717"/>
      <c r="D104" s="2717"/>
      <c r="E104" s="2717"/>
      <c r="F104" s="2717"/>
      <c r="G104" s="2718"/>
      <c r="H104" s="2717"/>
      <c r="I104" s="2718"/>
      <c r="J104" s="2717"/>
      <c r="K104" s="2717"/>
      <c r="L104" s="2718"/>
      <c r="M104" s="2717"/>
      <c r="N104" s="2717"/>
      <c r="O104" s="2718"/>
      <c r="P104" s="2717"/>
      <c r="Q104" s="2717"/>
      <c r="R104" s="2719"/>
    </row>
    <row r="105" spans="2:18" s="907" customFormat="1">
      <c r="B105" s="2717"/>
      <c r="C105" s="2717"/>
      <c r="D105" s="2717"/>
      <c r="E105" s="2717"/>
      <c r="F105" s="2717"/>
      <c r="G105" s="2718"/>
      <c r="H105" s="2717"/>
      <c r="I105" s="2718"/>
      <c r="J105" s="2717"/>
      <c r="K105" s="2717"/>
      <c r="L105" s="2718"/>
      <c r="M105" s="2717"/>
      <c r="N105" s="2717"/>
      <c r="O105" s="2718"/>
      <c r="P105" s="2717"/>
      <c r="Q105" s="2717"/>
      <c r="R105" s="2719"/>
    </row>
    <row r="106" spans="2:18" s="907" customFormat="1">
      <c r="B106" s="2717"/>
      <c r="C106" s="2717"/>
      <c r="D106" s="2717"/>
      <c r="E106" s="2717"/>
      <c r="F106" s="2717"/>
      <c r="G106" s="2718"/>
      <c r="H106" s="2717"/>
      <c r="I106" s="2718"/>
      <c r="J106" s="2717"/>
      <c r="K106" s="2717"/>
      <c r="L106" s="2718"/>
      <c r="M106" s="2717"/>
      <c r="N106" s="2717"/>
      <c r="O106" s="2718"/>
      <c r="P106" s="2717"/>
      <c r="Q106" s="2717"/>
      <c r="R106" s="2719"/>
    </row>
    <row r="107" spans="2:18" s="907" customFormat="1">
      <c r="B107" s="2717"/>
      <c r="C107" s="2717"/>
      <c r="D107" s="2717"/>
      <c r="E107" s="2717"/>
      <c r="F107" s="2717"/>
      <c r="G107" s="2718"/>
      <c r="H107" s="2717"/>
      <c r="I107" s="2718"/>
      <c r="J107" s="2717"/>
      <c r="K107" s="2717"/>
      <c r="L107" s="2718"/>
      <c r="M107" s="2717"/>
      <c r="N107" s="2717"/>
      <c r="O107" s="2718"/>
      <c r="P107" s="2717"/>
      <c r="Q107" s="2717"/>
      <c r="R107" s="2719"/>
    </row>
    <row r="108" spans="2:18" s="907" customFormat="1">
      <c r="B108" s="2717"/>
      <c r="C108" s="2717"/>
      <c r="D108" s="2717"/>
      <c r="E108" s="2717"/>
      <c r="F108" s="2717"/>
      <c r="G108" s="2718"/>
      <c r="H108" s="2717"/>
      <c r="I108" s="2718"/>
      <c r="J108" s="2717"/>
      <c r="K108" s="2717"/>
      <c r="L108" s="2718"/>
      <c r="M108" s="2717"/>
      <c r="N108" s="2717"/>
      <c r="O108" s="2718"/>
      <c r="P108" s="2717"/>
      <c r="Q108" s="2717"/>
      <c r="R108" s="2719"/>
    </row>
    <row r="109" spans="2:18" s="907" customFormat="1">
      <c r="B109" s="2717"/>
      <c r="C109" s="2717"/>
      <c r="D109" s="2717"/>
      <c r="E109" s="2717"/>
      <c r="F109" s="2717"/>
      <c r="G109" s="2718"/>
      <c r="H109" s="2717"/>
      <c r="I109" s="2718"/>
      <c r="J109" s="2717"/>
      <c r="K109" s="2717"/>
      <c r="L109" s="2718"/>
      <c r="M109" s="2717"/>
      <c r="N109" s="2717"/>
      <c r="O109" s="2718"/>
      <c r="P109" s="2717"/>
      <c r="Q109" s="2717"/>
      <c r="R109" s="2719"/>
    </row>
    <row r="110" spans="2:18" s="907" customFormat="1">
      <c r="B110" s="2717"/>
      <c r="C110" s="2717"/>
      <c r="D110" s="2717"/>
      <c r="E110" s="2717"/>
      <c r="F110" s="2717"/>
      <c r="G110" s="2718"/>
      <c r="H110" s="2717"/>
      <c r="I110" s="2718"/>
      <c r="J110" s="2717"/>
      <c r="K110" s="2717"/>
      <c r="L110" s="2718"/>
      <c r="M110" s="2717"/>
      <c r="N110" s="2717"/>
      <c r="O110" s="2718"/>
      <c r="P110" s="2717"/>
      <c r="Q110" s="2717"/>
      <c r="R110" s="2719"/>
    </row>
    <row r="111" spans="2:18" s="907" customFormat="1">
      <c r="B111" s="2717"/>
      <c r="C111" s="2717"/>
      <c r="D111" s="2717"/>
      <c r="E111" s="2717"/>
      <c r="F111" s="2717"/>
      <c r="G111" s="2718"/>
      <c r="H111" s="2717"/>
      <c r="I111" s="2718"/>
      <c r="J111" s="2717"/>
      <c r="K111" s="2717"/>
      <c r="L111" s="2718"/>
      <c r="M111" s="2717"/>
      <c r="N111" s="2717"/>
      <c r="O111" s="2718"/>
      <c r="P111" s="2717"/>
      <c r="Q111" s="2717"/>
      <c r="R111" s="2719"/>
    </row>
    <row r="112" spans="2:18" s="907" customFormat="1">
      <c r="B112" s="2717"/>
      <c r="C112" s="2717"/>
      <c r="D112" s="2717"/>
      <c r="E112" s="2717"/>
      <c r="F112" s="2717"/>
      <c r="G112" s="2718"/>
      <c r="H112" s="2717"/>
      <c r="I112" s="2718"/>
      <c r="J112" s="2717"/>
      <c r="K112" s="2717"/>
      <c r="L112" s="2718"/>
      <c r="M112" s="2717"/>
      <c r="N112" s="2717"/>
      <c r="O112" s="2718"/>
      <c r="P112" s="2717"/>
      <c r="Q112" s="2717"/>
      <c r="R112" s="2719"/>
    </row>
    <row r="113" spans="2:18" s="907" customFormat="1">
      <c r="B113" s="2717"/>
      <c r="C113" s="2717"/>
      <c r="D113" s="2717"/>
      <c r="E113" s="2717"/>
      <c r="F113" s="2717"/>
      <c r="G113" s="2718"/>
      <c r="H113" s="2717"/>
      <c r="I113" s="2718"/>
      <c r="J113" s="2717"/>
      <c r="K113" s="2717"/>
      <c r="L113" s="2718"/>
      <c r="M113" s="2717"/>
      <c r="N113" s="2717"/>
      <c r="O113" s="2718"/>
      <c r="P113" s="2717"/>
      <c r="Q113" s="2717"/>
      <c r="R113" s="2719"/>
    </row>
    <row r="114" spans="2:18" s="907" customFormat="1">
      <c r="B114" s="2717"/>
      <c r="C114" s="2717"/>
      <c r="D114" s="2717"/>
      <c r="E114" s="2717"/>
      <c r="F114" s="2717"/>
      <c r="G114" s="2718"/>
      <c r="H114" s="2717"/>
      <c r="I114" s="2718"/>
      <c r="J114" s="2717"/>
      <c r="K114" s="2717"/>
      <c r="L114" s="2718"/>
      <c r="M114" s="2717"/>
      <c r="N114" s="2717"/>
      <c r="O114" s="2718"/>
      <c r="P114" s="2717"/>
      <c r="Q114" s="2717"/>
      <c r="R114" s="2719"/>
    </row>
    <row r="115" spans="2:18" s="907" customFormat="1">
      <c r="B115" s="2717"/>
      <c r="C115" s="2717"/>
      <c r="D115" s="2717"/>
      <c r="E115" s="2717"/>
      <c r="F115" s="2717"/>
      <c r="G115" s="2718"/>
      <c r="H115" s="2717"/>
      <c r="I115" s="2718"/>
      <c r="J115" s="2717"/>
      <c r="K115" s="2717"/>
      <c r="L115" s="2718"/>
      <c r="M115" s="2717"/>
      <c r="N115" s="2717"/>
      <c r="O115" s="2718"/>
      <c r="P115" s="2717"/>
      <c r="Q115" s="2717"/>
      <c r="R115" s="2719"/>
    </row>
    <row r="116" spans="2:18" s="907" customFormat="1">
      <c r="B116" s="2717"/>
      <c r="C116" s="2717"/>
      <c r="D116" s="2717"/>
      <c r="E116" s="2717"/>
      <c r="F116" s="2717"/>
      <c r="G116" s="2718"/>
      <c r="H116" s="2717"/>
      <c r="I116" s="2718"/>
      <c r="J116" s="2717"/>
      <c r="K116" s="2717"/>
      <c r="L116" s="2718"/>
      <c r="M116" s="2717"/>
      <c r="N116" s="2717"/>
      <c r="O116" s="2718"/>
      <c r="P116" s="2717"/>
      <c r="Q116" s="2717"/>
      <c r="R116" s="2719"/>
    </row>
    <row r="117" spans="2:18" s="907" customFormat="1">
      <c r="B117" s="2717"/>
      <c r="C117" s="2717"/>
      <c r="D117" s="2717"/>
      <c r="E117" s="2717"/>
      <c r="F117" s="2717"/>
      <c r="G117" s="2718"/>
      <c r="H117" s="2717"/>
      <c r="I117" s="2718"/>
      <c r="J117" s="2717"/>
      <c r="K117" s="2717"/>
      <c r="L117" s="2718"/>
      <c r="M117" s="2717"/>
      <c r="N117" s="2717"/>
      <c r="O117" s="2718"/>
      <c r="P117" s="2717"/>
      <c r="Q117" s="2717"/>
      <c r="R117" s="2719"/>
    </row>
    <row r="118" spans="2:18" s="907" customFormat="1">
      <c r="B118" s="2717"/>
      <c r="C118" s="2717"/>
      <c r="D118" s="2717"/>
      <c r="E118" s="2717"/>
      <c r="F118" s="2717"/>
      <c r="G118" s="2718"/>
      <c r="H118" s="2717"/>
      <c r="I118" s="2718"/>
      <c r="J118" s="2717"/>
      <c r="K118" s="2717"/>
      <c r="L118" s="2718"/>
      <c r="M118" s="2717"/>
      <c r="N118" s="2717"/>
      <c r="O118" s="2718"/>
      <c r="P118" s="2717"/>
      <c r="Q118" s="2717"/>
      <c r="R118" s="2719"/>
    </row>
    <row r="119" spans="2:18" s="907" customFormat="1">
      <c r="B119" s="2717"/>
      <c r="C119" s="2717"/>
      <c r="D119" s="2717"/>
      <c r="E119" s="2717"/>
      <c r="F119" s="2717"/>
      <c r="G119" s="2718"/>
      <c r="H119" s="2717"/>
      <c r="I119" s="2718"/>
      <c r="J119" s="2717"/>
      <c r="K119" s="2717"/>
      <c r="L119" s="2718"/>
      <c r="M119" s="2717"/>
      <c r="N119" s="2717"/>
      <c r="O119" s="2718"/>
      <c r="P119" s="2717"/>
      <c r="Q119" s="2717"/>
      <c r="R119" s="2719"/>
    </row>
    <row r="120" spans="2:18" s="907" customFormat="1">
      <c r="B120" s="2717"/>
      <c r="C120" s="2717"/>
      <c r="D120" s="2717"/>
      <c r="E120" s="2717"/>
      <c r="F120" s="2717"/>
      <c r="G120" s="2718"/>
      <c r="H120" s="2717"/>
      <c r="I120" s="2718"/>
      <c r="J120" s="2717"/>
      <c r="K120" s="2717"/>
      <c r="L120" s="2718"/>
      <c r="M120" s="2717"/>
      <c r="N120" s="2717"/>
      <c r="O120" s="2718"/>
      <c r="P120" s="2717"/>
      <c r="Q120" s="2717"/>
      <c r="R120" s="2719"/>
    </row>
    <row r="121" spans="2:18" s="907" customFormat="1">
      <c r="B121" s="2717"/>
      <c r="C121" s="2717"/>
      <c r="D121" s="2717"/>
      <c r="E121" s="2717"/>
      <c r="F121" s="2717"/>
      <c r="G121" s="2718"/>
      <c r="H121" s="2717"/>
      <c r="I121" s="2718"/>
      <c r="J121" s="2717"/>
      <c r="K121" s="2717"/>
      <c r="L121" s="2718"/>
      <c r="M121" s="2717"/>
      <c r="N121" s="2717"/>
      <c r="O121" s="2718"/>
      <c r="P121" s="2717"/>
      <c r="Q121" s="2717"/>
      <c r="R121" s="2719"/>
    </row>
    <row r="122" spans="2:18" s="907" customFormat="1">
      <c r="B122" s="2717"/>
      <c r="C122" s="2717"/>
      <c r="D122" s="2717"/>
      <c r="E122" s="2717"/>
      <c r="F122" s="2717"/>
      <c r="G122" s="2718"/>
      <c r="H122" s="2717"/>
      <c r="I122" s="2718"/>
      <c r="J122" s="2717"/>
      <c r="K122" s="2717"/>
      <c r="L122" s="2718"/>
      <c r="M122" s="2717"/>
      <c r="N122" s="2717"/>
      <c r="O122" s="2718"/>
      <c r="P122" s="2717"/>
      <c r="Q122" s="2717"/>
      <c r="R122" s="2719"/>
    </row>
    <row r="123" spans="2:18" s="907" customFormat="1">
      <c r="B123" s="2717"/>
      <c r="C123" s="2717"/>
      <c r="D123" s="2717"/>
      <c r="E123" s="2717"/>
      <c r="F123" s="2717"/>
      <c r="G123" s="2718"/>
      <c r="H123" s="2717"/>
      <c r="I123" s="2718"/>
      <c r="J123" s="2717"/>
      <c r="K123" s="2717"/>
      <c r="L123" s="2718"/>
      <c r="M123" s="2717"/>
      <c r="N123" s="2717"/>
      <c r="O123" s="2718"/>
      <c r="P123" s="2717"/>
      <c r="Q123" s="2717"/>
      <c r="R123" s="2719"/>
    </row>
    <row r="124" spans="2:18" s="907" customFormat="1">
      <c r="B124" s="2717"/>
      <c r="C124" s="2717"/>
      <c r="D124" s="2717"/>
      <c r="E124" s="2717"/>
      <c r="F124" s="2717"/>
      <c r="G124" s="2718"/>
      <c r="H124" s="2717"/>
      <c r="I124" s="2718"/>
      <c r="J124" s="2717"/>
      <c r="K124" s="2717"/>
      <c r="L124" s="2718"/>
      <c r="M124" s="2717"/>
      <c r="N124" s="2717"/>
      <c r="O124" s="2718"/>
      <c r="P124" s="2717"/>
      <c r="Q124" s="2717"/>
      <c r="R124" s="2719"/>
    </row>
    <row r="125" spans="2:18" s="907" customFormat="1">
      <c r="B125" s="2717"/>
      <c r="C125" s="2717"/>
      <c r="D125" s="2717"/>
      <c r="E125" s="2717"/>
      <c r="F125" s="2717"/>
      <c r="G125" s="2718"/>
      <c r="H125" s="2717"/>
      <c r="I125" s="2718"/>
      <c r="J125" s="2717"/>
      <c r="K125" s="2717"/>
      <c r="L125" s="2718"/>
      <c r="M125" s="2717"/>
      <c r="N125" s="2717"/>
      <c r="O125" s="2718"/>
      <c r="P125" s="2717"/>
      <c r="Q125" s="2717"/>
      <c r="R125" s="2719"/>
    </row>
    <row r="126" spans="2:18" s="907" customFormat="1">
      <c r="B126" s="2717"/>
      <c r="C126" s="2717"/>
      <c r="D126" s="2717"/>
      <c r="E126" s="2717"/>
      <c r="F126" s="2717"/>
      <c r="G126" s="2718"/>
      <c r="H126" s="2717"/>
      <c r="I126" s="2718"/>
      <c r="J126" s="2717"/>
      <c r="K126" s="2717"/>
      <c r="L126" s="2718"/>
      <c r="M126" s="2717"/>
      <c r="N126" s="2717"/>
      <c r="O126" s="2718"/>
      <c r="P126" s="2717"/>
      <c r="Q126" s="2717"/>
      <c r="R126" s="2719"/>
    </row>
    <row r="127" spans="2:18" s="907" customFormat="1">
      <c r="B127" s="2717"/>
      <c r="C127" s="2717"/>
      <c r="D127" s="2717"/>
      <c r="E127" s="2717"/>
      <c r="F127" s="2717"/>
      <c r="G127" s="2718"/>
      <c r="H127" s="2717"/>
      <c r="I127" s="2718"/>
      <c r="J127" s="2717"/>
      <c r="K127" s="2717"/>
      <c r="L127" s="2718"/>
      <c r="M127" s="2717"/>
      <c r="N127" s="2717"/>
      <c r="O127" s="2718"/>
      <c r="P127" s="2717"/>
      <c r="Q127" s="2717"/>
      <c r="R127" s="2719"/>
    </row>
    <row r="128" spans="2:18" s="907" customFormat="1">
      <c r="B128" s="2717"/>
      <c r="C128" s="2717"/>
      <c r="D128" s="2717"/>
      <c r="E128" s="2717"/>
      <c r="F128" s="2717"/>
      <c r="G128" s="2718"/>
      <c r="H128" s="2717"/>
      <c r="I128" s="2718"/>
      <c r="J128" s="2717"/>
      <c r="K128" s="2717"/>
      <c r="L128" s="2718"/>
      <c r="M128" s="2717"/>
      <c r="N128" s="2717"/>
      <c r="O128" s="2718"/>
      <c r="P128" s="2717"/>
      <c r="Q128" s="2717"/>
      <c r="R128" s="2719"/>
    </row>
    <row r="129" spans="2:18" s="907" customFormat="1">
      <c r="B129" s="2717"/>
      <c r="C129" s="2717"/>
      <c r="D129" s="2717"/>
      <c r="E129" s="2717"/>
      <c r="F129" s="2717"/>
      <c r="G129" s="2718"/>
      <c r="H129" s="2717"/>
      <c r="I129" s="2718"/>
      <c r="J129" s="2717"/>
      <c r="K129" s="2717"/>
      <c r="L129" s="2718"/>
      <c r="M129" s="2717"/>
      <c r="N129" s="2717"/>
      <c r="O129" s="2718"/>
      <c r="P129" s="2717"/>
      <c r="Q129" s="2717"/>
      <c r="R129" s="2719"/>
    </row>
    <row r="130" spans="2:18" s="907" customFormat="1">
      <c r="B130" s="2717"/>
      <c r="C130" s="2717"/>
      <c r="D130" s="2717"/>
      <c r="E130" s="2717"/>
      <c r="F130" s="2717"/>
      <c r="G130" s="2718"/>
      <c r="H130" s="2717"/>
      <c r="I130" s="2718"/>
      <c r="J130" s="2717"/>
      <c r="K130" s="2717"/>
      <c r="L130" s="2718"/>
      <c r="M130" s="2717"/>
      <c r="N130" s="2717"/>
      <c r="O130" s="2718"/>
      <c r="P130" s="2717"/>
      <c r="Q130" s="2717"/>
      <c r="R130" s="2719"/>
    </row>
    <row r="131" spans="2:18" s="907" customFormat="1">
      <c r="B131" s="2717"/>
      <c r="C131" s="2717"/>
      <c r="D131" s="2717"/>
      <c r="E131" s="2717"/>
      <c r="F131" s="2717"/>
      <c r="G131" s="2718"/>
      <c r="H131" s="2717"/>
      <c r="I131" s="2718"/>
      <c r="J131" s="2717"/>
      <c r="K131" s="2717"/>
      <c r="L131" s="2718"/>
      <c r="M131" s="2717"/>
      <c r="N131" s="2717"/>
      <c r="O131" s="2718"/>
      <c r="P131" s="2717"/>
      <c r="Q131" s="2717"/>
      <c r="R131" s="2719"/>
    </row>
    <row r="132" spans="2:18" s="907" customFormat="1">
      <c r="B132" s="2717"/>
      <c r="C132" s="2717"/>
      <c r="D132" s="2717"/>
      <c r="E132" s="2717"/>
      <c r="F132" s="2717"/>
      <c r="G132" s="2718"/>
      <c r="H132" s="2717"/>
      <c r="I132" s="2718"/>
      <c r="J132" s="2717"/>
      <c r="K132" s="2717"/>
      <c r="L132" s="2718"/>
      <c r="M132" s="2717"/>
      <c r="N132" s="2717"/>
      <c r="O132" s="2718"/>
      <c r="P132" s="2717"/>
      <c r="Q132" s="2717"/>
      <c r="R132" s="2719"/>
    </row>
    <row r="133" spans="2:18" s="907" customFormat="1">
      <c r="B133" s="2717"/>
      <c r="C133" s="2717"/>
      <c r="D133" s="2717"/>
      <c r="E133" s="2717"/>
      <c r="F133" s="2717"/>
      <c r="G133" s="2718"/>
      <c r="H133" s="2717"/>
      <c r="I133" s="2718"/>
      <c r="J133" s="2717"/>
      <c r="K133" s="2717"/>
      <c r="L133" s="2718"/>
      <c r="M133" s="2717"/>
      <c r="N133" s="2717"/>
      <c r="O133" s="2718"/>
      <c r="P133" s="2717"/>
      <c r="Q133" s="2717"/>
      <c r="R133" s="2719"/>
    </row>
    <row r="134" spans="2:18" s="907" customFormat="1">
      <c r="B134" s="2717"/>
      <c r="C134" s="2717"/>
      <c r="D134" s="2717"/>
      <c r="E134" s="2717"/>
      <c r="F134" s="2717"/>
      <c r="G134" s="2718"/>
      <c r="H134" s="2717"/>
      <c r="I134" s="2718"/>
      <c r="J134" s="2717"/>
      <c r="K134" s="2717"/>
      <c r="L134" s="2718"/>
      <c r="M134" s="2717"/>
      <c r="N134" s="2717"/>
      <c r="O134" s="2718"/>
      <c r="P134" s="2717"/>
      <c r="Q134" s="2717"/>
      <c r="R134" s="2719"/>
    </row>
    <row r="135" spans="2:18" s="907" customFormat="1">
      <c r="B135" s="2717"/>
      <c r="C135" s="2717"/>
      <c r="D135" s="2717"/>
      <c r="E135" s="2717"/>
      <c r="F135" s="2717"/>
      <c r="G135" s="2718"/>
      <c r="H135" s="2717"/>
      <c r="I135" s="2718"/>
      <c r="J135" s="2717"/>
      <c r="K135" s="2717"/>
      <c r="L135" s="2718"/>
      <c r="M135" s="2717"/>
      <c r="N135" s="2717"/>
      <c r="O135" s="2718"/>
      <c r="P135" s="2717"/>
      <c r="Q135" s="2717"/>
      <c r="R135" s="2719"/>
    </row>
    <row r="136" spans="2:18" s="907" customFormat="1">
      <c r="B136" s="2717"/>
      <c r="C136" s="2717"/>
      <c r="D136" s="2717"/>
      <c r="E136" s="2717"/>
      <c r="F136" s="2717"/>
      <c r="G136" s="2718"/>
      <c r="H136" s="2717"/>
      <c r="I136" s="2718"/>
      <c r="J136" s="2717"/>
      <c r="K136" s="2717"/>
      <c r="L136" s="2718"/>
      <c r="M136" s="2717"/>
      <c r="N136" s="2717"/>
      <c r="O136" s="2718"/>
      <c r="P136" s="2717"/>
      <c r="Q136" s="2717"/>
      <c r="R136" s="2719"/>
    </row>
    <row r="137" spans="2:18" s="907" customFormat="1">
      <c r="B137" s="2717"/>
      <c r="C137" s="2717"/>
      <c r="D137" s="2717"/>
      <c r="E137" s="2717"/>
      <c r="F137" s="2717"/>
      <c r="G137" s="2718"/>
      <c r="H137" s="2717"/>
      <c r="I137" s="2718"/>
      <c r="J137" s="2717"/>
      <c r="K137" s="2717"/>
      <c r="L137" s="2718"/>
      <c r="M137" s="2717"/>
      <c r="N137" s="2717"/>
      <c r="O137" s="2718"/>
      <c r="P137" s="2717"/>
      <c r="Q137" s="2717"/>
      <c r="R137" s="2719"/>
    </row>
    <row r="138" spans="2:18" s="907" customFormat="1">
      <c r="B138" s="2717"/>
      <c r="C138" s="2717"/>
      <c r="D138" s="2717"/>
      <c r="E138" s="2717"/>
      <c r="F138" s="2717"/>
      <c r="G138" s="2718"/>
      <c r="H138" s="2717"/>
      <c r="I138" s="2718"/>
      <c r="J138" s="2717"/>
      <c r="K138" s="2717"/>
      <c r="L138" s="2718"/>
      <c r="M138" s="2717"/>
      <c r="N138" s="2717"/>
      <c r="O138" s="2718"/>
      <c r="P138" s="2717"/>
      <c r="Q138" s="2717"/>
      <c r="R138" s="2719"/>
    </row>
    <row r="139" spans="2:18" s="907" customFormat="1">
      <c r="B139" s="2717"/>
      <c r="C139" s="2717"/>
      <c r="D139" s="2717"/>
      <c r="E139" s="2717"/>
      <c r="F139" s="2717"/>
      <c r="G139" s="2718"/>
      <c r="H139" s="2717"/>
      <c r="I139" s="2718"/>
      <c r="J139" s="2717"/>
      <c r="K139" s="2717"/>
      <c r="L139" s="2718"/>
      <c r="M139" s="2717"/>
      <c r="N139" s="2717"/>
      <c r="O139" s="2718"/>
      <c r="P139" s="2717"/>
      <c r="Q139" s="2717"/>
      <c r="R139" s="2719"/>
    </row>
    <row r="140" spans="2:18" s="907" customFormat="1">
      <c r="B140" s="2717"/>
      <c r="C140" s="2717"/>
      <c r="D140" s="2717"/>
      <c r="E140" s="2717"/>
      <c r="F140" s="2717"/>
      <c r="G140" s="2718"/>
      <c r="H140" s="2717"/>
      <c r="I140" s="2718"/>
      <c r="J140" s="2717"/>
      <c r="K140" s="2717"/>
      <c r="L140" s="2718"/>
      <c r="M140" s="2717"/>
      <c r="N140" s="2717"/>
      <c r="O140" s="2718"/>
      <c r="P140" s="2717"/>
      <c r="Q140" s="2717"/>
      <c r="R140" s="2719"/>
    </row>
    <row r="141" spans="2:18" s="907" customFormat="1">
      <c r="B141" s="2717"/>
      <c r="C141" s="2717"/>
      <c r="D141" s="2717"/>
      <c r="E141" s="2717"/>
      <c r="F141" s="2717"/>
      <c r="G141" s="2718"/>
      <c r="H141" s="2717"/>
      <c r="I141" s="2718"/>
      <c r="J141" s="2717"/>
      <c r="K141" s="2717"/>
      <c r="L141" s="2718"/>
      <c r="M141" s="2717"/>
      <c r="N141" s="2717"/>
      <c r="O141" s="2718"/>
      <c r="P141" s="2717"/>
      <c r="Q141" s="2717"/>
      <c r="R141" s="2719"/>
    </row>
    <row r="142" spans="2:18" s="907" customFormat="1">
      <c r="B142" s="2717"/>
      <c r="C142" s="2717"/>
      <c r="D142" s="2717"/>
      <c r="E142" s="2717"/>
      <c r="F142" s="2717"/>
      <c r="G142" s="2718"/>
      <c r="H142" s="2717"/>
      <c r="I142" s="2718"/>
      <c r="J142" s="2717"/>
      <c r="K142" s="2717"/>
      <c r="L142" s="2718"/>
      <c r="M142" s="2717"/>
      <c r="N142" s="2717"/>
      <c r="O142" s="2718"/>
      <c r="P142" s="2717"/>
      <c r="Q142" s="2717"/>
      <c r="R142" s="2719"/>
    </row>
    <row r="143" spans="2:18" s="907" customFormat="1">
      <c r="B143" s="2717"/>
      <c r="C143" s="2717"/>
      <c r="D143" s="2717"/>
      <c r="E143" s="2717"/>
      <c r="F143" s="2717"/>
      <c r="G143" s="2718"/>
      <c r="H143" s="2717"/>
      <c r="I143" s="2718"/>
      <c r="J143" s="2717"/>
      <c r="K143" s="2717"/>
      <c r="L143" s="2718"/>
      <c r="M143" s="2717"/>
      <c r="N143" s="2717"/>
      <c r="O143" s="2718"/>
      <c r="P143" s="2717"/>
      <c r="Q143" s="2717"/>
      <c r="R143" s="2719"/>
    </row>
    <row r="144" spans="2:18" s="907" customFormat="1">
      <c r="B144" s="2717"/>
      <c r="C144" s="2717"/>
      <c r="D144" s="2717"/>
      <c r="E144" s="2717"/>
      <c r="F144" s="2717"/>
      <c r="G144" s="2718"/>
      <c r="H144" s="2717"/>
      <c r="I144" s="2718"/>
      <c r="J144" s="2717"/>
      <c r="K144" s="2717"/>
      <c r="L144" s="2718"/>
      <c r="M144" s="2717"/>
      <c r="N144" s="2717"/>
      <c r="O144" s="2718"/>
      <c r="P144" s="2717"/>
      <c r="Q144" s="2717"/>
      <c r="R144" s="2719"/>
    </row>
    <row r="145" spans="2:18" s="907" customFormat="1">
      <c r="B145" s="2717"/>
      <c r="C145" s="2717"/>
      <c r="D145" s="2717"/>
      <c r="E145" s="2717"/>
      <c r="F145" s="2717"/>
      <c r="G145" s="2718"/>
      <c r="H145" s="2717"/>
      <c r="I145" s="2718"/>
      <c r="J145" s="2717"/>
      <c r="K145" s="2717"/>
      <c r="L145" s="2718"/>
      <c r="M145" s="2717"/>
      <c r="N145" s="2717"/>
      <c r="O145" s="2718"/>
      <c r="P145" s="2717"/>
      <c r="Q145" s="2717"/>
      <c r="R145" s="2719"/>
    </row>
    <row r="146" spans="2:18" s="907" customFormat="1">
      <c r="B146" s="2717"/>
      <c r="C146" s="2717"/>
      <c r="D146" s="2717"/>
      <c r="E146" s="2717"/>
      <c r="F146" s="2717"/>
      <c r="G146" s="2718"/>
      <c r="H146" s="2717"/>
      <c r="I146" s="2718"/>
      <c r="J146" s="2717"/>
      <c r="K146" s="2717"/>
      <c r="L146" s="2718"/>
      <c r="M146" s="2717"/>
      <c r="N146" s="2717"/>
      <c r="O146" s="2718"/>
      <c r="P146" s="2717"/>
      <c r="Q146" s="2717"/>
      <c r="R146" s="2719"/>
    </row>
    <row r="147" spans="2:18" s="907" customFormat="1">
      <c r="B147" s="2717"/>
      <c r="C147" s="2717"/>
      <c r="D147" s="2717"/>
      <c r="E147" s="2717"/>
      <c r="F147" s="2717"/>
      <c r="G147" s="2718"/>
      <c r="H147" s="2717"/>
      <c r="I147" s="2718"/>
      <c r="J147" s="2717"/>
      <c r="K147" s="2717"/>
      <c r="L147" s="2718"/>
      <c r="M147" s="2717"/>
      <c r="N147" s="2717"/>
      <c r="O147" s="2718"/>
      <c r="P147" s="2717"/>
      <c r="Q147" s="2717"/>
      <c r="R147" s="2719"/>
    </row>
    <row r="148" spans="2:18" s="907" customFormat="1">
      <c r="B148" s="2717"/>
      <c r="C148" s="2717"/>
      <c r="D148" s="2717"/>
      <c r="E148" s="2717"/>
      <c r="F148" s="2717"/>
      <c r="G148" s="2718"/>
      <c r="H148" s="2717"/>
      <c r="I148" s="2718"/>
      <c r="J148" s="2717"/>
      <c r="K148" s="2717"/>
      <c r="L148" s="2718"/>
      <c r="M148" s="2717"/>
      <c r="N148" s="2717"/>
      <c r="O148" s="2718"/>
      <c r="P148" s="2717"/>
      <c r="Q148" s="2717"/>
      <c r="R148" s="2719"/>
    </row>
    <row r="149" spans="2:18" s="907" customFormat="1">
      <c r="B149" s="2717"/>
      <c r="C149" s="2717"/>
      <c r="D149" s="2717"/>
      <c r="E149" s="2717"/>
      <c r="F149" s="2717"/>
      <c r="G149" s="2718"/>
      <c r="H149" s="2717"/>
      <c r="I149" s="2718"/>
      <c r="J149" s="2717"/>
      <c r="K149" s="2717"/>
      <c r="L149" s="2718"/>
      <c r="M149" s="2717"/>
      <c r="N149" s="2717"/>
      <c r="O149" s="2718"/>
      <c r="P149" s="2717"/>
      <c r="Q149" s="2717"/>
      <c r="R149" s="2719"/>
    </row>
    <row r="150" spans="2:18" s="907" customFormat="1">
      <c r="B150" s="2717"/>
      <c r="C150" s="2717"/>
      <c r="D150" s="2717"/>
      <c r="E150" s="2717"/>
      <c r="F150" s="2717"/>
      <c r="G150" s="2718"/>
      <c r="H150" s="2717"/>
      <c r="I150" s="2718"/>
      <c r="J150" s="2717"/>
      <c r="K150" s="2717"/>
      <c r="L150" s="2718"/>
      <c r="M150" s="2717"/>
      <c r="N150" s="2717"/>
      <c r="O150" s="2718"/>
      <c r="P150" s="2717"/>
      <c r="Q150" s="2717"/>
      <c r="R150" s="2719"/>
    </row>
    <row r="151" spans="2:18" s="907" customFormat="1">
      <c r="B151" s="2717"/>
      <c r="C151" s="2717"/>
      <c r="D151" s="2717"/>
      <c r="E151" s="2717"/>
      <c r="F151" s="2717"/>
      <c r="G151" s="2718"/>
      <c r="H151" s="2717"/>
      <c r="I151" s="2718"/>
      <c r="J151" s="2717"/>
      <c r="K151" s="2717"/>
      <c r="L151" s="2718"/>
      <c r="M151" s="2717"/>
      <c r="N151" s="2717"/>
      <c r="O151" s="2718"/>
      <c r="P151" s="2717"/>
      <c r="Q151" s="2717"/>
      <c r="R151" s="2719"/>
    </row>
    <row r="152" spans="2:18" s="907" customFormat="1">
      <c r="B152" s="2717"/>
      <c r="C152" s="2717"/>
      <c r="D152" s="2717"/>
      <c r="E152" s="2717"/>
      <c r="F152" s="2717"/>
      <c r="G152" s="2718"/>
      <c r="H152" s="2717"/>
      <c r="I152" s="2718"/>
      <c r="J152" s="2717"/>
      <c r="K152" s="2717"/>
      <c r="L152" s="2718"/>
      <c r="M152" s="2717"/>
      <c r="N152" s="2717"/>
      <c r="O152" s="2718"/>
      <c r="P152" s="2717"/>
      <c r="Q152" s="2717"/>
      <c r="R152" s="2719"/>
    </row>
    <row r="153" spans="2:18" s="907" customFormat="1">
      <c r="B153" s="2717"/>
      <c r="C153" s="2717"/>
      <c r="D153" s="2717"/>
      <c r="E153" s="2717"/>
      <c r="F153" s="2717"/>
      <c r="G153" s="2718"/>
      <c r="H153" s="2717"/>
      <c r="I153" s="2718"/>
      <c r="J153" s="2717"/>
      <c r="K153" s="2717"/>
      <c r="L153" s="2718"/>
      <c r="M153" s="2717"/>
      <c r="N153" s="2717"/>
      <c r="O153" s="2718"/>
      <c r="P153" s="2717"/>
      <c r="Q153" s="2717"/>
      <c r="R153" s="2719"/>
    </row>
    <row r="154" spans="2:18" s="907" customFormat="1">
      <c r="B154" s="2717"/>
      <c r="C154" s="2717"/>
      <c r="D154" s="2717"/>
      <c r="E154" s="2717"/>
      <c r="F154" s="2717"/>
      <c r="G154" s="2718"/>
      <c r="H154" s="2717"/>
      <c r="I154" s="2718"/>
      <c r="J154" s="2717"/>
      <c r="K154" s="2717"/>
      <c r="L154" s="2718"/>
      <c r="M154" s="2717"/>
      <c r="N154" s="2717"/>
      <c r="O154" s="2718"/>
      <c r="P154" s="2717"/>
      <c r="Q154" s="2717"/>
      <c r="R154" s="2719"/>
    </row>
    <row r="155" spans="2:18" s="907" customFormat="1">
      <c r="B155" s="2717"/>
      <c r="C155" s="2717"/>
      <c r="D155" s="2717"/>
      <c r="E155" s="2717"/>
      <c r="F155" s="2717"/>
      <c r="G155" s="2718"/>
      <c r="H155" s="2717"/>
      <c r="I155" s="2718"/>
      <c r="J155" s="2717"/>
      <c r="K155" s="2717"/>
      <c r="L155" s="2718"/>
      <c r="M155" s="2717"/>
      <c r="N155" s="2717"/>
      <c r="O155" s="2718"/>
      <c r="P155" s="2717"/>
      <c r="Q155" s="2717"/>
      <c r="R155" s="2719"/>
    </row>
    <row r="156" spans="2:18" s="907" customFormat="1">
      <c r="B156" s="2717"/>
      <c r="C156" s="2717"/>
      <c r="D156" s="2717"/>
      <c r="E156" s="2717"/>
      <c r="F156" s="2717"/>
      <c r="G156" s="2718"/>
      <c r="H156" s="2717"/>
      <c r="I156" s="2718"/>
      <c r="J156" s="2717"/>
      <c r="K156" s="2717"/>
      <c r="L156" s="2718"/>
      <c r="M156" s="2717"/>
      <c r="N156" s="2717"/>
      <c r="O156" s="2718"/>
      <c r="P156" s="2717"/>
      <c r="Q156" s="2717"/>
      <c r="R156" s="2719"/>
    </row>
    <row r="157" spans="2:18" s="907" customFormat="1">
      <c r="B157" s="2717"/>
      <c r="C157" s="2717"/>
      <c r="D157" s="2717"/>
      <c r="E157" s="2717"/>
      <c r="F157" s="2717"/>
      <c r="G157" s="2718"/>
      <c r="H157" s="2717"/>
      <c r="I157" s="2718"/>
      <c r="J157" s="2717"/>
      <c r="K157" s="2717"/>
      <c r="L157" s="2718"/>
      <c r="M157" s="2717"/>
      <c r="N157" s="2717"/>
      <c r="O157" s="2718"/>
      <c r="P157" s="2717"/>
      <c r="Q157" s="2717"/>
      <c r="R157" s="2719"/>
    </row>
    <row r="158" spans="2:18" s="907" customFormat="1">
      <c r="B158" s="2717"/>
      <c r="C158" s="2717"/>
      <c r="D158" s="2717"/>
      <c r="E158" s="2717"/>
      <c r="F158" s="2717"/>
      <c r="G158" s="2718"/>
      <c r="H158" s="2717"/>
      <c r="I158" s="2718"/>
      <c r="J158" s="2717"/>
      <c r="K158" s="2717"/>
      <c r="L158" s="2718"/>
      <c r="M158" s="2717"/>
      <c r="N158" s="2717"/>
      <c r="O158" s="2718"/>
      <c r="P158" s="2717"/>
      <c r="Q158" s="2717"/>
      <c r="R158" s="2719"/>
    </row>
    <row r="159" spans="2:18" s="907" customFormat="1">
      <c r="B159" s="2717"/>
      <c r="C159" s="2717"/>
      <c r="D159" s="2717"/>
      <c r="E159" s="2717"/>
      <c r="F159" s="2717"/>
      <c r="G159" s="2718"/>
      <c r="H159" s="2717"/>
      <c r="I159" s="2718"/>
      <c r="J159" s="2717"/>
      <c r="K159" s="2717"/>
      <c r="L159" s="2718"/>
      <c r="M159" s="2717"/>
      <c r="N159" s="2717"/>
      <c r="O159" s="2718"/>
      <c r="P159" s="2717"/>
      <c r="Q159" s="2717"/>
      <c r="R159" s="2719"/>
    </row>
    <row r="160" spans="2:18" s="907" customFormat="1">
      <c r="B160" s="2717"/>
      <c r="C160" s="2717"/>
      <c r="D160" s="2717"/>
      <c r="E160" s="2717"/>
      <c r="F160" s="2717"/>
      <c r="G160" s="2718"/>
      <c r="H160" s="2717"/>
      <c r="I160" s="2718"/>
      <c r="J160" s="2717"/>
      <c r="K160" s="2717"/>
      <c r="L160" s="2718"/>
      <c r="M160" s="2717"/>
      <c r="N160" s="2717"/>
      <c r="O160" s="2718"/>
      <c r="P160" s="2717"/>
      <c r="Q160" s="2717"/>
      <c r="R160" s="2719"/>
    </row>
    <row r="161" spans="2:18" s="907" customFormat="1">
      <c r="B161" s="2717"/>
      <c r="C161" s="2717"/>
      <c r="D161" s="2717"/>
      <c r="E161" s="2717"/>
      <c r="F161" s="2717"/>
      <c r="G161" s="2718"/>
      <c r="H161" s="2717"/>
      <c r="I161" s="2718"/>
      <c r="J161" s="2717"/>
      <c r="K161" s="2717"/>
      <c r="L161" s="2718"/>
      <c r="M161" s="2717"/>
      <c r="N161" s="2717"/>
      <c r="O161" s="2718"/>
      <c r="P161" s="2717"/>
      <c r="Q161" s="2717"/>
      <c r="R161" s="2719"/>
    </row>
    <row r="162" spans="2:18" s="907" customFormat="1">
      <c r="B162" s="2717"/>
      <c r="C162" s="2717"/>
      <c r="D162" s="2717"/>
      <c r="E162" s="2717"/>
      <c r="F162" s="2717"/>
      <c r="G162" s="2718"/>
      <c r="H162" s="2717"/>
      <c r="I162" s="2718"/>
      <c r="J162" s="2717"/>
      <c r="K162" s="2717"/>
      <c r="L162" s="2718"/>
      <c r="M162" s="2717"/>
      <c r="N162" s="2717"/>
      <c r="O162" s="2718"/>
      <c r="P162" s="2717"/>
      <c r="Q162" s="2717"/>
      <c r="R162" s="2719"/>
    </row>
    <row r="163" spans="2:18" s="907" customFormat="1">
      <c r="B163" s="2717"/>
      <c r="C163" s="2717"/>
      <c r="D163" s="2717"/>
      <c r="E163" s="2717"/>
      <c r="F163" s="2717"/>
      <c r="G163" s="2718"/>
      <c r="H163" s="2717"/>
      <c r="I163" s="2718"/>
      <c r="J163" s="2717"/>
      <c r="K163" s="2717"/>
      <c r="L163" s="2718"/>
      <c r="M163" s="2717"/>
      <c r="N163" s="2717"/>
      <c r="O163" s="2718"/>
      <c r="P163" s="2717"/>
      <c r="Q163" s="2717"/>
      <c r="R163" s="2719"/>
    </row>
    <row r="164" spans="2:18" s="907" customFormat="1">
      <c r="B164" s="2717"/>
      <c r="C164" s="2717"/>
      <c r="D164" s="2717"/>
      <c r="E164" s="2717"/>
      <c r="F164" s="2717"/>
      <c r="G164" s="2718"/>
      <c r="H164" s="2717"/>
      <c r="I164" s="2718"/>
      <c r="J164" s="2717"/>
      <c r="K164" s="2717"/>
      <c r="L164" s="2718"/>
      <c r="M164" s="2717"/>
      <c r="N164" s="2717"/>
      <c r="O164" s="2718"/>
      <c r="P164" s="2717"/>
      <c r="Q164" s="2717"/>
      <c r="R164" s="2719"/>
    </row>
    <row r="165" spans="2:18" s="907" customFormat="1">
      <c r="B165" s="2717"/>
      <c r="C165" s="2717"/>
      <c r="D165" s="2717"/>
      <c r="E165" s="2717"/>
      <c r="F165" s="2717"/>
      <c r="G165" s="2718"/>
      <c r="H165" s="2717"/>
      <c r="I165" s="2718"/>
      <c r="J165" s="2717"/>
      <c r="K165" s="2717"/>
      <c r="L165" s="2718"/>
      <c r="M165" s="2717"/>
      <c r="N165" s="2717"/>
      <c r="O165" s="2718"/>
      <c r="P165" s="2717"/>
      <c r="Q165" s="2717"/>
      <c r="R165" s="2719"/>
    </row>
    <row r="166" spans="2:18" s="907" customFormat="1">
      <c r="B166" s="2717"/>
      <c r="C166" s="2717"/>
      <c r="D166" s="2717"/>
      <c r="E166" s="2717"/>
      <c r="F166" s="2717"/>
      <c r="G166" s="2718"/>
      <c r="H166" s="2717"/>
      <c r="I166" s="2718"/>
      <c r="J166" s="2717"/>
      <c r="K166" s="2717"/>
      <c r="L166" s="2718"/>
      <c r="M166" s="2717"/>
      <c r="N166" s="2717"/>
      <c r="O166" s="2718"/>
      <c r="P166" s="2717"/>
      <c r="Q166" s="2717"/>
      <c r="R166" s="2719"/>
    </row>
    <row r="167" spans="2:18" s="907" customFormat="1">
      <c r="B167" s="2717"/>
      <c r="C167" s="2717"/>
      <c r="D167" s="2717"/>
      <c r="E167" s="2717"/>
      <c r="F167" s="2717"/>
      <c r="G167" s="2718"/>
      <c r="H167" s="2717"/>
      <c r="I167" s="2718"/>
      <c r="J167" s="2717"/>
      <c r="K167" s="2717"/>
      <c r="L167" s="2718"/>
      <c r="M167" s="2717"/>
      <c r="N167" s="2717"/>
      <c r="O167" s="2718"/>
      <c r="P167" s="2717"/>
      <c r="Q167" s="2717"/>
      <c r="R167" s="2719"/>
    </row>
    <row r="168" spans="2:18" s="907" customFormat="1">
      <c r="B168" s="2717"/>
      <c r="C168" s="2717"/>
      <c r="D168" s="2717"/>
      <c r="E168" s="2717"/>
      <c r="F168" s="2717"/>
      <c r="G168" s="2718"/>
      <c r="H168" s="2717"/>
      <c r="I168" s="2718"/>
      <c r="J168" s="2717"/>
      <c r="K168" s="2717"/>
      <c r="L168" s="2718"/>
      <c r="M168" s="2717"/>
      <c r="N168" s="2717"/>
      <c r="O168" s="2718"/>
      <c r="P168" s="2717"/>
      <c r="Q168" s="2717"/>
      <c r="R168" s="2719"/>
    </row>
    <row r="169" spans="2:18" s="907" customFormat="1">
      <c r="B169" s="2717"/>
      <c r="C169" s="2717"/>
      <c r="D169" s="2717"/>
      <c r="E169" s="2717"/>
      <c r="F169" s="2717"/>
      <c r="G169" s="2718"/>
      <c r="H169" s="2717"/>
      <c r="I169" s="2718"/>
      <c r="J169" s="2717"/>
      <c r="K169" s="2717"/>
      <c r="L169" s="2718"/>
      <c r="M169" s="2717"/>
      <c r="N169" s="2717"/>
      <c r="O169" s="2718"/>
      <c r="P169" s="2717"/>
      <c r="Q169" s="2717"/>
      <c r="R169" s="2719"/>
    </row>
    <row r="170" spans="2:18" s="907" customFormat="1">
      <c r="B170" s="2717"/>
      <c r="C170" s="2717"/>
      <c r="D170" s="2717"/>
      <c r="E170" s="2717"/>
      <c r="F170" s="2717"/>
      <c r="G170" s="2718"/>
      <c r="H170" s="2717"/>
      <c r="I170" s="2718"/>
      <c r="J170" s="2717"/>
      <c r="K170" s="2717"/>
      <c r="L170" s="2718"/>
      <c r="M170" s="2717"/>
      <c r="N170" s="2717"/>
      <c r="O170" s="2718"/>
      <c r="P170" s="2717"/>
      <c r="Q170" s="2717"/>
      <c r="R170" s="2719"/>
    </row>
    <row r="171" spans="2:18" s="907" customFormat="1">
      <c r="B171" s="2717"/>
      <c r="C171" s="2717"/>
      <c r="D171" s="2717"/>
      <c r="E171" s="2717"/>
      <c r="F171" s="2717"/>
      <c r="G171" s="2718"/>
      <c r="H171" s="2717"/>
      <c r="I171" s="2718"/>
      <c r="J171" s="2717"/>
      <c r="K171" s="2717"/>
      <c r="L171" s="2718"/>
      <c r="M171" s="2717"/>
      <c r="N171" s="2717"/>
      <c r="O171" s="2718"/>
      <c r="P171" s="2717"/>
      <c r="Q171" s="2717"/>
      <c r="R171" s="2719"/>
    </row>
    <row r="172" spans="2:18" s="907" customFormat="1">
      <c r="B172" s="2717"/>
      <c r="C172" s="2717"/>
      <c r="D172" s="2717"/>
      <c r="E172" s="2717"/>
      <c r="F172" s="2717"/>
      <c r="G172" s="2718"/>
      <c r="H172" s="2717"/>
      <c r="I172" s="2718"/>
      <c r="J172" s="2717"/>
      <c r="K172" s="2717"/>
      <c r="L172" s="2718"/>
      <c r="M172" s="2717"/>
      <c r="N172" s="2717"/>
      <c r="O172" s="2718"/>
      <c r="P172" s="2717"/>
      <c r="Q172" s="2717"/>
      <c r="R172" s="2719"/>
    </row>
    <row r="173" spans="2:18" s="907" customFormat="1">
      <c r="B173" s="2717"/>
      <c r="C173" s="2717"/>
      <c r="D173" s="2717"/>
      <c r="E173" s="2717"/>
      <c r="F173" s="2717"/>
      <c r="G173" s="2718"/>
      <c r="H173" s="2717"/>
      <c r="I173" s="2718"/>
      <c r="J173" s="2717"/>
      <c r="K173" s="2717"/>
      <c r="L173" s="2718"/>
      <c r="M173" s="2717"/>
      <c r="N173" s="2717"/>
      <c r="O173" s="2718"/>
      <c r="P173" s="2717"/>
      <c r="Q173" s="2717"/>
      <c r="R173" s="2719"/>
    </row>
    <row r="174" spans="2:18" s="907" customFormat="1">
      <c r="B174" s="2717"/>
      <c r="C174" s="2717"/>
      <c r="D174" s="2717"/>
      <c r="E174" s="2717"/>
      <c r="F174" s="2717"/>
      <c r="G174" s="2718"/>
      <c r="H174" s="2717"/>
      <c r="I174" s="2718"/>
      <c r="J174" s="2717"/>
      <c r="K174" s="2717"/>
      <c r="L174" s="2718"/>
      <c r="M174" s="2717"/>
      <c r="N174" s="2717"/>
      <c r="O174" s="2718"/>
      <c r="P174" s="2717"/>
      <c r="Q174" s="2717"/>
      <c r="R174" s="2719"/>
    </row>
    <row r="175" spans="2:18" s="907" customFormat="1">
      <c r="B175" s="2717"/>
      <c r="C175" s="2717"/>
      <c r="D175" s="2717"/>
      <c r="E175" s="2717"/>
      <c r="F175" s="2717"/>
      <c r="G175" s="2718"/>
      <c r="H175" s="2717"/>
      <c r="I175" s="2718"/>
      <c r="J175" s="2717"/>
      <c r="K175" s="2717"/>
      <c r="L175" s="2718"/>
      <c r="M175" s="2717"/>
      <c r="N175" s="2717"/>
      <c r="O175" s="2718"/>
      <c r="P175" s="2717"/>
      <c r="Q175" s="2717"/>
      <c r="R175" s="2719"/>
    </row>
    <row r="176" spans="2:18" s="907" customFormat="1">
      <c r="B176" s="2717"/>
      <c r="C176" s="2717"/>
      <c r="D176" s="2717"/>
      <c r="E176" s="2717"/>
      <c r="F176" s="2717"/>
      <c r="G176" s="2718"/>
      <c r="H176" s="2717"/>
      <c r="I176" s="2718"/>
      <c r="J176" s="2717"/>
      <c r="K176" s="2717"/>
      <c r="L176" s="2718"/>
      <c r="M176" s="2717"/>
      <c r="N176" s="2717"/>
      <c r="O176" s="2718"/>
      <c r="P176" s="2717"/>
      <c r="Q176" s="2717"/>
      <c r="R176" s="2719"/>
    </row>
    <row r="177" spans="1:18" s="907" customFormat="1">
      <c r="B177" s="2717"/>
      <c r="C177" s="2717"/>
      <c r="D177" s="2717"/>
      <c r="E177" s="2717"/>
      <c r="F177" s="2717"/>
      <c r="G177" s="2718"/>
      <c r="H177" s="2717"/>
      <c r="I177" s="2718"/>
      <c r="J177" s="2717"/>
      <c r="K177" s="2717"/>
      <c r="L177" s="2718"/>
      <c r="M177" s="2717"/>
      <c r="N177" s="2717"/>
      <c r="O177" s="2718"/>
      <c r="P177" s="2717"/>
      <c r="Q177" s="2717"/>
      <c r="R177" s="2719"/>
    </row>
    <row r="178" spans="1:18" s="907" customFormat="1">
      <c r="B178" s="2717"/>
      <c r="C178" s="2717"/>
      <c r="D178" s="2717"/>
      <c r="E178" s="2717"/>
      <c r="F178" s="2717"/>
      <c r="G178" s="2718"/>
      <c r="H178" s="2717"/>
      <c r="I178" s="2718"/>
      <c r="J178" s="2717"/>
      <c r="K178" s="2717"/>
      <c r="L178" s="2718"/>
      <c r="M178" s="2717"/>
      <c r="N178" s="2717"/>
      <c r="O178" s="2718"/>
      <c r="P178" s="2717"/>
      <c r="Q178" s="2717"/>
      <c r="R178" s="2719"/>
    </row>
    <row r="179" spans="1:18" s="907" customFormat="1">
      <c r="B179" s="2717"/>
      <c r="C179" s="2717"/>
      <c r="D179" s="2717"/>
      <c r="E179" s="2717"/>
      <c r="F179" s="2717"/>
      <c r="G179" s="2718"/>
      <c r="H179" s="2717"/>
      <c r="I179" s="2718"/>
      <c r="J179" s="2717"/>
      <c r="K179" s="2717"/>
      <c r="L179" s="2718"/>
      <c r="M179" s="2717"/>
      <c r="N179" s="2717"/>
      <c r="O179" s="2718"/>
      <c r="P179" s="2717"/>
      <c r="Q179" s="2717"/>
      <c r="R179" s="2719"/>
    </row>
    <row r="180" spans="1:18" s="907" customFormat="1">
      <c r="B180" s="2717"/>
      <c r="C180" s="2717"/>
      <c r="D180" s="2717"/>
      <c r="E180" s="2717"/>
      <c r="F180" s="2717"/>
      <c r="G180" s="2718"/>
      <c r="H180" s="2717"/>
      <c r="I180" s="2718"/>
      <c r="J180" s="2717"/>
      <c r="K180" s="2717"/>
      <c r="L180" s="2718"/>
      <c r="M180" s="2717"/>
      <c r="N180" s="2717"/>
      <c r="O180" s="2718"/>
      <c r="P180" s="2717"/>
      <c r="Q180" s="2717"/>
      <c r="R180" s="2719"/>
    </row>
    <row r="181" spans="1:18" s="907" customFormat="1">
      <c r="B181" s="2717"/>
      <c r="C181" s="2717"/>
      <c r="D181" s="2717"/>
      <c r="E181" s="2717"/>
      <c r="F181" s="2717"/>
      <c r="G181" s="2718"/>
      <c r="H181" s="2717"/>
      <c r="I181" s="2718"/>
      <c r="J181" s="2717"/>
      <c r="K181" s="2717"/>
      <c r="L181" s="2718"/>
      <c r="M181" s="2717"/>
      <c r="N181" s="2717"/>
      <c r="O181" s="2718"/>
      <c r="P181" s="2717"/>
      <c r="Q181" s="2717"/>
      <c r="R181" s="2719"/>
    </row>
    <row r="182" spans="1:18" s="907" customFormat="1">
      <c r="B182" s="2717"/>
      <c r="C182" s="2717"/>
      <c r="D182" s="2717"/>
      <c r="E182" s="2717"/>
      <c r="F182" s="2717"/>
      <c r="G182" s="2718"/>
      <c r="H182" s="2717"/>
      <c r="I182" s="2718"/>
      <c r="J182" s="2717"/>
      <c r="K182" s="2717"/>
      <c r="L182" s="2718"/>
      <c r="M182" s="2717"/>
      <c r="N182" s="2717"/>
      <c r="O182" s="2718"/>
      <c r="P182" s="2717"/>
      <c r="Q182" s="2717"/>
      <c r="R182" s="2719"/>
    </row>
    <row r="183" spans="1:18" s="907" customFormat="1">
      <c r="B183" s="2717"/>
      <c r="C183" s="2717"/>
      <c r="D183" s="2717"/>
      <c r="E183" s="2717"/>
      <c r="F183" s="2717"/>
      <c r="G183" s="2718"/>
      <c r="H183" s="2717"/>
      <c r="I183" s="2718"/>
      <c r="J183" s="2717"/>
      <c r="K183" s="2717"/>
      <c r="L183" s="2718"/>
      <c r="M183" s="2717"/>
      <c r="N183" s="2717"/>
      <c r="O183" s="2718"/>
      <c r="P183" s="2717"/>
      <c r="Q183" s="2717"/>
      <c r="R183" s="2719"/>
    </row>
    <row r="184" spans="1:18" s="907" customFormat="1">
      <c r="B184" s="2717"/>
      <c r="C184" s="2717"/>
      <c r="D184" s="2717"/>
      <c r="E184" s="2717"/>
      <c r="F184" s="2717"/>
      <c r="G184" s="2718"/>
      <c r="H184" s="2717"/>
      <c r="I184" s="2718"/>
      <c r="J184" s="2717"/>
      <c r="K184" s="2717"/>
      <c r="L184" s="2718"/>
      <c r="M184" s="2717"/>
      <c r="N184" s="2717"/>
      <c r="O184" s="2718"/>
      <c r="P184" s="2717"/>
      <c r="Q184" s="2717"/>
      <c r="R184" s="2719"/>
    </row>
    <row r="185" spans="1:18" s="907" customFormat="1">
      <c r="B185" s="2717"/>
      <c r="C185" s="2717"/>
      <c r="D185" s="2717"/>
      <c r="E185" s="2717"/>
      <c r="F185" s="2717"/>
      <c r="G185" s="2718"/>
      <c r="H185" s="2717"/>
      <c r="I185" s="2718"/>
      <c r="J185" s="2717"/>
      <c r="K185" s="2717"/>
      <c r="L185" s="2718"/>
      <c r="M185" s="2717"/>
      <c r="N185" s="2717"/>
      <c r="O185" s="2718"/>
      <c r="P185" s="2717"/>
      <c r="Q185" s="2717"/>
      <c r="R185" s="2719"/>
    </row>
    <row r="186" spans="1:18">
      <c r="A186" s="907"/>
      <c r="B186" s="2717"/>
      <c r="C186" s="2717"/>
      <c r="E186" s="2717"/>
      <c r="F186" s="2717"/>
      <c r="G186" s="2718"/>
    </row>
    <row r="187" spans="1:18">
      <c r="A187" s="907"/>
      <c r="B187" s="2717"/>
      <c r="C187" s="2717"/>
      <c r="E187" s="2717"/>
      <c r="F187" s="2717"/>
      <c r="G187" s="271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9" customWidth="1"/>
    <col min="2" max="9" width="15.625" style="2739" customWidth="1"/>
    <col min="10" max="16384" width="9" style="2739"/>
  </cols>
  <sheetData>
    <row r="1" spans="1:11" ht="16.5">
      <c r="A1" s="2738" t="s">
        <v>1331</v>
      </c>
      <c r="B1" s="2738">
        <f>SUM(B14:B23)</f>
        <v>198.07</v>
      </c>
      <c r="C1" s="2915"/>
      <c r="D1" s="2915"/>
      <c r="E1" s="2915"/>
      <c r="F1" s="2915"/>
      <c r="G1" s="2916"/>
      <c r="H1" s="2917"/>
      <c r="I1" s="2917"/>
      <c r="J1" s="2917"/>
      <c r="K1" s="2917"/>
    </row>
    <row r="2" spans="1:11" ht="16.5">
      <c r="A2" s="2738" t="s">
        <v>1319</v>
      </c>
      <c r="B2" s="2738">
        <f>SUM(C14:C23)</f>
        <v>1442.46</v>
      </c>
      <c r="C2" s="2915"/>
      <c r="D2" s="2915"/>
      <c r="E2" s="2915"/>
      <c r="F2" s="2915"/>
      <c r="G2" s="2916"/>
      <c r="H2" s="2917"/>
      <c r="I2" s="2917"/>
      <c r="J2" s="2917"/>
      <c r="K2" s="2917"/>
    </row>
    <row r="3" spans="1:11" ht="16.5">
      <c r="A3" s="2738" t="s">
        <v>1328</v>
      </c>
      <c r="B3" s="2740">
        <f>项目基本情况!D3</f>
        <v>44357</v>
      </c>
      <c r="C3" s="2915"/>
      <c r="D3" s="2915"/>
      <c r="E3" s="2915"/>
      <c r="F3" s="2915"/>
      <c r="G3" s="2916"/>
      <c r="H3" s="2917"/>
      <c r="I3" s="2917"/>
      <c r="J3" s="2917"/>
      <c r="K3" s="2917"/>
    </row>
    <row r="4" spans="1:11" ht="33">
      <c r="A4" s="2738" t="s">
        <v>1327</v>
      </c>
      <c r="B4" s="2738" t="s">
        <v>1326</v>
      </c>
      <c r="C4" s="2738" t="s">
        <v>1325</v>
      </c>
      <c r="D4" s="2738" t="s">
        <v>1324</v>
      </c>
      <c r="E4" s="2915"/>
      <c r="F4" s="2916"/>
      <c r="G4" s="2916"/>
      <c r="H4" s="2917"/>
      <c r="I4" s="2917"/>
      <c r="J4" s="2917"/>
      <c r="K4" s="2917"/>
    </row>
    <row r="5" spans="1:11" ht="16.5">
      <c r="A5" s="2738" t="s">
        <v>1323</v>
      </c>
      <c r="B5" s="2738">
        <f ca="1">SUM(D14:D23)</f>
        <v>329</v>
      </c>
      <c r="C5" s="2738">
        <f ca="1">ROUND(B5*10000/$B$1,0)</f>
        <v>16610</v>
      </c>
      <c r="D5" s="2738">
        <f ca="1">ROUND(B5*10000/$B$2,0)</f>
        <v>2281</v>
      </c>
      <c r="E5" s="2915"/>
      <c r="F5" s="2916"/>
      <c r="G5" s="2916"/>
      <c r="H5" s="2917"/>
      <c r="I5" s="2917"/>
      <c r="J5" s="2917"/>
      <c r="K5" s="2917"/>
    </row>
    <row r="6" spans="1:11" ht="16.5">
      <c r="A6" s="2738" t="s">
        <v>1322</v>
      </c>
      <c r="B6" s="2738">
        <f>SUM(G14:G23)</f>
        <v>0</v>
      </c>
      <c r="C6" s="2738">
        <f>ROUND(B6*10000/$B$1,0)</f>
        <v>0</v>
      </c>
      <c r="D6" s="2738">
        <f>ROUND(B6*10000/$B$2,0)</f>
        <v>0</v>
      </c>
      <c r="E6" s="2915"/>
      <c r="F6" s="2916"/>
      <c r="G6" s="2916"/>
      <c r="H6" s="2917"/>
      <c r="I6" s="2917"/>
      <c r="J6" s="2917"/>
      <c r="K6" s="2917"/>
    </row>
    <row r="7" spans="1:11" ht="16.5">
      <c r="A7" s="2738" t="s">
        <v>1330</v>
      </c>
      <c r="B7" s="2738">
        <f ca="1">SUM(H14:H23)</f>
        <v>329</v>
      </c>
      <c r="C7" s="2738">
        <f ca="1">ROUND(B7*10000/$B$1,0)</f>
        <v>16610</v>
      </c>
      <c r="D7" s="2738">
        <f ca="1">ROUND(B7*10000/$B$2,0)</f>
        <v>2281</v>
      </c>
      <c r="E7" s="2915"/>
      <c r="F7" s="2916"/>
      <c r="G7" s="2916"/>
      <c r="H7" s="2917"/>
      <c r="I7" s="2917"/>
      <c r="J7" s="2917"/>
      <c r="K7" s="2917"/>
    </row>
    <row r="8" spans="1:11" ht="16.5">
      <c r="A8" s="2738" t="s">
        <v>1252</v>
      </c>
      <c r="B8" s="2738">
        <f>SUM(I14:I23)</f>
        <v>0</v>
      </c>
      <c r="C8" s="2738">
        <f>ROUND(B8*10000/$B$1,0)</f>
        <v>0</v>
      </c>
      <c r="D8" s="2738">
        <f>ROUND(B8*10000/$B$2,0)</f>
        <v>0</v>
      </c>
      <c r="E8" s="2915"/>
      <c r="F8" s="2916"/>
      <c r="G8" s="2916"/>
      <c r="H8" s="2917"/>
      <c r="I8" s="2917"/>
      <c r="J8" s="2917"/>
      <c r="K8" s="2917"/>
    </row>
    <row r="9" spans="1:11" ht="16.5">
      <c r="A9" s="2738" t="s">
        <v>1321</v>
      </c>
      <c r="B9" s="2746"/>
      <c r="C9" s="2915"/>
      <c r="D9" s="2915"/>
      <c r="E9" s="2915"/>
      <c r="F9" s="2916"/>
      <c r="G9" s="2916"/>
      <c r="H9" s="2917"/>
      <c r="I9" s="2917"/>
      <c r="J9" s="2917"/>
      <c r="K9" s="2917"/>
    </row>
    <row r="10" spans="1:11" ht="16.5">
      <c r="A10" s="2738" t="s">
        <v>1320</v>
      </c>
      <c r="B10" s="2746"/>
      <c r="C10" s="2915"/>
      <c r="D10" s="2915"/>
      <c r="E10" s="2915"/>
      <c r="F10" s="2916"/>
      <c r="G10" s="2916"/>
      <c r="H10" s="2917"/>
      <c r="I10" s="2917"/>
      <c r="J10" s="2917"/>
      <c r="K10" s="2917"/>
    </row>
    <row r="11" spans="1:11" ht="16.5">
      <c r="A11" s="2738" t="s">
        <v>1336</v>
      </c>
      <c r="B11" s="2746"/>
      <c r="C11" s="2915"/>
      <c r="D11" s="2915"/>
      <c r="E11" s="2915"/>
      <c r="F11" s="2916"/>
      <c r="G11" s="2916"/>
      <c r="H11" s="2917"/>
      <c r="I11" s="2917"/>
      <c r="J11" s="2917"/>
      <c r="K11" s="2917"/>
    </row>
    <row r="12" spans="1:11" ht="16.5">
      <c r="A12" s="2915"/>
      <c r="B12" s="2915"/>
      <c r="C12" s="2915"/>
      <c r="D12" s="2915"/>
      <c r="E12" s="2915"/>
      <c r="F12" s="2916"/>
      <c r="G12" s="2916"/>
      <c r="H12" s="2917"/>
      <c r="I12" s="2917"/>
      <c r="J12" s="2917"/>
      <c r="K12" s="2917"/>
    </row>
    <row r="13" spans="1:11" ht="33">
      <c r="A13" s="2741" t="s">
        <v>1335</v>
      </c>
      <c r="B13" s="2742" t="s">
        <v>1332</v>
      </c>
      <c r="C13" s="2742" t="s">
        <v>1334</v>
      </c>
      <c r="D13" s="2742" t="s">
        <v>1333</v>
      </c>
      <c r="E13" s="2738" t="s">
        <v>1325</v>
      </c>
      <c r="F13" s="2738" t="s">
        <v>1324</v>
      </c>
      <c r="G13" s="2742" t="s">
        <v>1318</v>
      </c>
      <c r="H13" s="2742" t="s">
        <v>1329</v>
      </c>
      <c r="I13" s="2742" t="s">
        <v>1317</v>
      </c>
      <c r="J13" s="2916"/>
      <c r="K13" s="2917"/>
    </row>
    <row r="14" spans="1:11" ht="16.5">
      <c r="A14" s="2743" t="s">
        <v>1316</v>
      </c>
      <c r="B14" s="2744">
        <f>结果表!B118</f>
        <v>198.07</v>
      </c>
      <c r="C14" s="2744">
        <f>结果表!C118</f>
        <v>1442.46</v>
      </c>
      <c r="D14" s="2744">
        <f ca="1">结果表!H118</f>
        <v>329</v>
      </c>
      <c r="E14" s="2744">
        <f ca="1">ROUND(D14*10000/B14,0)</f>
        <v>16610</v>
      </c>
      <c r="F14" s="2744">
        <f ca="1">ROUND(D14*10000/C14,0)</f>
        <v>2281</v>
      </c>
      <c r="G14" s="2744" t="str">
        <f>结果表!D122</f>
        <v>——</v>
      </c>
      <c r="H14" s="2744">
        <f ca="1">结果表!D124</f>
        <v>329</v>
      </c>
      <c r="I14" s="2744" t="str">
        <f>结果表!D126</f>
        <v>——</v>
      </c>
      <c r="J14" s="2916"/>
      <c r="K14" s="2917"/>
    </row>
    <row r="15" spans="1:11" ht="16.5">
      <c r="A15" s="2743" t="s">
        <v>1315</v>
      </c>
      <c r="B15" s="2745"/>
      <c r="C15" s="2745"/>
      <c r="D15" s="2745"/>
      <c r="E15" s="2744" t="e">
        <f t="shared" ref="E15:E23" si="0">ROUND(D15*10000/B15,0)</f>
        <v>#DIV/0!</v>
      </c>
      <c r="F15" s="2744" t="e">
        <f t="shared" ref="F15:F23" si="1">ROUND(D15*10000/C15,0)</f>
        <v>#DIV/0!</v>
      </c>
      <c r="G15" s="1500"/>
      <c r="H15" s="1500"/>
      <c r="I15" s="2745"/>
      <c r="J15" s="2916"/>
      <c r="K15" s="2917"/>
    </row>
    <row r="16" spans="1:11" ht="16.5">
      <c r="A16" s="2743" t="s">
        <v>1314</v>
      </c>
      <c r="B16" s="2745"/>
      <c r="C16" s="2745"/>
      <c r="D16" s="2745"/>
      <c r="E16" s="2744" t="e">
        <f t="shared" si="0"/>
        <v>#DIV/0!</v>
      </c>
      <c r="F16" s="2744" t="e">
        <f t="shared" si="1"/>
        <v>#DIV/0!</v>
      </c>
      <c r="G16" s="1500"/>
      <c r="H16" s="1500"/>
      <c r="I16" s="2745"/>
      <c r="J16" s="2917"/>
      <c r="K16" s="2917"/>
    </row>
    <row r="17" spans="1:11" ht="16.5">
      <c r="A17" s="2743" t="s">
        <v>1313</v>
      </c>
      <c r="B17" s="2745"/>
      <c r="C17" s="2745"/>
      <c r="D17" s="2745"/>
      <c r="E17" s="2744" t="e">
        <f t="shared" si="0"/>
        <v>#DIV/0!</v>
      </c>
      <c r="F17" s="2744" t="e">
        <f t="shared" si="1"/>
        <v>#DIV/0!</v>
      </c>
      <c r="G17" s="1500"/>
      <c r="H17" s="1500"/>
      <c r="I17" s="2745"/>
      <c r="J17" s="2917"/>
      <c r="K17" s="2917"/>
    </row>
    <row r="18" spans="1:11" ht="16.5">
      <c r="A18" s="2743" t="s">
        <v>1312</v>
      </c>
      <c r="B18" s="2745"/>
      <c r="C18" s="2745"/>
      <c r="D18" s="2745"/>
      <c r="E18" s="2744" t="e">
        <f t="shared" si="0"/>
        <v>#DIV/0!</v>
      </c>
      <c r="F18" s="2744" t="e">
        <f t="shared" si="1"/>
        <v>#DIV/0!</v>
      </c>
      <c r="G18" s="2745"/>
      <c r="H18" s="2745"/>
      <c r="I18" s="2745"/>
      <c r="J18" s="2917"/>
      <c r="K18" s="2917"/>
    </row>
    <row r="19" spans="1:11" ht="16.5">
      <c r="A19" s="2743" t="s">
        <v>1311</v>
      </c>
      <c r="B19" s="2745"/>
      <c r="C19" s="2745"/>
      <c r="D19" s="2745"/>
      <c r="E19" s="2744" t="e">
        <f t="shared" si="0"/>
        <v>#DIV/0!</v>
      </c>
      <c r="F19" s="2744" t="e">
        <f t="shared" si="1"/>
        <v>#DIV/0!</v>
      </c>
      <c r="G19" s="2745"/>
      <c r="H19" s="2745"/>
      <c r="I19" s="2745"/>
      <c r="J19" s="2917"/>
      <c r="K19" s="2917"/>
    </row>
    <row r="20" spans="1:11" ht="16.5">
      <c r="A20" s="2743" t="s">
        <v>1310</v>
      </c>
      <c r="B20" s="2745"/>
      <c r="C20" s="2745"/>
      <c r="D20" s="2745"/>
      <c r="E20" s="2744" t="e">
        <f t="shared" si="0"/>
        <v>#DIV/0!</v>
      </c>
      <c r="F20" s="2744" t="e">
        <f t="shared" si="1"/>
        <v>#DIV/0!</v>
      </c>
      <c r="G20" s="2745"/>
      <c r="H20" s="2745"/>
      <c r="I20" s="2745"/>
      <c r="J20" s="2917"/>
      <c r="K20" s="2917"/>
    </row>
    <row r="21" spans="1:11" ht="16.5">
      <c r="A21" s="2743" t="s">
        <v>1309</v>
      </c>
      <c r="B21" s="2745"/>
      <c r="C21" s="2745"/>
      <c r="D21" s="2745"/>
      <c r="E21" s="2744" t="e">
        <f t="shared" si="0"/>
        <v>#DIV/0!</v>
      </c>
      <c r="F21" s="2744" t="e">
        <f t="shared" si="1"/>
        <v>#DIV/0!</v>
      </c>
      <c r="G21" s="2745"/>
      <c r="H21" s="2745"/>
      <c r="I21" s="2745"/>
      <c r="J21" s="2917"/>
      <c r="K21" s="2917"/>
    </row>
    <row r="22" spans="1:11" ht="16.5">
      <c r="A22" s="2743" t="s">
        <v>1308</v>
      </c>
      <c r="B22" s="2745"/>
      <c r="C22" s="2745"/>
      <c r="D22" s="2745"/>
      <c r="E22" s="2744" t="e">
        <f t="shared" si="0"/>
        <v>#DIV/0!</v>
      </c>
      <c r="F22" s="2744" t="e">
        <f t="shared" si="1"/>
        <v>#DIV/0!</v>
      </c>
      <c r="G22" s="2745"/>
      <c r="H22" s="2745"/>
      <c r="I22" s="2745"/>
      <c r="J22" s="2917"/>
      <c r="K22" s="2917"/>
    </row>
    <row r="23" spans="1:11" ht="16.5">
      <c r="A23" s="2743" t="s">
        <v>1307</v>
      </c>
      <c r="B23" s="2745"/>
      <c r="C23" s="2745"/>
      <c r="D23" s="2745"/>
      <c r="E23" s="2746" t="e">
        <f t="shared" si="0"/>
        <v>#DIV/0!</v>
      </c>
      <c r="F23" s="2746" t="e">
        <f t="shared" si="1"/>
        <v>#DIV/0!</v>
      </c>
      <c r="G23" s="2745"/>
      <c r="H23" s="2745"/>
      <c r="I23" s="2745"/>
      <c r="J23" s="2917"/>
      <c r="K23" s="2917"/>
    </row>
    <row r="24" spans="1:11">
      <c r="A24" s="2917"/>
      <c r="B24" s="2917"/>
      <c r="C24" s="2917"/>
      <c r="D24" s="2917"/>
      <c r="E24" s="2917"/>
      <c r="F24" s="2917"/>
      <c r="G24" s="2917"/>
      <c r="H24" s="2917"/>
      <c r="I24" s="2917"/>
      <c r="J24" s="2917"/>
      <c r="K24" s="2917"/>
    </row>
    <row r="25" spans="1:11">
      <c r="A25" s="2917"/>
      <c r="B25" s="2917"/>
      <c r="C25" s="2917"/>
      <c r="D25" s="2917"/>
      <c r="E25" s="2917"/>
      <c r="F25" s="2917"/>
      <c r="G25" s="2917"/>
      <c r="H25" s="2917"/>
      <c r="I25" s="2917"/>
      <c r="J25" s="2917"/>
      <c r="K25" s="2917"/>
    </row>
    <row r="26" spans="1:11">
      <c r="A26" s="2917"/>
      <c r="B26" s="2917"/>
      <c r="C26" s="2917"/>
      <c r="D26" s="2917"/>
      <c r="E26" s="2917"/>
      <c r="F26" s="2917"/>
      <c r="G26" s="2917"/>
      <c r="H26" s="2917"/>
      <c r="I26" s="2917"/>
      <c r="J26" s="2917"/>
      <c r="K26" s="291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664" t="str">
        <f>项目基本情况!B1</f>
        <v>房地产市场价值预评估</v>
      </c>
      <c r="C37" s="3664"/>
      <c r="D37" s="3664"/>
      <c r="E37" s="3664"/>
      <c r="F37" s="3664"/>
      <c r="G37" s="3664"/>
      <c r="H37" s="3664"/>
      <c r="I37" s="3664"/>
    </row>
    <row r="38" spans="1:9">
      <c r="A38" s="953"/>
      <c r="B38" s="953"/>
    </row>
    <row r="39" spans="1:9">
      <c r="A39" s="951" t="s">
        <v>818</v>
      </c>
      <c r="B39" s="951" t="s">
        <v>820</v>
      </c>
    </row>
    <row r="40" spans="1:9">
      <c r="A40" s="951"/>
      <c r="B40" s="1659">
        <f>项目基本情况!B5</f>
        <v>0</v>
      </c>
    </row>
    <row r="41" spans="1:9">
      <c r="A41" s="951"/>
      <c r="B41" s="951"/>
    </row>
    <row r="42" spans="1:9">
      <c r="A42" s="951" t="s">
        <v>818</v>
      </c>
      <c r="B42" s="951" t="s">
        <v>821</v>
      </c>
    </row>
    <row r="43" spans="1:9">
      <c r="A43" s="951"/>
      <c r="B43" s="1659" t="s">
        <v>822</v>
      </c>
    </row>
    <row r="44" spans="1:9">
      <c r="A44" s="951"/>
      <c r="B44" s="951"/>
    </row>
    <row r="45" spans="1:9">
      <c r="A45" s="951" t="s">
        <v>818</v>
      </c>
      <c r="B45" s="951" t="s">
        <v>823</v>
      </c>
    </row>
    <row r="46" spans="1:9" s="951" customFormat="1" ht="12.75">
      <c r="B46" s="1659" t="str">
        <f ca="1">项目基本情况!K4</f>
        <v>陈颖（注册号：1120060040)、叶凌（注册号：1119970111)</v>
      </c>
    </row>
    <row r="47" spans="1:9">
      <c r="A47" s="951"/>
      <c r="B47" s="951" t="str">
        <f>项目基本情况!K5</f>
        <v>（注册号：0)、（注册号：0)</v>
      </c>
    </row>
    <row r="48" spans="1:9">
      <c r="A48" s="951" t="s">
        <v>818</v>
      </c>
      <c r="B48" s="951"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topLeftCell="A15" zoomScaleNormal="100" zoomScaleSheetLayoutView="100" zoomScalePageLayoutView="80" workbookViewId="0">
      <selection activeCell="C35" sqref="C35"/>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1948</v>
      </c>
      <c r="B1" s="1933"/>
      <c r="C1" s="1934" t="s">
        <v>1343</v>
      </c>
      <c r="D1" s="1933"/>
      <c r="E1" s="1933"/>
      <c r="F1" s="1935" t="s">
        <v>1949</v>
      </c>
      <c r="G1" s="1746"/>
      <c r="H1" s="1936" t="str">
        <f>IF(G1="现房","——","估价对象范围")</f>
        <v>估价对象范围</v>
      </c>
      <c r="I1" s="1937"/>
    </row>
    <row r="2" spans="1:12" ht="21.75" customHeight="1" thickBot="1">
      <c r="A2" s="3813" t="str">
        <f>项目基本情况!S2</f>
        <v>房地产</v>
      </c>
      <c r="B2" s="3814"/>
      <c r="C2" s="3814"/>
      <c r="D2" s="3814"/>
      <c r="E2" s="3814"/>
      <c r="F2" s="3814"/>
      <c r="G2" s="3814"/>
      <c r="H2" s="3814"/>
      <c r="I2" s="3815"/>
    </row>
    <row r="3" spans="1:12" ht="12.75">
      <c r="A3" s="3817" t="s">
        <v>1950</v>
      </c>
      <c r="B3" s="3818"/>
      <c r="C3" s="3818"/>
      <c r="D3" s="3818"/>
      <c r="E3" s="3818"/>
      <c r="F3" s="3818"/>
      <c r="G3" s="3818"/>
      <c r="H3" s="3818"/>
      <c r="I3" s="3818"/>
    </row>
    <row r="4" spans="1:12" ht="14.25">
      <c r="A4" s="1940" t="s">
        <v>1951</v>
      </c>
      <c r="B4" s="1941" t="s">
        <v>1952</v>
      </c>
      <c r="C4" s="1942" t="s">
        <v>3085</v>
      </c>
      <c r="D4" s="1942" t="s">
        <v>3086</v>
      </c>
      <c r="E4" s="3819" t="s">
        <v>1953</v>
      </c>
      <c r="F4" s="3820"/>
      <c r="G4" s="3820"/>
      <c r="H4" s="3820"/>
      <c r="I4" s="3821"/>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793" t="s">
        <v>1954</v>
      </c>
      <c r="B5" s="3780">
        <v>25</v>
      </c>
      <c r="C5" s="3796"/>
      <c r="D5" s="3816"/>
      <c r="E5" s="136" t="s">
        <v>1955</v>
      </c>
      <c r="F5" s="1943"/>
      <c r="G5" s="1943"/>
      <c r="H5" s="1943"/>
      <c r="I5" s="1557"/>
    </row>
    <row r="6" spans="1:12" ht="12.75">
      <c r="A6" s="3793"/>
      <c r="B6" s="3780"/>
      <c r="C6" s="3797"/>
      <c r="D6" s="3816"/>
      <c r="E6" s="136" t="s">
        <v>1956</v>
      </c>
      <c r="F6" s="1943"/>
      <c r="G6" s="1943"/>
      <c r="H6" s="1943"/>
      <c r="I6" s="1557"/>
    </row>
    <row r="7" spans="1:12" ht="12.75">
      <c r="A7" s="3793"/>
      <c r="B7" s="3780"/>
      <c r="C7" s="3798"/>
      <c r="D7" s="3816"/>
      <c r="E7" s="136" t="s">
        <v>1957</v>
      </c>
      <c r="F7" s="1943"/>
      <c r="G7" s="1943"/>
      <c r="H7" s="1943"/>
      <c r="I7" s="1557"/>
    </row>
    <row r="8" spans="1:12" ht="12.75">
      <c r="A8" s="3793" t="s">
        <v>1958</v>
      </c>
      <c r="B8" s="3780">
        <v>15</v>
      </c>
      <c r="C8" s="3796"/>
      <c r="D8" s="3816"/>
      <c r="E8" s="136" t="s">
        <v>1959</v>
      </c>
      <c r="F8" s="1943"/>
      <c r="G8" s="1943"/>
      <c r="H8" s="1943"/>
      <c r="I8" s="1557"/>
    </row>
    <row r="9" spans="1:12" ht="12.75">
      <c r="A9" s="3793"/>
      <c r="B9" s="3780"/>
      <c r="C9" s="3798"/>
      <c r="D9" s="3816"/>
      <c r="E9" s="136" t="s">
        <v>1960</v>
      </c>
      <c r="F9" s="1943"/>
      <c r="G9" s="1943"/>
      <c r="H9" s="1943"/>
      <c r="I9" s="1557"/>
    </row>
    <row r="10" spans="1:12" ht="12.75">
      <c r="A10" s="3793" t="s">
        <v>1961</v>
      </c>
      <c r="B10" s="3780">
        <v>15</v>
      </c>
      <c r="C10" s="3796"/>
      <c r="D10" s="3816"/>
      <c r="E10" s="136" t="s">
        <v>1962</v>
      </c>
      <c r="F10" s="1943"/>
      <c r="G10" s="1943"/>
      <c r="H10" s="1943"/>
      <c r="I10" s="1557"/>
    </row>
    <row r="11" spans="1:12" ht="12.75">
      <c r="A11" s="3793"/>
      <c r="B11" s="3780"/>
      <c r="C11" s="3798"/>
      <c r="D11" s="3816"/>
      <c r="E11" s="136" t="s">
        <v>1963</v>
      </c>
      <c r="F11" s="1943"/>
      <c r="G11" s="1943"/>
      <c r="H11" s="1943"/>
      <c r="I11" s="1557"/>
    </row>
    <row r="12" spans="1:12" ht="12.75">
      <c r="A12" s="3793" t="s">
        <v>1964</v>
      </c>
      <c r="B12" s="3780">
        <v>15</v>
      </c>
      <c r="C12" s="3796"/>
      <c r="D12" s="3816"/>
      <c r="E12" s="136" t="s">
        <v>1965</v>
      </c>
      <c r="F12" s="1943"/>
      <c r="G12" s="1943"/>
      <c r="H12" s="1943"/>
      <c r="I12" s="1557"/>
    </row>
    <row r="13" spans="1:12" ht="12.75">
      <c r="A13" s="3793"/>
      <c r="B13" s="3780"/>
      <c r="C13" s="3798"/>
      <c r="D13" s="3816"/>
      <c r="E13" s="136" t="s">
        <v>1966</v>
      </c>
      <c r="F13" s="1943"/>
      <c r="G13" s="1943"/>
      <c r="H13" s="1943"/>
      <c r="I13" s="1557"/>
    </row>
    <row r="14" spans="1:12" ht="12.75">
      <c r="A14" s="3793" t="s">
        <v>1967</v>
      </c>
      <c r="B14" s="3780">
        <v>30</v>
      </c>
      <c r="C14" s="3796">
        <v>8</v>
      </c>
      <c r="D14" s="3816">
        <f>10-C14</f>
        <v>2</v>
      </c>
      <c r="E14" s="136" t="s">
        <v>1968</v>
      </c>
      <c r="F14" s="1943"/>
      <c r="G14" s="1943"/>
      <c r="H14" s="1943"/>
      <c r="I14" s="1557"/>
    </row>
    <row r="15" spans="1:12" ht="12.75">
      <c r="A15" s="3793"/>
      <c r="B15" s="3780"/>
      <c r="C15" s="3797"/>
      <c r="D15" s="3816"/>
      <c r="E15" s="136" t="s">
        <v>1969</v>
      </c>
      <c r="F15" s="1943"/>
      <c r="G15" s="1943"/>
      <c r="H15" s="1943"/>
      <c r="I15" s="1557"/>
    </row>
    <row r="16" spans="1:12" ht="12.75">
      <c r="A16" s="3793"/>
      <c r="B16" s="3780"/>
      <c r="C16" s="3798"/>
      <c r="D16" s="3816"/>
      <c r="E16" s="136" t="s">
        <v>1970</v>
      </c>
      <c r="F16" s="1943"/>
      <c r="G16" s="1943"/>
      <c r="H16" s="1943"/>
      <c r="I16" s="1557"/>
    </row>
    <row r="17" spans="1:36" ht="15">
      <c r="A17" s="1944" t="s">
        <v>1971</v>
      </c>
      <c r="B17" s="60"/>
      <c r="C17" s="137">
        <f>SUM(C5:C16)</f>
        <v>8</v>
      </c>
      <c r="D17" s="137">
        <f>SUM(D5:D16)</f>
        <v>2</v>
      </c>
      <c r="E17" s="134"/>
      <c r="F17" s="134"/>
      <c r="G17" s="134"/>
      <c r="H17" s="134"/>
      <c r="I17" s="134"/>
      <c r="K17" s="308"/>
      <c r="L17" s="308" t="s">
        <v>1972</v>
      </c>
      <c r="M17" s="308" t="s">
        <v>1973</v>
      </c>
    </row>
    <row r="18" spans="1:36" ht="32.1" customHeight="1" thickBot="1">
      <c r="A18" s="1945" t="s">
        <v>1974</v>
      </c>
      <c r="B18" s="1946"/>
      <c r="C18" s="138">
        <f>ROUND(C17/SUM(C17:D17),2)</f>
        <v>0.8</v>
      </c>
      <c r="D18" s="138">
        <f>1-C18</f>
        <v>0.19999999999999996</v>
      </c>
      <c r="E18" s="3803" t="s">
        <v>2874</v>
      </c>
      <c r="F18" s="3804"/>
      <c r="G18" s="3804"/>
      <c r="H18" s="3804"/>
      <c r="I18" s="3804"/>
      <c r="K18" s="308" t="s">
        <v>1975</v>
      </c>
      <c r="L18" s="308">
        <f>IF(C1="",'数据-汇总表'!E3,SUMIF(项目类型,C1,'数据-汇总表'!E17:E26)+SUMIF(项目类型,C1,'数据-汇总表'!I17:I26))</f>
        <v>198.07</v>
      </c>
      <c r="M18" s="308">
        <f>IF(C1="",'数据-汇总表'!E3,SUMIF(项目类型,C1,'数据-汇总表'!E17:E26))</f>
        <v>198.07</v>
      </c>
    </row>
    <row r="19" spans="1:36" ht="15">
      <c r="A19" s="1947" t="s">
        <v>1976</v>
      </c>
      <c r="B19" s="1948" t="s">
        <v>1977</v>
      </c>
      <c r="C19" s="139">
        <f ca="1">SUMIF(INDIRECT("'"&amp;C4&amp;"'"&amp;"!A:A"),结果表!B19,INDIRECT("'"&amp;C4&amp;"'"&amp;"!B:B"))</f>
        <v>233</v>
      </c>
      <c r="D19" s="140">
        <f ca="1">ROUND(经营性测算!C40/10000,0)</f>
        <v>714</v>
      </c>
      <c r="E19" s="1947" t="s">
        <v>1978</v>
      </c>
      <c r="F19" s="1948" t="s">
        <v>1977</v>
      </c>
      <c r="G19" s="141">
        <f ca="1">ROUND(C19*$C$18+D19*$D$18,0)</f>
        <v>329</v>
      </c>
      <c r="H19" s="1949" t="s">
        <v>1979</v>
      </c>
      <c r="I19" s="134"/>
      <c r="K19" s="308" t="s">
        <v>1980</v>
      </c>
      <c r="L19" s="308">
        <f>IF(C1="",'数据-汇总表'!D3,SUMIF(项目类型,C1,'数据-汇总表'!D17:D26)+SUMIF(项目类型,C1,'数据-汇总表'!H17:H27))</f>
        <v>1442.46</v>
      </c>
      <c r="M19" s="308">
        <f>IF(C1="",'数据-汇总表'!D3,SUMIF(项目类型,C1,'数据-汇总表'!D17:D26))</f>
        <v>1442.46</v>
      </c>
    </row>
    <row r="20" spans="1:36" ht="15">
      <c r="A20" s="1950"/>
      <c r="B20" s="1157" t="s">
        <v>1981</v>
      </c>
      <c r="C20" s="142">
        <f ca="1">SUMIF(INDIRECT("'"&amp;C4&amp;"'"&amp;"!A:A"),结果表!B20,INDIRECT("'"&amp;C4&amp;"'"&amp;"!B:B"))</f>
        <v>11764</v>
      </c>
      <c r="D20" s="143">
        <f ca="1">ROUND(D19*10000/经营性测算!B4,0)</f>
        <v>36048</v>
      </c>
      <c r="E20" s="1950"/>
      <c r="F20" s="1157" t="s">
        <v>1981</v>
      </c>
      <c r="G20" s="144">
        <f ca="1">ROUND(C20*$C$18+D20*$D$18,0)</f>
        <v>16621</v>
      </c>
      <c r="H20" s="917" t="s">
        <v>1982</v>
      </c>
      <c r="I20" s="134"/>
    </row>
    <row r="21" spans="1:36" ht="15" customHeight="1" thickBot="1">
      <c r="A21" s="937"/>
      <c r="B21" s="1951" t="s">
        <v>1983</v>
      </c>
      <c r="C21" s="728">
        <f ca="1">ROUND(C19*10000/L19,0)</f>
        <v>1615</v>
      </c>
      <c r="D21" s="729">
        <f ca="1">ROUND(D19*10000/L19,0)</f>
        <v>4950</v>
      </c>
      <c r="E21" s="937"/>
      <c r="F21" s="1951" t="s">
        <v>1983</v>
      </c>
      <c r="G21" s="145">
        <f ca="1">ROUND(G19*10000/L19,0)</f>
        <v>2281</v>
      </c>
      <c r="H21" s="1952" t="s">
        <v>1982</v>
      </c>
      <c r="I21" s="134"/>
    </row>
    <row r="22" spans="1:36" ht="15" thickBot="1">
      <c r="A22" s="1874" t="s">
        <v>1984</v>
      </c>
      <c r="B22" s="1953"/>
      <c r="C22" s="1954"/>
      <c r="D22" s="730">
        <f ca="1">IF(C19&lt;D19,D19/C19-1,C19/D19-1)</f>
        <v>2.0643776824034337</v>
      </c>
      <c r="E22" s="134"/>
      <c r="F22" s="134"/>
      <c r="G22" s="134"/>
      <c r="H22" s="134"/>
      <c r="I22" s="134"/>
    </row>
    <row r="23" spans="1:36" ht="13.5" thickBot="1">
      <c r="A23" s="1933"/>
      <c r="B23" s="1933"/>
      <c r="C23" s="1933"/>
      <c r="D23" s="1933"/>
      <c r="E23" s="134"/>
      <c r="F23" s="134"/>
      <c r="G23" s="134"/>
      <c r="H23" s="134"/>
      <c r="I23" s="134"/>
    </row>
    <row r="24" spans="1:36" ht="14.25">
      <c r="A24" s="3787" t="s">
        <v>1985</v>
      </c>
      <c r="B24" s="1948" t="s">
        <v>1977</v>
      </c>
      <c r="C24" s="141">
        <f>IF(B30=0,0,D30)</f>
        <v>0</v>
      </c>
      <c r="D24" s="1955"/>
      <c r="E24" s="134"/>
      <c r="F24" s="134"/>
      <c r="G24" s="134"/>
      <c r="H24" s="134"/>
      <c r="I24" s="134"/>
    </row>
    <row r="25" spans="1:36" ht="14.25">
      <c r="A25" s="3788"/>
      <c r="B25" s="1157" t="s">
        <v>1981</v>
      </c>
      <c r="C25" s="146">
        <f>IF(B30=0,0,C30)</f>
        <v>0</v>
      </c>
      <c r="D25" s="1956"/>
      <c r="E25" s="134"/>
      <c r="F25" s="134"/>
      <c r="G25" s="134"/>
      <c r="H25" s="134"/>
      <c r="I25" s="134"/>
    </row>
    <row r="26" spans="1:36" ht="13.5" customHeight="1">
      <c r="A26" s="1957" t="s">
        <v>1986</v>
      </c>
      <c r="B26" s="147" t="s">
        <v>1987</v>
      </c>
      <c r="C26" s="147" t="s">
        <v>1988</v>
      </c>
      <c r="D26" s="148" t="s">
        <v>1989</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1990</v>
      </c>
      <c r="B30" s="147"/>
      <c r="C30" s="147"/>
      <c r="D30" s="147"/>
      <c r="E30" s="2521" t="s">
        <v>2875</v>
      </c>
      <c r="F30" s="134"/>
      <c r="G30" s="134"/>
      <c r="H30" s="134"/>
      <c r="I30" s="134"/>
    </row>
    <row r="31" spans="1:36" s="2527" customFormat="1" ht="26.45" customHeight="1" thickTop="1" thickBot="1">
      <c r="A31" s="2522"/>
      <c r="B31" s="2523"/>
      <c r="C31" s="2523"/>
      <c r="D31" s="2523"/>
      <c r="E31" s="2523"/>
      <c r="F31" s="2523"/>
      <c r="G31" s="2523"/>
      <c r="H31" s="2523"/>
      <c r="I31" s="2524" t="s">
        <v>2876</v>
      </c>
      <c r="J31" s="2918"/>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1991</v>
      </c>
      <c r="B32" s="1960"/>
      <c r="C32" s="149">
        <f ca="1">IF(D32="总价",G19-C24,G20-C25)</f>
        <v>16621</v>
      </c>
      <c r="D32" s="1961" t="s">
        <v>3083</v>
      </c>
      <c r="E32" s="134"/>
      <c r="F32" s="134"/>
      <c r="G32" s="134"/>
      <c r="H32" s="134"/>
      <c r="I32" s="134"/>
    </row>
    <row r="33" spans="1:15" ht="15">
      <c r="A33" s="894" t="s">
        <v>1992</v>
      </c>
      <c r="B33" s="1962"/>
      <c r="C33" s="1963" t="s">
        <v>3082</v>
      </c>
      <c r="D33" s="1964" t="s">
        <v>3085</v>
      </c>
      <c r="E33" s="1965" t="s">
        <v>1993</v>
      </c>
      <c r="F33" s="1966" t="str">
        <f>IF(D32="楼面单价","取值（单价）","取值（总价）")</f>
        <v>取值（单价）</v>
      </c>
      <c r="G33" s="134"/>
      <c r="H33" s="134"/>
      <c r="I33" s="134"/>
    </row>
    <row r="34" spans="1:15" ht="15">
      <c r="A34" s="1967"/>
      <c r="B34" s="1968" t="s">
        <v>1994</v>
      </c>
      <c r="C34" s="153">
        <f ca="1">IF(C33="自定义",F34,C32-C35)</f>
        <v>12416</v>
      </c>
      <c r="D34" s="970">
        <f ca="1">IF(C33="自定义",ROUND(C34/C32,3),IF(C33="收益比率",SUMIF(INDIRECT("'"&amp;D33&amp;"'"&amp;"!b:b"),"土地收益比率",INDIRECT("'"&amp;D33&amp;"'"&amp;"!c:c")),SUMIF(INDIRECT("'"&amp;D33&amp;"'"&amp;"!b:b"),"土地成本比率",INDIRECT("'"&amp;D33&amp;"'"&amp;"!c:c"))))</f>
        <v>0.747</v>
      </c>
      <c r="E34" s="1969" t="s">
        <v>1995</v>
      </c>
      <c r="F34" s="1498">
        <f ca="1">C34*L18/L19/15</f>
        <v>113.65940222490283</v>
      </c>
      <c r="G34" s="134"/>
      <c r="H34" s="134"/>
      <c r="I34" s="134"/>
    </row>
    <row r="35" spans="1:15" ht="15.75" thickBot="1">
      <c r="A35" s="1970"/>
      <c r="B35" s="1971" t="s">
        <v>1996</v>
      </c>
      <c r="C35" s="1332">
        <f ca="1">IF(C33="自定义",F35,ROUND(C32*D35,0))</f>
        <v>4205</v>
      </c>
      <c r="D35" s="1333">
        <f ca="1">IF(C33="自定义",ROUND(C35/C32,3),IF(C33="收益比率",SUMIF(INDIRECT("'"&amp;D33&amp;"'"&amp;"!b:b"),"建筑物收益比率",INDIRECT("'"&amp;D33&amp;"'"&amp;"!c:c")),SUMIF(INDIRECT("'"&amp;D33&amp;"'"&amp;"!b:b"),"建筑物成本比率",INDIRECT("'"&amp;D33&amp;"'"&amp;"!c:c"))))</f>
        <v>0.253</v>
      </c>
      <c r="E35" s="1972" t="s">
        <v>1997</v>
      </c>
      <c r="F35" s="159">
        <f ca="1">成本法!C51</f>
        <v>59</v>
      </c>
      <c r="G35" s="134"/>
      <c r="H35" s="134"/>
      <c r="I35" s="134"/>
    </row>
    <row r="36" spans="1:15" ht="15.75" thickBot="1">
      <c r="A36" s="3807" t="s">
        <v>1998</v>
      </c>
      <c r="B36" s="1973" t="s">
        <v>1999</v>
      </c>
      <c r="C36" s="150"/>
      <c r="D36" s="1974"/>
      <c r="E36" s="1975"/>
      <c r="F36" s="1976"/>
      <c r="G36" s="134"/>
      <c r="H36" s="134"/>
      <c r="I36" s="134"/>
    </row>
    <row r="37" spans="1:15" ht="15.75" thickBot="1">
      <c r="A37" s="3808"/>
      <c r="B37" s="1860" t="s">
        <v>2000</v>
      </c>
      <c r="C37" s="152"/>
      <c r="D37" s="1301"/>
      <c r="E37" s="1301"/>
      <c r="F37" s="1976"/>
      <c r="G37" s="134"/>
      <c r="H37" s="134"/>
      <c r="I37" s="134"/>
    </row>
    <row r="38" spans="1:15" ht="15.75" thickBot="1">
      <c r="A38" s="3809"/>
      <c r="B38" s="1977" t="s">
        <v>2001</v>
      </c>
      <c r="C38" s="683"/>
      <c r="D38" s="1978" t="s">
        <v>2002</v>
      </c>
      <c r="E38" s="1301"/>
      <c r="F38" s="1976"/>
      <c r="G38" s="134"/>
      <c r="H38" s="134"/>
      <c r="I38" s="134"/>
    </row>
    <row r="39" spans="1:15" ht="15">
      <c r="A39" s="1950" t="s">
        <v>2003</v>
      </c>
      <c r="B39" s="1979" t="s">
        <v>2004</v>
      </c>
      <c r="C39" s="1980" t="s">
        <v>2005</v>
      </c>
      <c r="D39" s="1980" t="s">
        <v>2006</v>
      </c>
      <c r="E39" s="1981" t="s">
        <v>2007</v>
      </c>
      <c r="F39" s="1976"/>
      <c r="G39" s="134"/>
      <c r="H39" s="134"/>
      <c r="I39" s="134"/>
    </row>
    <row r="40" spans="1:15" ht="14.25">
      <c r="A40" s="1982" t="s">
        <v>2008</v>
      </c>
      <c r="B40" s="154"/>
      <c r="C40" s="155"/>
      <c r="D40" s="155"/>
      <c r="E40" s="156"/>
      <c r="F40" s="1976"/>
      <c r="G40" s="134"/>
      <c r="H40" s="134"/>
      <c r="I40" s="134"/>
    </row>
    <row r="41" spans="1:15" ht="14.25">
      <c r="A41" s="1982" t="s">
        <v>2009</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2010</v>
      </c>
      <c r="B44" s="1987"/>
      <c r="C44" s="1987"/>
      <c r="D44" s="1988"/>
      <c r="E44" s="1988"/>
      <c r="F44" s="1989"/>
      <c r="G44" s="1989"/>
      <c r="H44" s="1989"/>
      <c r="I44" s="1989"/>
      <c r="J44" s="1990" t="s">
        <v>2011</v>
      </c>
      <c r="K44" s="1991"/>
      <c r="L44" s="1991"/>
      <c r="M44" s="1991"/>
      <c r="N44" s="1991"/>
      <c r="O44" s="1991"/>
    </row>
    <row r="45" spans="1:15" ht="14.25" customHeight="1" thickBot="1">
      <c r="A45" s="3784" t="s">
        <v>2012</v>
      </c>
      <c r="B45" s="3785"/>
      <c r="C45" s="3786"/>
      <c r="D45" s="160">
        <f ca="1">ROUND(H101*F45,0)</f>
        <v>329</v>
      </c>
      <c r="E45" s="161" t="s">
        <v>2013</v>
      </c>
      <c r="F45" s="162">
        <v>1</v>
      </c>
      <c r="G45" s="163" t="s">
        <v>2014</v>
      </c>
      <c r="H45" s="134"/>
      <c r="I45" s="134"/>
      <c r="J45" s="3865" t="s">
        <v>2015</v>
      </c>
      <c r="K45" s="3865"/>
      <c r="L45" s="3865"/>
      <c r="M45" s="3865"/>
      <c r="N45" s="3865"/>
      <c r="O45" s="3865"/>
    </row>
    <row r="46" spans="1:15" ht="14.25" customHeight="1">
      <c r="A46" s="3781" t="s">
        <v>2016</v>
      </c>
      <c r="B46" s="3782"/>
      <c r="C46" s="3782"/>
      <c r="D46" s="3782"/>
      <c r="E46" s="3782"/>
      <c r="F46" s="3782"/>
      <c r="G46" s="3783"/>
      <c r="H46" s="1992"/>
      <c r="I46" s="164"/>
      <c r="J46" s="2749">
        <v>1</v>
      </c>
      <c r="K46" s="3846" t="s">
        <v>2017</v>
      </c>
      <c r="L46" s="3846"/>
      <c r="M46" s="3866"/>
      <c r="N46" s="3866"/>
      <c r="O46" s="3866"/>
    </row>
    <row r="47" spans="1:15" ht="12" customHeight="1">
      <c r="A47" s="165" t="s">
        <v>2018</v>
      </c>
      <c r="B47" s="166"/>
      <c r="C47" s="167"/>
      <c r="D47" s="1247" t="s">
        <v>2019</v>
      </c>
      <c r="E47" s="308" t="s">
        <v>2020</v>
      </c>
      <c r="F47" s="168" t="s">
        <v>2021</v>
      </c>
      <c r="G47" s="2772" t="s">
        <v>2022</v>
      </c>
      <c r="H47" s="2773"/>
      <c r="I47" s="164"/>
      <c r="J47" s="2749">
        <v>2</v>
      </c>
      <c r="K47" s="3846" t="s">
        <v>2023</v>
      </c>
      <c r="L47" s="3846"/>
      <c r="M47" s="3867">
        <f>'数据-取费表'!B2</f>
        <v>44357</v>
      </c>
      <c r="N47" s="3867"/>
      <c r="O47" s="3867"/>
    </row>
    <row r="48" spans="1:15" ht="25.5">
      <c r="A48" s="3812" t="s">
        <v>2024</v>
      </c>
      <c r="B48" s="3795"/>
      <c r="C48" s="3795"/>
      <c r="D48" s="2547" t="b">
        <f>IF(H48="情况1",0,IF(H48="情况2",D52,IF(H48="情况3",D53,IF(H48="情况4",D54))))</f>
        <v>0</v>
      </c>
      <c r="E48" s="2557" t="str">
        <f>IF(H48="情况4","(销售额-原购置价)×税（费）率","销售额×税（费）率")</f>
        <v>销售额×税（费）率</v>
      </c>
      <c r="F48" s="2774">
        <f>IF(H48="情况1","免征",'数据-取费表'!B41)</f>
        <v>5.5000000000000007E-2</v>
      </c>
      <c r="G48" s="2775" t="s">
        <v>2025</v>
      </c>
      <c r="H48" s="2776"/>
      <c r="I48" s="1992"/>
      <c r="J48" s="2749">
        <v>3</v>
      </c>
      <c r="K48" s="3846" t="s">
        <v>2026</v>
      </c>
      <c r="L48" s="3846"/>
      <c r="M48" s="3868">
        <f ca="1">H101</f>
        <v>329</v>
      </c>
      <c r="N48" s="3868"/>
      <c r="O48" s="3868"/>
    </row>
    <row r="49" spans="1:35" ht="25.5" customHeight="1">
      <c r="A49" s="2556" t="s">
        <v>2027</v>
      </c>
      <c r="B49" s="3779" t="s">
        <v>2028</v>
      </c>
      <c r="C49" s="3779"/>
      <c r="D49" s="1775">
        <v>0</v>
      </c>
      <c r="E49" s="330" t="s">
        <v>2029</v>
      </c>
      <c r="F49" s="2650" t="s">
        <v>34</v>
      </c>
      <c r="G49" s="3852"/>
      <c r="H49" s="2528" t="s">
        <v>2877</v>
      </c>
      <c r="I49" s="2529"/>
      <c r="J49" s="2749">
        <v>4</v>
      </c>
      <c r="K49" s="3846" t="str">
        <f>IF(项目基本情况!E8="房地产抵押价值","房地产抵押价值","抵押担保权已注销时的房地产抵押价值")</f>
        <v>抵押担保权已注销时的房地产抵押价值</v>
      </c>
      <c r="L49" s="3846"/>
      <c r="M49" s="3868">
        <f ca="1">IF(项目基本情况!E8="房地产抵押价值",H107,H109)</f>
        <v>329</v>
      </c>
      <c r="N49" s="3868"/>
      <c r="O49" s="3868"/>
    </row>
    <row r="50" spans="1:35" ht="25.5" customHeight="1">
      <c r="A50" s="2777"/>
      <c r="B50" s="3779" t="s">
        <v>2030</v>
      </c>
      <c r="C50" s="3779"/>
      <c r="D50" s="2778"/>
      <c r="E50" s="338"/>
      <c r="F50" s="2650"/>
      <c r="G50" s="3853"/>
      <c r="H50" s="2530" t="s">
        <v>2878</v>
      </c>
      <c r="I50" s="2529"/>
      <c r="J50" s="3865" t="s">
        <v>2031</v>
      </c>
      <c r="K50" s="3865"/>
      <c r="L50" s="3865"/>
      <c r="M50" s="3865"/>
      <c r="N50" s="3865"/>
      <c r="O50" s="3865"/>
    </row>
    <row r="51" spans="1:35" ht="20.45" customHeight="1">
      <c r="A51" s="2779"/>
      <c r="B51" s="3779" t="s">
        <v>2032</v>
      </c>
      <c r="C51" s="3779"/>
      <c r="D51" s="1247"/>
      <c r="E51" s="333"/>
      <c r="F51" s="2650"/>
      <c r="G51" s="3854"/>
      <c r="H51" s="2530" t="s">
        <v>2879</v>
      </c>
      <c r="I51" s="2529"/>
      <c r="J51" s="2750" t="s">
        <v>2033</v>
      </c>
      <c r="K51" s="3846" t="s">
        <v>2034</v>
      </c>
      <c r="L51" s="3846"/>
      <c r="M51" s="2750" t="s">
        <v>2035</v>
      </c>
      <c r="N51" s="2750" t="s">
        <v>2036</v>
      </c>
      <c r="O51" s="2750" t="s">
        <v>2037</v>
      </c>
    </row>
    <row r="52" spans="1:35" ht="24" customHeight="1">
      <c r="A52" s="2558" t="s">
        <v>2038</v>
      </c>
      <c r="B52" s="3779" t="s">
        <v>2039</v>
      </c>
      <c r="C52" s="3779"/>
      <c r="D52" s="1247">
        <f ca="1">ROUND(D45*'数据-取费表'!B41/(1+'数据-取费表'!C42),0)</f>
        <v>17</v>
      </c>
      <c r="E52" s="2557" t="s">
        <v>2040</v>
      </c>
      <c r="F52" s="2780">
        <f>'数据-取费表'!B41</f>
        <v>5.5000000000000007E-2</v>
      </c>
      <c r="G52" s="2781"/>
      <c r="H52" s="2770"/>
      <c r="I52" s="1993"/>
      <c r="J52" s="2749">
        <v>1</v>
      </c>
      <c r="K52" s="3847" t="s">
        <v>2041</v>
      </c>
      <c r="L52" s="3847"/>
      <c r="M52" s="2751" t="b">
        <f>D48</f>
        <v>0</v>
      </c>
      <c r="N52" s="2749" t="str">
        <f>E48</f>
        <v>销售额×税（费）率</v>
      </c>
      <c r="O52" s="2752">
        <f>F48</f>
        <v>5.5000000000000007E-2</v>
      </c>
    </row>
    <row r="53" spans="1:35" ht="12" customHeight="1">
      <c r="A53" s="2558" t="s">
        <v>2042</v>
      </c>
      <c r="B53" s="3805" t="s">
        <v>3038</v>
      </c>
      <c r="C53" s="3806"/>
      <c r="D53" s="1247">
        <f ca="1">ROUND(D45*'数据-取费表'!B41/(1+'数据-取费表'!C42),0)</f>
        <v>17</v>
      </c>
      <c r="E53" s="2557" t="s">
        <v>2040</v>
      </c>
      <c r="F53" s="2780">
        <f>'数据-取费表'!B41</f>
        <v>5.5000000000000007E-2</v>
      </c>
      <c r="G53" s="2781"/>
      <c r="H53" s="2770"/>
      <c r="I53" s="1993"/>
      <c r="J53" s="2749">
        <v>2</v>
      </c>
      <c r="K53" s="3847" t="s">
        <v>2043</v>
      </c>
      <c r="L53" s="3847"/>
      <c r="M53" s="2751">
        <f t="shared" ref="M53:O54" ca="1" si="0">D55</f>
        <v>0</v>
      </c>
      <c r="N53" s="2749" t="str">
        <f t="shared" si="0"/>
        <v>销售额×税（费）率</v>
      </c>
      <c r="O53" s="2752" t="str">
        <f t="shared" si="0"/>
        <v>免征</v>
      </c>
    </row>
    <row r="54" spans="1:35" ht="12" customHeight="1">
      <c r="A54" s="2558" t="s">
        <v>2044</v>
      </c>
      <c r="B54" s="3805" t="s">
        <v>3039</v>
      </c>
      <c r="C54" s="3806"/>
      <c r="D54" s="1247">
        <f ca="1">C68</f>
        <v>17</v>
      </c>
      <c r="E54" s="333" t="s">
        <v>2045</v>
      </c>
      <c r="F54" s="2780">
        <f>'数据-取费表'!B41</f>
        <v>5.5000000000000007E-2</v>
      </c>
      <c r="G54" s="2781"/>
      <c r="H54" s="2782"/>
      <c r="I54" s="1993"/>
      <c r="J54" s="2749">
        <v>3</v>
      </c>
      <c r="K54" s="3847" t="s">
        <v>2046</v>
      </c>
      <c r="L54" s="3847"/>
      <c r="M54" s="2751">
        <f t="shared" ca="1" si="0"/>
        <v>186</v>
      </c>
      <c r="N54" s="2749" t="str">
        <f t="shared" si="0"/>
        <v>增值额×税（费）率</v>
      </c>
      <c r="O54" s="2753" t="str">
        <f t="shared" si="0"/>
        <v>免征</v>
      </c>
    </row>
    <row r="55" spans="1:35" ht="24" customHeight="1">
      <c r="A55" s="3794" t="s">
        <v>2047</v>
      </c>
      <c r="B55" s="3795"/>
      <c r="C55" s="3795"/>
      <c r="D55" s="2547">
        <f ca="1">IF(H55="个人住宅",0,ROUND(D45*I55,0))</f>
        <v>0</v>
      </c>
      <c r="E55" s="2557" t="s">
        <v>2048</v>
      </c>
      <c r="F55" s="2780" t="str">
        <f>IF(H55="正常",I55,"免征")</f>
        <v>免征</v>
      </c>
      <c r="G55" s="2781"/>
      <c r="H55" s="2776"/>
      <c r="I55" s="170">
        <f>'数据-取费表'!B49</f>
        <v>5.0000000000000001E-4</v>
      </c>
      <c r="J55" s="2749">
        <f>IF(H59="非个人房产","",4)</f>
        <v>4</v>
      </c>
      <c r="K55" s="3847" t="str">
        <f>IF(H59="非个人房产","——","个人所得税")</f>
        <v>个人所得税</v>
      </c>
      <c r="L55" s="3847"/>
      <c r="M55" s="2754">
        <f ca="1">D59</f>
        <v>3</v>
      </c>
      <c r="N55" s="2228" t="str">
        <f>E59</f>
        <v>差额计税</v>
      </c>
      <c r="O55" s="2755">
        <f>F59</f>
        <v>0.01</v>
      </c>
    </row>
    <row r="56" spans="1:35" ht="24.75">
      <c r="A56" s="3794" t="s">
        <v>2049</v>
      </c>
      <c r="B56" s="3795"/>
      <c r="C56" s="3795"/>
      <c r="D56" s="2547">
        <f ca="1">IF(H56="个人住宅",D57,D58)</f>
        <v>186</v>
      </c>
      <c r="E56" s="2557" t="s">
        <v>2050</v>
      </c>
      <c r="F56" s="2780" t="str">
        <f>IF(H56="正常",F58,"免征")</f>
        <v>免征</v>
      </c>
      <c r="G56" s="2783" t="s">
        <v>2051</v>
      </c>
      <c r="H56" s="2784"/>
      <c r="I56" s="1994"/>
      <c r="J56" s="2749" t="str">
        <f>IF(项目基本情况!K6="上海银行",IF(J55="",4,J55+1),"")</f>
        <v/>
      </c>
      <c r="K56" s="3870" t="str">
        <f>IF(项目基本情况!K6="上海银行","其他处置费用","")</f>
        <v/>
      </c>
      <c r="L56" s="3871"/>
      <c r="M56" s="2751" t="str">
        <f>IF(项目基本情况!K6="上海银行",M69,"")</f>
        <v/>
      </c>
      <c r="N56" s="3870" t="str">
        <f>IF(项目基本情况!K6="上海银行","包含处置中涉及的律师、诉讼、拍卖、评估等费用","")</f>
        <v/>
      </c>
      <c r="O56" s="3873"/>
    </row>
    <row r="57" spans="1:35" ht="12.75">
      <c r="A57" s="2558" t="s">
        <v>2027</v>
      </c>
      <c r="B57" s="3805" t="s">
        <v>2052</v>
      </c>
      <c r="C57" s="3806"/>
      <c r="D57" s="1775">
        <v>0</v>
      </c>
      <c r="E57" s="330" t="s">
        <v>2029</v>
      </c>
      <c r="F57" s="308"/>
      <c r="G57" s="2781"/>
      <c r="H57" s="2785"/>
      <c r="I57" s="1994"/>
      <c r="J57" s="3847">
        <f>IF(AND(J55="",J56=""),4,IF(项目基本情况!K6="上海银行",结果表!J56+1,结果表!J55+1))</f>
        <v>5</v>
      </c>
      <c r="K57" s="3847" t="s">
        <v>2053</v>
      </c>
      <c r="L57" s="2756" t="s">
        <v>2054</v>
      </c>
      <c r="M57" s="2757"/>
      <c r="N57" s="2758">
        <f ca="1">SUMIF(M52:M56,"&lt;9e307")</f>
        <v>189</v>
      </c>
      <c r="O57" s="2759"/>
      <c r="P57" s="2919">
        <f ca="1">N57/M49</f>
        <v>0.57446808510638303</v>
      </c>
    </row>
    <row r="58" spans="1:35" ht="24.75">
      <c r="A58" s="2558" t="s">
        <v>2038</v>
      </c>
      <c r="B58" s="3805" t="s">
        <v>2055</v>
      </c>
      <c r="C58" s="3779"/>
      <c r="D58" s="2547">
        <f ca="1">IF(H58="转让取得",C81,C97)</f>
        <v>186</v>
      </c>
      <c r="E58" s="2557" t="s">
        <v>2050</v>
      </c>
      <c r="F58" s="308" t="s">
        <v>34</v>
      </c>
      <c r="G58" s="2781"/>
      <c r="H58" s="2784"/>
      <c r="I58" s="1994"/>
      <c r="J58" s="3847"/>
      <c r="K58" s="3847"/>
      <c r="L58" s="2756" t="s">
        <v>2056</v>
      </c>
      <c r="M58" s="2760"/>
      <c r="N58" s="2761" t="str">
        <f ca="1">NUMBERSTRING(INT(N57*10000),2)&amp;"元整"</f>
        <v>壹佰捌拾玖万元整</v>
      </c>
      <c r="O58" s="2762"/>
    </row>
    <row r="59" spans="1:35" ht="24.75" thickBot="1">
      <c r="A59" s="3850" t="s">
        <v>2057</v>
      </c>
      <c r="B59" s="3851"/>
      <c r="C59" s="3851"/>
      <c r="D59" s="2786">
        <f ca="1">IF(H59="非个人房产","——",IF(H59="个人住宅（满五唯一有凭证）",0,IF(H59="个人其他（无凭证）",ROUND(D45*F59,0),ROUND(C67*F59,0))))</f>
        <v>3</v>
      </c>
      <c r="E59" s="2787" t="str">
        <f>IF(H59="非个人房产","——",IF(H59="个人其他（无凭证）","销售额×税（费）率",IF(H59="个人住宅（满五唯一有凭证）","免征","差额计税")))</f>
        <v>差额计税</v>
      </c>
      <c r="F59" s="2788">
        <f>IF(OR(H59="非个人房产",H59="个人住宅（满五唯一有凭证）"),"——",IF(H59="个人其他（有凭证）",20%,1%))</f>
        <v>0.01</v>
      </c>
      <c r="G59" s="2789" t="s">
        <v>2051</v>
      </c>
      <c r="H59" s="2532"/>
      <c r="I59" s="2531" t="s">
        <v>2880</v>
      </c>
      <c r="J59" s="3848">
        <f>J57+1</f>
        <v>6</v>
      </c>
      <c r="K59" s="3847" t="s">
        <v>2058</v>
      </c>
      <c r="L59" s="2749" t="s">
        <v>2054</v>
      </c>
      <c r="M59" s="2763"/>
      <c r="N59" s="2764">
        <f ca="1">M49-N57</f>
        <v>140</v>
      </c>
      <c r="O59" s="2765"/>
    </row>
    <row r="60" spans="1:35" ht="12" customHeight="1">
      <c r="A60" s="1995"/>
      <c r="B60" s="1933"/>
      <c r="C60" s="1933"/>
      <c r="D60" s="1933"/>
      <c r="E60" s="1763"/>
      <c r="F60" s="1994"/>
      <c r="G60" s="1994"/>
      <c r="H60" s="1996"/>
      <c r="I60" s="134"/>
      <c r="J60" s="3849"/>
      <c r="K60" s="3847"/>
      <c r="L60" s="2756" t="s">
        <v>2056</v>
      </c>
      <c r="M60" s="2760"/>
      <c r="N60" s="2761" t="str">
        <f ca="1">NUMBERSTRING(INT(N59*10000),2)&amp;"元整"</f>
        <v>壹佰肆拾万元整</v>
      </c>
      <c r="O60" s="2762"/>
    </row>
    <row r="61" spans="1:35" ht="13.5" thickBot="1">
      <c r="A61" s="3792" t="s">
        <v>2059</v>
      </c>
      <c r="B61" s="3792"/>
      <c r="C61" s="3792"/>
      <c r="D61" s="3792"/>
      <c r="E61" s="3792"/>
      <c r="F61" s="1994"/>
      <c r="G61" s="1994"/>
      <c r="H61" s="1996"/>
      <c r="I61" s="134"/>
      <c r="J61" s="2749">
        <f>J59+1</f>
        <v>7</v>
      </c>
      <c r="K61" s="3847" t="s">
        <v>2060</v>
      </c>
      <c r="L61" s="3847"/>
      <c r="M61" s="2766"/>
      <c r="N61" s="2767">
        <f ca="1">ROUND(N59*10000/'数据-汇总表'!E3,0)</f>
        <v>7068</v>
      </c>
      <c r="O61" s="2768"/>
    </row>
    <row r="62" spans="1:35" ht="12.75">
      <c r="A62" s="3810" t="s">
        <v>2061</v>
      </c>
      <c r="B62" s="3811"/>
      <c r="C62" s="2209"/>
      <c r="D62" s="2209" t="s">
        <v>2062</v>
      </c>
      <c r="E62" s="171" t="s">
        <v>2063</v>
      </c>
      <c r="F62" s="1994"/>
      <c r="G62" s="1994"/>
      <c r="H62" s="1996"/>
      <c r="I62" s="134"/>
    </row>
    <row r="63" spans="1:35" ht="12.75">
      <c r="A63" s="178" t="s">
        <v>775</v>
      </c>
      <c r="B63" s="172" t="s">
        <v>2064</v>
      </c>
      <c r="C63" s="2790">
        <f ca="1">ROUND((C64+C65)/(1+'数据-取费表'!C42),0)</f>
        <v>313</v>
      </c>
      <c r="D63" s="172"/>
      <c r="E63" s="173"/>
      <c r="F63" s="1994"/>
      <c r="G63" s="1994"/>
      <c r="H63" s="1996"/>
      <c r="I63" s="134"/>
      <c r="J63" s="3872" t="s">
        <v>2065</v>
      </c>
      <c r="K63" s="1501" t="s">
        <v>2066</v>
      </c>
      <c r="L63" s="1501">
        <f ca="1">IF(M49&gt;10000,M49*0.5%,IF(AND(M49&gt;1000,M49&lt;=10000),M49*1%,IF(AND(M49&gt;100,M49&lt;=1000),M49*3%,IF(AND(M49&gt;10,M49&lt;=100),M49*5%,M49*8%))))</f>
        <v>9.8699999999999992</v>
      </c>
      <c r="M63" s="308">
        <f ca="1">ROUND(L63,1)</f>
        <v>9.9</v>
      </c>
      <c r="N63" s="2769"/>
      <c r="Z63" s="1938"/>
      <c r="AI63" s="1939"/>
    </row>
    <row r="64" spans="1:35" ht="14.25" customHeight="1">
      <c r="A64" s="174" t="s">
        <v>770</v>
      </c>
      <c r="B64" s="175" t="s">
        <v>2067</v>
      </c>
      <c r="C64" s="2791">
        <f ca="1">D45</f>
        <v>329</v>
      </c>
      <c r="D64" s="175" t="s">
        <v>32</v>
      </c>
      <c r="E64" s="177"/>
      <c r="F64" s="1994"/>
      <c r="G64" s="1994"/>
      <c r="H64" s="1996"/>
      <c r="I64" s="134"/>
      <c r="J64" s="3872"/>
      <c r="K64" s="1501" t="s">
        <v>2068</v>
      </c>
      <c r="L64" s="1501">
        <f ca="1">IF(M49&gt;2000,M49*0.5%,IF(AND(M49&gt;1000,M49&lt;=2000),M49*0.6%,IF(AND(M49&gt;500,M49&lt;=1000),M49*0.7%,IF(AND(M49&gt;200,M49&lt;=500),M49*0.8%,IF(AND(M49&gt;100,M49&lt;=200),M49*0.9%,IF(AND(M49&gt;50,M49&lt;=100),M49*1%,IF(AND(M49&gt;20,M49&lt;=50),M49*1.5%,IF(AND(M49&gt;10,M49&lt;=20),M49*2%,IF(AND(M49&gt;1,M49&lt;=10),M49*2.5%)))))))))</f>
        <v>2.6320000000000001</v>
      </c>
      <c r="M64" s="308">
        <f t="shared" ref="M64:M65" ca="1" si="1">ROUND(L64,1)</f>
        <v>2.6</v>
      </c>
      <c r="N64" s="2770" t="s">
        <v>2069</v>
      </c>
      <c r="Z64" s="1938"/>
      <c r="AI64" s="1939"/>
    </row>
    <row r="65" spans="1:35" ht="14.25" customHeight="1">
      <c r="A65" s="174" t="s">
        <v>771</v>
      </c>
      <c r="B65" s="175" t="s">
        <v>2070</v>
      </c>
      <c r="C65" s="2792"/>
      <c r="D65" s="175"/>
      <c r="E65" s="177"/>
      <c r="F65" s="1994"/>
      <c r="G65" s="1994"/>
      <c r="H65" s="1996"/>
      <c r="I65" s="134"/>
      <c r="J65" s="3872"/>
      <c r="K65" s="1501" t="s">
        <v>2071</v>
      </c>
      <c r="L65" s="1501">
        <f ca="1">IF(M49&gt;1000,M49*0.1%,IF(AND(M49&gt;500,M49&lt;=1000),M49*0.5%,IF(AND(M49&gt;50,M49&lt;=500),M49*1%,IF(AND(M49&gt;1,M49&lt;=50),M49*1.5%))))</f>
        <v>3.29</v>
      </c>
      <c r="M65" s="308">
        <f t="shared" ca="1" si="1"/>
        <v>3.3</v>
      </c>
      <c r="N65" s="2770" t="s">
        <v>2069</v>
      </c>
      <c r="Z65" s="1938"/>
      <c r="AI65" s="1939"/>
    </row>
    <row r="66" spans="1:35" ht="14.25" customHeight="1">
      <c r="A66" s="178" t="s">
        <v>772</v>
      </c>
      <c r="B66" s="179" t="s">
        <v>2072</v>
      </c>
      <c r="C66" s="2793"/>
      <c r="D66" s="179" t="s">
        <v>32</v>
      </c>
      <c r="E66" s="1509" t="s">
        <v>1337</v>
      </c>
      <c r="F66" s="1994"/>
      <c r="G66" s="1994"/>
      <c r="H66" s="1996"/>
      <c r="I66" s="134"/>
      <c r="J66" s="3872"/>
      <c r="K66" s="1501" t="s">
        <v>2073</v>
      </c>
      <c r="L66" s="1501">
        <f ca="1">M49*0.5%</f>
        <v>1.645</v>
      </c>
      <c r="M66" s="308">
        <f ca="1">IF(L66&gt;0.5,0.5,ROUND(L66,0))</f>
        <v>0.5</v>
      </c>
      <c r="N66" s="2770" t="s">
        <v>2074</v>
      </c>
      <c r="Z66" s="1938"/>
      <c r="AI66" s="1939"/>
    </row>
    <row r="67" spans="1:35" ht="14.25" customHeight="1">
      <c r="A67" s="178" t="s">
        <v>773</v>
      </c>
      <c r="B67" s="179" t="s">
        <v>2075</v>
      </c>
      <c r="C67" s="2794">
        <f ca="1">C63-C66</f>
        <v>313</v>
      </c>
      <c r="D67" s="175" t="s">
        <v>32</v>
      </c>
      <c r="E67" s="177"/>
      <c r="F67" s="1994"/>
      <c r="G67" s="1994"/>
      <c r="H67" s="1996"/>
      <c r="I67" s="134"/>
      <c r="J67" s="3872"/>
      <c r="K67" s="1501" t="s">
        <v>2076</v>
      </c>
      <c r="L67" s="1501">
        <f ca="1">IF(M49&gt;=10000,(8.25+(M49-10000)*0.01%),IF(AND(M49&gt;=8000,M49&lt;10000),(7.85+(M49-8000)*0.02%),IF(AND(M49&gt;=5000,M49&lt;8000),(6.65+(M49-5000)*0.04%),IF(AND(M49&gt;=2000,M49&lt;5000),(4.25+(PM49-2000)*0.08%),IF(AND(M49&gt;=1000,M49&lt;2000),(2.75+(M49-1000)*0.15%),IF(AND(M49&gt;=100,M49&lt;1000),(0.5+(M49-100)*0.25%),IF(AND(M49&gt;0,M49&lt;100),M49*0.5%)))))))</f>
        <v>1.0725</v>
      </c>
      <c r="M67" s="308">
        <f ca="1">ROUND(L67*0.9,1)</f>
        <v>1</v>
      </c>
      <c r="N67" s="2769"/>
      <c r="Z67" s="1938"/>
      <c r="AI67" s="1939"/>
    </row>
    <row r="68" spans="1:35" ht="14.25" customHeight="1" thickBot="1">
      <c r="A68" s="181" t="s">
        <v>774</v>
      </c>
      <c r="B68" s="182" t="s">
        <v>2077</v>
      </c>
      <c r="C68" s="2795">
        <f ca="1">IF(C67&lt;=0,0,ROUND(C67*D68,0))</f>
        <v>17</v>
      </c>
      <c r="D68" s="2796">
        <f>'数据-取费表'!B41</f>
        <v>5.5000000000000007E-2</v>
      </c>
      <c r="E68" s="184"/>
      <c r="F68" s="1994"/>
      <c r="G68" s="1994"/>
      <c r="H68" s="1996"/>
      <c r="I68" s="134"/>
      <c r="J68" s="3872"/>
      <c r="K68" s="1501" t="s">
        <v>2078</v>
      </c>
      <c r="L68" s="1501">
        <f ca="1">IF(M49&gt;10000,M49*0.5%,IF(AND(M49&gt;5000,M49&lt;=10000),M49*1%,IF(AND(M49&gt;1000,M49&lt;=5000),M49*2%,IF(AND(M49&gt;200,M49&lt;=1000),M49*3%,M49*5%))))</f>
        <v>9.8699999999999992</v>
      </c>
      <c r="M68" s="308">
        <f ca="1">ROUND(L68,1)</f>
        <v>9.9</v>
      </c>
      <c r="N68" s="2769"/>
      <c r="Z68" s="1938"/>
      <c r="AI68" s="1939"/>
    </row>
    <row r="69" spans="1:35" s="1958" customFormat="1" ht="16.5" customHeight="1">
      <c r="A69" s="1997"/>
      <c r="B69" s="1998"/>
      <c r="C69" s="1999"/>
      <c r="D69" s="2000"/>
      <c r="E69" s="2001"/>
      <c r="F69" s="1763"/>
      <c r="G69" s="1763"/>
      <c r="H69" s="1762"/>
      <c r="I69" s="1933"/>
      <c r="J69" s="3872"/>
      <c r="K69" s="1501" t="s">
        <v>2079</v>
      </c>
      <c r="L69" s="1501"/>
      <c r="M69" s="308">
        <f ca="1">ROUND(SUM(M63:M68),0)</f>
        <v>27</v>
      </c>
      <c r="N69" s="2771">
        <f ca="1">M69/M49</f>
        <v>8.2066869300911852E-2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831" t="s">
        <v>2080</v>
      </c>
      <c r="B70" s="3832"/>
      <c r="C70" s="3832"/>
      <c r="D70" s="3832"/>
      <c r="E70" s="3832"/>
      <c r="F70" s="3832"/>
      <c r="G70" s="3832"/>
      <c r="H70" s="3832"/>
      <c r="I70" s="2002"/>
      <c r="J70" s="2920"/>
      <c r="K70" s="2920"/>
      <c r="L70" s="2920"/>
      <c r="M70" s="2920"/>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810" t="s">
        <v>2061</v>
      </c>
      <c r="B71" s="3811"/>
      <c r="C71" s="2209"/>
      <c r="D71" s="2209" t="s">
        <v>2062</v>
      </c>
      <c r="E71" s="185" t="s">
        <v>2063</v>
      </c>
      <c r="F71" s="186"/>
      <c r="G71" s="186"/>
      <c r="H71" s="187"/>
      <c r="I71" s="2006"/>
      <c r="J71" s="2920"/>
      <c r="K71" s="2920"/>
      <c r="L71" s="2920"/>
      <c r="M71" s="2920"/>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2081</v>
      </c>
      <c r="C72" s="2794">
        <f ca="1">ROUND(D45/(1+'数据-取费表'!C42),0)</f>
        <v>313</v>
      </c>
      <c r="D72" s="175" t="s">
        <v>32</v>
      </c>
      <c r="E72" s="2554"/>
      <c r="F72" s="2553"/>
      <c r="G72" s="2553"/>
      <c r="H72" s="188"/>
      <c r="I72" s="2006"/>
      <c r="J72" s="2920"/>
      <c r="K72" s="2920"/>
      <c r="L72" s="2920"/>
      <c r="M72" s="2920"/>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2082</v>
      </c>
      <c r="C73" s="2794">
        <f ca="1">C74+C78</f>
        <v>2</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2083</v>
      </c>
      <c r="C74" s="175">
        <f>ROUND(IF(G77="2016年5月1日后购买",C75/(1+'数据-取费表'!C42)+C76+C77,C75+C76+C77),0)</f>
        <v>0</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2084</v>
      </c>
      <c r="C75" s="2797"/>
      <c r="D75" s="175" t="s">
        <v>32</v>
      </c>
      <c r="E75" s="190" t="s">
        <v>2085</v>
      </c>
      <c r="F75" s="2798"/>
      <c r="G75" s="190" t="s">
        <v>2086</v>
      </c>
      <c r="H75" s="2799"/>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2087</v>
      </c>
      <c r="C76" s="175">
        <f>IF(F75="购房发票",ROUND(C75*H75*D76,0),0)</f>
        <v>0</v>
      </c>
      <c r="D76" s="2800">
        <v>0.05</v>
      </c>
      <c r="E76" s="3805" t="s">
        <v>2088</v>
      </c>
      <c r="F76" s="3779"/>
      <c r="G76" s="3779"/>
      <c r="H76" s="3830"/>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2089</v>
      </c>
      <c r="C77" s="175">
        <f>ROUND(IF(G77="个人住宅",0,IF(G77="2016年5月1日前购买",C75*D77,C75*D77/(1+'数据-取费表'!C42))),0)</f>
        <v>0</v>
      </c>
      <c r="D77" s="2801">
        <f>'数据-取费表'!B48+'数据-取费表'!B49</f>
        <v>3.0499999999999999E-2</v>
      </c>
      <c r="E77" s="2547" t="s">
        <v>2090</v>
      </c>
      <c r="F77" s="192"/>
      <c r="G77" s="2008"/>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2091</v>
      </c>
      <c r="C78" s="2802">
        <f ca="1">ROUND(D45*D78/(1+'数据-取费表'!C42),0)</f>
        <v>2</v>
      </c>
      <c r="D78" s="2803">
        <f>'数据-取费表'!B43</f>
        <v>5.000000000000001E-3</v>
      </c>
      <c r="E78" s="3789" t="s">
        <v>2092</v>
      </c>
      <c r="F78" s="3790"/>
      <c r="G78" s="3790"/>
      <c r="H78" s="3799"/>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2093</v>
      </c>
      <c r="C79" s="2794">
        <f ca="1">C72-C73</f>
        <v>311</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2094</v>
      </c>
      <c r="C80" s="2804">
        <f ca="1">IF(C79&lt;=0,0,C79/C73)</f>
        <v>155.5</v>
      </c>
      <c r="D80" s="175" t="s">
        <v>32</v>
      </c>
      <c r="E80" s="2547" t="str">
        <f ca="1">IF(C80&gt;=200%,"增值额超过扣除项目金额200%",IF(C80&gt;=100%,"增值额超过扣除项目金额100%，未超过200%",IF(C80&gt;=50%,"增值额超过扣除项目金额50%，未超过100%",IF(C80&lt;50%,"增值额未超过扣除项目金额50%"))))</f>
        <v>增值额超过扣除项目金额200%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2095</v>
      </c>
      <c r="C81" s="2805">
        <f ca="1">ROUND(IF(C79&lt;=0,0,IF(C80&gt;=200%,C79*60%-C73*35%,IF(C80&gt;=100%,C79*50%-C73*15%,IF(C80&gt;=50%,C79*40%-C73*5%,IF(C80&lt;50%,C79*30%,0))))),0)</f>
        <v>186</v>
      </c>
      <c r="D81" s="280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831" t="s">
        <v>2096</v>
      </c>
      <c r="B83" s="3832"/>
      <c r="C83" s="3832"/>
      <c r="D83" s="3832"/>
      <c r="E83" s="3832"/>
      <c r="F83" s="3832"/>
      <c r="G83" s="3832"/>
      <c r="H83" s="3832"/>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810" t="s">
        <v>2061</v>
      </c>
      <c r="B84" s="3811"/>
      <c r="C84" s="2209"/>
      <c r="D84" s="2209" t="s">
        <v>2062</v>
      </c>
      <c r="E84" s="185" t="s">
        <v>2063</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2081</v>
      </c>
      <c r="C85" s="2794">
        <f ca="1">ROUND(D45/(1+'数据-取费表'!C42),0)</f>
        <v>313</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2082</v>
      </c>
      <c r="C86" s="2794">
        <f ca="1">IF(H88="仅含出让金",C87+C90+C91+C92+C93+C94,C87+C91+C92+C93+C94)</f>
        <v>2</v>
      </c>
      <c r="D86" s="2807"/>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2097</v>
      </c>
      <c r="C87" s="2802">
        <f>C88+C89</f>
        <v>0</v>
      </c>
      <c r="D87" s="2803"/>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2098</v>
      </c>
      <c r="C88" s="2808"/>
      <c r="D88" s="2803"/>
      <c r="E88" s="199" t="s">
        <v>2099</v>
      </c>
      <c r="F88" s="2550"/>
      <c r="G88" s="200" t="s">
        <v>2100</v>
      </c>
      <c r="H88" s="2010"/>
      <c r="I88" s="2007"/>
      <c r="J88" s="2747" t="s">
        <v>3035</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2089</v>
      </c>
      <c r="C89" s="2802">
        <f>ROUND(C88*D89,0)</f>
        <v>0</v>
      </c>
      <c r="D89" s="2803">
        <f>'数据-取费表'!B48+'数据-取费表'!B49</f>
        <v>3.0499999999999999E-2</v>
      </c>
      <c r="E89" s="199" t="s">
        <v>2101</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2102</v>
      </c>
      <c r="C90" s="2808"/>
      <c r="D90" s="2803"/>
      <c r="E90" s="199" t="str">
        <f>IF(H88="-","土地取得成本中已包含该笔费用"," ")</f>
        <v xml:space="preserve"> </v>
      </c>
      <c r="F90" s="2550"/>
      <c r="G90" s="3874" t="s">
        <v>2872</v>
      </c>
      <c r="H90" s="3875"/>
      <c r="I90" s="2007"/>
      <c r="J90" s="2747" t="s">
        <v>3036</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2103</v>
      </c>
      <c r="B91" s="175" t="s">
        <v>2104</v>
      </c>
      <c r="C91" s="2802">
        <f>IF(H91="——",成本法!C33,I91)</f>
        <v>0</v>
      </c>
      <c r="D91" s="2803"/>
      <c r="E91" s="3789" t="s">
        <v>2105</v>
      </c>
      <c r="F91" s="3790"/>
      <c r="G91" s="3790"/>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2106</v>
      </c>
      <c r="B92" s="175" t="s">
        <v>2107</v>
      </c>
      <c r="C92" s="2802">
        <f>ROUND((C87+C90+C91)*D92,0)</f>
        <v>0</v>
      </c>
      <c r="D92" s="2809"/>
      <c r="E92" s="3789" t="s">
        <v>2108</v>
      </c>
      <c r="F92" s="3790"/>
      <c r="G92" s="3790"/>
      <c r="H92" s="3799"/>
      <c r="I92" s="2007"/>
      <c r="J92" s="2748" t="s">
        <v>3037</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2109</v>
      </c>
      <c r="B93" s="175" t="s">
        <v>2091</v>
      </c>
      <c r="C93" s="2802">
        <f ca="1">ROUND(D45*D93/(1+'数据-取费表'!C42),0)</f>
        <v>2</v>
      </c>
      <c r="D93" s="2803">
        <f>'数据-取费表'!B43</f>
        <v>5.000000000000001E-3</v>
      </c>
      <c r="E93" s="3789" t="s">
        <v>2092</v>
      </c>
      <c r="F93" s="3790"/>
      <c r="G93" s="3790"/>
      <c r="H93" s="3799"/>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2110</v>
      </c>
      <c r="B94" s="175" t="s">
        <v>2111</v>
      </c>
      <c r="C94" s="2808">
        <f>ROUND((C87+C90+C91)*D94,0)</f>
        <v>0</v>
      </c>
      <c r="D94" s="2803">
        <v>0.2</v>
      </c>
      <c r="E94" s="3800" t="s">
        <v>2112</v>
      </c>
      <c r="F94" s="3801"/>
      <c r="G94" s="3801"/>
      <c r="H94" s="3802"/>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2093</v>
      </c>
      <c r="C95" s="2794">
        <f ca="1">ROUND(C85-C86,0)</f>
        <v>311</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2094</v>
      </c>
      <c r="C96" s="2804">
        <f ca="1">IF(C95&lt;=0,0,C95/C86)</f>
        <v>155.5</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2095</v>
      </c>
      <c r="C97" s="2805">
        <f ca="1">ROUND(IF(C95&lt;=0,0,IF(C96&gt;=200%,C95*60%-C86*35%,IF(C96&gt;=100%,C95*50%-C86*15%,IF(C96&gt;=50%,C95*40%-C86*5%,IF(C96&lt;50%,C95*30%,0))))),0)</f>
        <v>186</v>
      </c>
      <c r="D97" s="280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2113</v>
      </c>
      <c r="B99" s="1933"/>
      <c r="C99" s="1933"/>
      <c r="D99" s="1933"/>
      <c r="E99" s="1763"/>
      <c r="F99" s="1763"/>
      <c r="G99" s="1763"/>
      <c r="H99" s="1762"/>
      <c r="I99" s="134"/>
    </row>
    <row r="100" spans="1:35" ht="18.75" customHeight="1">
      <c r="A100" s="3750" t="s">
        <v>2114</v>
      </c>
      <c r="B100" s="3751"/>
      <c r="C100" s="3751"/>
      <c r="D100" s="3791"/>
      <c r="E100" s="3751" t="s">
        <v>2115</v>
      </c>
      <c r="F100" s="3751"/>
      <c r="G100" s="3751"/>
      <c r="H100" s="3791"/>
      <c r="I100" s="134"/>
    </row>
    <row r="101" spans="1:35" ht="18.75" customHeight="1">
      <c r="A101" s="3855" t="s">
        <v>2116</v>
      </c>
      <c r="B101" s="3856"/>
      <c r="C101" s="2811" t="str">
        <f>C4</f>
        <v>成本法</v>
      </c>
      <c r="D101" s="2812" t="str">
        <f>D4</f>
        <v>收益法</v>
      </c>
      <c r="E101" s="3869" t="s">
        <v>2117</v>
      </c>
      <c r="F101" s="3823"/>
      <c r="G101" s="2013" t="s">
        <v>2118</v>
      </c>
      <c r="H101" s="2821">
        <f ca="1">H118</f>
        <v>329</v>
      </c>
      <c r="I101" s="134"/>
    </row>
    <row r="102" spans="1:35" ht="18.75" customHeight="1">
      <c r="A102" s="3825" t="s">
        <v>2119</v>
      </c>
      <c r="B102" s="2810" t="s">
        <v>2118</v>
      </c>
      <c r="C102" s="2811">
        <f ca="1">C19</f>
        <v>233</v>
      </c>
      <c r="D102" s="2812">
        <f ca="1">D19</f>
        <v>714</v>
      </c>
      <c r="E102" s="3869"/>
      <c r="F102" s="3823"/>
      <c r="G102" s="2013" t="s">
        <v>2120</v>
      </c>
      <c r="H102" s="2781">
        <f ca="1">I118</f>
        <v>16621</v>
      </c>
      <c r="I102" s="134"/>
    </row>
    <row r="103" spans="1:35" ht="42.75" customHeight="1">
      <c r="A103" s="3825"/>
      <c r="B103" s="2810" t="s">
        <v>2120</v>
      </c>
      <c r="C103" s="2813">
        <f ca="1">C20</f>
        <v>11764</v>
      </c>
      <c r="D103" s="2814">
        <f ca="1">D20</f>
        <v>36048</v>
      </c>
      <c r="E103" s="3863" t="s">
        <v>2121</v>
      </c>
      <c r="F103" s="3864"/>
      <c r="G103" s="2014" t="s">
        <v>2122</v>
      </c>
      <c r="H103" s="2821">
        <f>IF(D36="正常操作",H104+H105+H106,H105+H106)</f>
        <v>0</v>
      </c>
      <c r="I103" s="134"/>
    </row>
    <row r="104" spans="1:35" ht="18.75" customHeight="1">
      <c r="A104" s="3825" t="s">
        <v>2123</v>
      </c>
      <c r="B104" s="2815" t="s">
        <v>2118</v>
      </c>
      <c r="C104" s="2816">
        <f ca="1">H118</f>
        <v>329</v>
      </c>
      <c r="D104" s="2817"/>
      <c r="E104" s="1860" t="s">
        <v>2124</v>
      </c>
      <c r="F104" s="1851"/>
      <c r="G104" s="2014" t="s">
        <v>2122</v>
      </c>
      <c r="H104" s="2822">
        <f>IF(D36="同一抵押权人同一抵押物续贷",C36&amp;"（续贷，未扣减，详见特别提示）",C36)</f>
        <v>0</v>
      </c>
      <c r="I104" s="134"/>
    </row>
    <row r="105" spans="1:35" ht="18.75" customHeight="1" thickBot="1">
      <c r="A105" s="3826"/>
      <c r="B105" s="2818" t="s">
        <v>2120</v>
      </c>
      <c r="C105" s="2819">
        <f ca="1">I118</f>
        <v>16621</v>
      </c>
      <c r="D105" s="2820"/>
      <c r="E105" s="1860" t="s">
        <v>2125</v>
      </c>
      <c r="F105" s="1851"/>
      <c r="G105" s="2014" t="s">
        <v>2122</v>
      </c>
      <c r="H105" s="2823">
        <f>C37</f>
        <v>0</v>
      </c>
      <c r="I105" s="134"/>
    </row>
    <row r="106" spans="1:35" ht="18.75" customHeight="1">
      <c r="A106" s="1933" t="s">
        <v>2126</v>
      </c>
      <c r="B106" s="1933"/>
      <c r="C106" s="1933"/>
      <c r="D106" s="1933"/>
      <c r="E106" s="2015" t="s">
        <v>2127</v>
      </c>
      <c r="F106" s="1851"/>
      <c r="G106" s="2014" t="s">
        <v>2122</v>
      </c>
      <c r="H106" s="2823">
        <f>C38</f>
        <v>0</v>
      </c>
      <c r="I106" s="134"/>
    </row>
    <row r="107" spans="1:35" ht="18.75" customHeight="1">
      <c r="A107" s="134"/>
      <c r="B107" s="134"/>
      <c r="C107" s="134"/>
      <c r="D107" s="134"/>
      <c r="E107" s="3822" t="str">
        <f>IF(项目基本情况!E8="已注销","——","3.房地产抵押价值")</f>
        <v>——</v>
      </c>
      <c r="F107" s="3823"/>
      <c r="G107" s="2013" t="s">
        <v>2118</v>
      </c>
      <c r="H107" s="2821" t="str">
        <f>IF(E107="——","——",H101-H103)</f>
        <v>——</v>
      </c>
      <c r="I107" s="134"/>
    </row>
    <row r="108" spans="1:35" ht="18.75" customHeight="1">
      <c r="A108" s="134"/>
      <c r="B108" s="134"/>
      <c r="C108" s="134"/>
      <c r="D108" s="134"/>
      <c r="E108" s="3822"/>
      <c r="F108" s="3823"/>
      <c r="G108" s="2013" t="s">
        <v>2120</v>
      </c>
      <c r="H108" s="2781" t="e">
        <f>ROUND(H107*10000/'数据-汇总表'!E3,0)</f>
        <v>#VALUE!</v>
      </c>
      <c r="I108" s="134"/>
    </row>
    <row r="109" spans="1:35" ht="18.75" customHeight="1">
      <c r="A109" s="134"/>
      <c r="B109" s="134"/>
      <c r="C109" s="134"/>
      <c r="D109" s="134"/>
      <c r="E109" s="3822" t="str">
        <f>IF(项目基本情况!E8="已注销及未注销","4.抵押担保权已注销时的房地产抵押价值",IF(项目基本情况!E8="已注销","3.抵押担保权已注销时的房地产抵押价值","——"))</f>
        <v>3.抵押担保权已注销时的房地产抵押价值</v>
      </c>
      <c r="F109" s="3823"/>
      <c r="G109" s="2013" t="s">
        <v>2118</v>
      </c>
      <c r="H109" s="2824">
        <f ca="1">IF(E109="——","——",H101-H105-H106)</f>
        <v>329</v>
      </c>
      <c r="I109" s="134"/>
    </row>
    <row r="110" spans="1:35" ht="18.75" customHeight="1">
      <c r="A110" s="134"/>
      <c r="B110" s="134"/>
      <c r="C110" s="134"/>
      <c r="D110" s="134"/>
      <c r="E110" s="3822"/>
      <c r="F110" s="3823"/>
      <c r="G110" s="2013" t="s">
        <v>2120</v>
      </c>
      <c r="H110" s="2781">
        <f ca="1">IF(H109="——","——",ROUND(H109*10000/'数据-汇总表'!E3,0))</f>
        <v>16610</v>
      </c>
      <c r="I110" s="134"/>
    </row>
    <row r="111" spans="1:35" ht="18.75" customHeight="1">
      <c r="A111" s="134"/>
      <c r="B111" s="134"/>
      <c r="C111" s="134"/>
      <c r="D111" s="134"/>
      <c r="E111" s="3857" t="str">
        <f>IF(项目基本情况!E9="抵押净值",IF(OR(项目基本情况!E8="已注销",项目基本情况!E8="房地产抵押价值"),"4.抵押净值","5.抵押净值"),"——")</f>
        <v>——</v>
      </c>
      <c r="F111" s="3824"/>
      <c r="G111" s="2013" t="s">
        <v>2118</v>
      </c>
      <c r="H111" s="2821" t="str">
        <f>IF(E111="——","——",N59)</f>
        <v>——</v>
      </c>
      <c r="I111" s="134"/>
    </row>
    <row r="112" spans="1:35" ht="18.75" customHeight="1" thickBot="1">
      <c r="A112" s="134"/>
      <c r="B112" s="134"/>
      <c r="C112" s="134"/>
      <c r="D112" s="134"/>
      <c r="E112" s="3858"/>
      <c r="F112" s="3859"/>
      <c r="G112" s="2016" t="s">
        <v>2120</v>
      </c>
      <c r="H112" s="2825" t="str">
        <f>IF(E111="——","——",N61)</f>
        <v>——</v>
      </c>
      <c r="I112" s="134"/>
    </row>
    <row r="113" spans="1:27" ht="18.75" customHeight="1">
      <c r="A113" s="134"/>
      <c r="B113" s="134"/>
      <c r="C113" s="134"/>
      <c r="D113" s="134"/>
      <c r="E113" s="3827" t="s">
        <v>2126</v>
      </c>
      <c r="F113" s="3827"/>
      <c r="G113" s="3827"/>
      <c r="H113" s="3827"/>
      <c r="I113" s="134"/>
    </row>
    <row r="114" spans="1:27" ht="3.75" customHeight="1">
      <c r="A114" s="1933"/>
      <c r="B114" s="1933"/>
      <c r="C114" s="1933"/>
      <c r="D114" s="1933"/>
      <c r="E114" s="1995"/>
      <c r="F114" s="1995"/>
      <c r="G114" s="1995"/>
      <c r="H114" s="1995"/>
      <c r="I114" s="1933"/>
    </row>
    <row r="115" spans="1:27" ht="18.75" customHeight="1">
      <c r="A115" s="3840" t="s">
        <v>2128</v>
      </c>
      <c r="B115" s="3841"/>
      <c r="C115" s="3841"/>
      <c r="D115" s="3841"/>
      <c r="E115" s="3841"/>
      <c r="F115" s="3841"/>
      <c r="G115" s="3841"/>
      <c r="H115" s="3841"/>
      <c r="I115" s="3842"/>
    </row>
    <row r="116" spans="1:27" ht="27" customHeight="1">
      <c r="A116" s="3793" t="s">
        <v>2129</v>
      </c>
      <c r="B116" s="3828" t="s">
        <v>2130</v>
      </c>
      <c r="C116" s="3828" t="s">
        <v>2131</v>
      </c>
      <c r="D116" s="3844" t="s">
        <v>2132</v>
      </c>
      <c r="E116" s="3845"/>
      <c r="F116" s="3836" t="s">
        <v>2133</v>
      </c>
      <c r="G116" s="3836"/>
      <c r="H116" s="3793" t="s">
        <v>2134</v>
      </c>
      <c r="I116" s="3793"/>
    </row>
    <row r="117" spans="1:27" ht="18.75" customHeight="1">
      <c r="A117" s="3793"/>
      <c r="B117" s="3829"/>
      <c r="C117" s="3829"/>
      <c r="D117" s="2552" t="s">
        <v>2135</v>
      </c>
      <c r="E117" s="2552" t="s">
        <v>2136</v>
      </c>
      <c r="F117" s="2552" t="s">
        <v>2135</v>
      </c>
      <c r="G117" s="2552" t="s">
        <v>2137</v>
      </c>
      <c r="H117" s="2552" t="s">
        <v>2135</v>
      </c>
      <c r="I117" s="2552" t="s">
        <v>2137</v>
      </c>
    </row>
    <row r="118" spans="1:27" ht="24.75" customHeight="1">
      <c r="A118" s="2826" t="str">
        <f>项目基本情况!S2</f>
        <v>房地产</v>
      </c>
      <c r="B118" s="2552">
        <f>M18</f>
        <v>198.07</v>
      </c>
      <c r="C118" s="2552">
        <f>M19</f>
        <v>1442.46</v>
      </c>
      <c r="D118" s="2552">
        <f ca="1">ROUND(IF(D32="总价",C34,E118*B118/10000),0)</f>
        <v>246</v>
      </c>
      <c r="E118" s="2552">
        <f ca="1">ROUND(IF(C33="自定义",IF(D32="楼面单价",C34,D118*10000/B118),I118-G118),0)</f>
        <v>12416</v>
      </c>
      <c r="F118" s="2552">
        <f ca="1">ROUND(IF(D32="总价",C35,G118*B118/10000),0)</f>
        <v>83</v>
      </c>
      <c r="G118" s="2552">
        <f ca="1">ROUND(IF(D32="楼面单价",C35,F118*10000/B118),0)</f>
        <v>4205</v>
      </c>
      <c r="H118" s="2552">
        <f ca="1">ROUND(IF(D32="总价",C32,I118*B118/10000),0)</f>
        <v>329</v>
      </c>
      <c r="I118" s="2552">
        <f ca="1">ROUND(IF(D32="楼面单价",C32,H118*10000/B118),0)</f>
        <v>16621</v>
      </c>
    </row>
    <row r="119" spans="1:27" ht="18.75" customHeight="1">
      <c r="A119" s="3793" t="s">
        <v>2138</v>
      </c>
      <c r="B119" s="3793"/>
      <c r="C119" s="3793"/>
      <c r="D119" s="3833" t="str">
        <f ca="1">NUMBERSTRING(INT(D118*10000),2)&amp;"元整"</f>
        <v>贰佰肆拾陆万元整</v>
      </c>
      <c r="E119" s="3835"/>
      <c r="F119" s="3833" t="str">
        <f ca="1">NUMBERSTRING(INT(F118*10000),2)&amp;"元整"</f>
        <v>捌拾叁万元整</v>
      </c>
      <c r="G119" s="3835"/>
      <c r="H119" s="3833" t="str">
        <f ca="1">NUMBERSTRING(INT(H118*10000),2)&amp;"元整"</f>
        <v>叁佰贰拾玖万元整</v>
      </c>
      <c r="I119" s="3835"/>
    </row>
    <row r="120" spans="1:27" ht="18.75" customHeight="1">
      <c r="A120" s="3860" t="str">
        <f>IF(项目基本情况!B9="房地产市场价值","",MID(E103,3,LEN(E103)-2))</f>
        <v/>
      </c>
      <c r="B120" s="3861"/>
      <c r="C120" s="3862"/>
      <c r="D120" s="3860">
        <f>H103</f>
        <v>0</v>
      </c>
      <c r="E120" s="3861"/>
      <c r="F120" s="3861"/>
      <c r="G120" s="3861"/>
      <c r="H120" s="3861"/>
      <c r="I120" s="3862"/>
      <c r="J120" s="1938"/>
      <c r="K120" s="1938" t="str">
        <f>IF(D120=0,"故，本次评估不存在"&amp;A120,"故，本次评估"&amp;A120&amp;"为人民币"&amp;D120&amp;"万元整。")</f>
        <v>故，本次评估不存在</v>
      </c>
      <c r="L120" s="1938"/>
      <c r="M120" s="1938"/>
      <c r="N120" s="1938"/>
      <c r="O120" s="1938"/>
      <c r="P120" s="1938"/>
      <c r="Q120" s="1938"/>
      <c r="R120" s="1938"/>
      <c r="S120" s="1938"/>
    </row>
    <row r="121" spans="1:27" ht="18.75" customHeight="1">
      <c r="A121" s="3837" t="s">
        <v>2138</v>
      </c>
      <c r="B121" s="3838"/>
      <c r="C121" s="3839"/>
      <c r="D121" s="3833" t="str">
        <f>IF(D120=0,"零元整",NUMBERSTRING(INT(D120*10000),2)&amp;"元整")</f>
        <v>零元整</v>
      </c>
      <c r="E121" s="3834"/>
      <c r="F121" s="3834"/>
      <c r="G121" s="3834"/>
      <c r="H121" s="3834"/>
      <c r="I121" s="3835"/>
      <c r="AA121" s="734"/>
    </row>
    <row r="122" spans="1:27" ht="18.75" customHeight="1">
      <c r="A122" s="3824" t="str">
        <f>IF(项目基本情况!B9="房地产市场价值","",MID(E107,3,LEN(E107)-2))</f>
        <v/>
      </c>
      <c r="B122" s="3824"/>
      <c r="C122" s="3824"/>
      <c r="D122" s="3860" t="str">
        <f>H107</f>
        <v>——</v>
      </c>
      <c r="E122" s="3861"/>
      <c r="F122" s="3861"/>
      <c r="G122" s="3861"/>
      <c r="H122" s="3861"/>
      <c r="I122" s="3862"/>
      <c r="AA122" s="734"/>
    </row>
    <row r="123" spans="1:27" ht="18.75" customHeight="1">
      <c r="A123" s="3793" t="s">
        <v>2138</v>
      </c>
      <c r="B123" s="3793"/>
      <c r="C123" s="3793"/>
      <c r="D123" s="3833" t="e">
        <f>NUMBERSTRING(INT(D122*10000),2)&amp;"元整"</f>
        <v>#VALUE!</v>
      </c>
      <c r="E123" s="3834"/>
      <c r="F123" s="3834"/>
      <c r="G123" s="3834"/>
      <c r="H123" s="3834"/>
      <c r="I123" s="3835"/>
      <c r="AA123" s="734"/>
    </row>
    <row r="124" spans="1:27" ht="18.75" customHeight="1">
      <c r="A124" s="3824" t="str">
        <f>IF(项目基本情况!B9="房地产市场价值","",MID(E109,3,LEN(E109)-2))</f>
        <v/>
      </c>
      <c r="B124" s="3824"/>
      <c r="C124" s="3824"/>
      <c r="D124" s="3860">
        <f ca="1">H109</f>
        <v>329</v>
      </c>
      <c r="E124" s="3861"/>
      <c r="F124" s="3861"/>
      <c r="G124" s="3861"/>
      <c r="H124" s="3861"/>
      <c r="I124" s="3862"/>
      <c r="AA124" s="734"/>
    </row>
    <row r="125" spans="1:27" ht="18.75" customHeight="1">
      <c r="A125" s="3793" t="s">
        <v>2138</v>
      </c>
      <c r="B125" s="3793"/>
      <c r="C125" s="3793"/>
      <c r="D125" s="3833" t="str">
        <f ca="1">NUMBERSTRING(INT(D124*10000),2)&amp;"元整"</f>
        <v>叁佰贰拾玖万元整</v>
      </c>
      <c r="E125" s="3834"/>
      <c r="F125" s="3834"/>
      <c r="G125" s="3834"/>
      <c r="H125" s="3834"/>
      <c r="I125" s="3835"/>
      <c r="AA125" s="734"/>
    </row>
    <row r="126" spans="1:27" ht="18.75" customHeight="1">
      <c r="A126" s="3824" t="str">
        <f>IF(项目基本情况!B9="房地产市场价值","",MID(E111,3,LEN(E111)-2))</f>
        <v/>
      </c>
      <c r="B126" s="3824"/>
      <c r="C126" s="3824"/>
      <c r="D126" s="3860" t="str">
        <f>H111</f>
        <v>——</v>
      </c>
      <c r="E126" s="3861"/>
      <c r="F126" s="3861"/>
      <c r="G126" s="3861"/>
      <c r="H126" s="3861"/>
      <c r="I126" s="3862"/>
      <c r="AA126" s="734"/>
    </row>
    <row r="127" spans="1:27" ht="18.75" customHeight="1">
      <c r="A127" s="3793" t="s">
        <v>2138</v>
      </c>
      <c r="B127" s="3793"/>
      <c r="C127" s="3793"/>
      <c r="D127" s="3833" t="e">
        <f>NUMBERSTRING(INT(D126*10000),2)&amp;"元整"</f>
        <v>#VALUE!</v>
      </c>
      <c r="E127" s="3834"/>
      <c r="F127" s="3834"/>
      <c r="G127" s="3834"/>
      <c r="H127" s="3834"/>
      <c r="I127" s="3835"/>
      <c r="AA127" s="734"/>
    </row>
    <row r="128" spans="1:27" ht="21.75" customHeight="1">
      <c r="A128" s="3843" t="s">
        <v>2139</v>
      </c>
      <c r="B128" s="3843"/>
      <c r="C128" s="3843"/>
      <c r="D128" s="3843"/>
      <c r="E128" s="3843"/>
      <c r="F128" s="3843"/>
      <c r="G128" s="3843"/>
      <c r="H128" s="3843"/>
      <c r="I128" s="3843"/>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93" priority="21" stopIfTrue="1" operator="equal">
      <formula>25</formula>
    </cfRule>
  </conditionalFormatting>
  <conditionalFormatting sqref="C8:C9">
    <cfRule type="cellIs" dxfId="192" priority="19" stopIfTrue="1" operator="equal">
      <formula>15</formula>
    </cfRule>
  </conditionalFormatting>
  <conditionalFormatting sqref="C14:C16">
    <cfRule type="cellIs" dxfId="191" priority="13" stopIfTrue="1" operator="equal">
      <formula>30</formula>
    </cfRule>
  </conditionalFormatting>
  <conditionalFormatting sqref="D5:D7">
    <cfRule type="cellIs" dxfId="190" priority="10" stopIfTrue="1" operator="equal">
      <formula>25</formula>
    </cfRule>
  </conditionalFormatting>
  <conditionalFormatting sqref="D8:D9">
    <cfRule type="cellIs" dxfId="189" priority="9" stopIfTrue="1" operator="equal">
      <formula>15</formula>
    </cfRule>
  </conditionalFormatting>
  <conditionalFormatting sqref="C10:D13">
    <cfRule type="cellIs" dxfId="188" priority="8" stopIfTrue="1" operator="equal">
      <formula>15</formula>
    </cfRule>
  </conditionalFormatting>
  <conditionalFormatting sqref="D14:D16">
    <cfRule type="cellIs" dxfId="187" priority="6" stopIfTrue="1" operator="equal">
      <formula>30</formula>
    </cfRule>
  </conditionalFormatting>
  <conditionalFormatting sqref="C90">
    <cfRule type="expression" dxfId="186" priority="3" stopIfTrue="1">
      <formula>$H$88&lt;&gt;"仅含出让金"</formula>
    </cfRule>
  </conditionalFormatting>
  <conditionalFormatting sqref="C91">
    <cfRule type="expression" dxfId="185" priority="2" stopIfTrue="1">
      <formula>$H$91="由企业提供"</formula>
    </cfRule>
  </conditionalFormatting>
  <conditionalFormatting sqref="E36">
    <cfRule type="expression" dxfId="184"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"100%,80%,60%,64%"</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topLeftCell="A25" zoomScale="90" zoomScaleNormal="70" zoomScaleSheetLayoutView="90" workbookViewId="0">
      <selection activeCell="C51" sqref="C51"/>
    </sheetView>
  </sheetViews>
  <sheetFormatPr defaultColWidth="8.375" defaultRowHeight="12.75"/>
  <cols>
    <col min="1" max="1" width="10.375" style="275" customWidth="1"/>
    <col min="2" max="2" width="29.125" style="257" customWidth="1"/>
    <col min="3" max="3" width="12.125" style="257" customWidth="1"/>
    <col min="4" max="5" width="1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t="s">
        <v>1343</v>
      </c>
      <c r="C1" s="204"/>
      <c r="D1" s="204"/>
      <c r="E1" s="204"/>
      <c r="F1" s="204"/>
      <c r="G1" s="1288">
        <f>MATCH(B1,'数据-取费表'!A6:A16,0)+5</f>
        <v>6</v>
      </c>
    </row>
    <row r="2" spans="1:9" s="206" customFormat="1" ht="18" customHeight="1">
      <c r="A2" s="207" t="s">
        <v>2148</v>
      </c>
      <c r="B2" s="208">
        <f ca="1">IF(D2="——",C52,C52-E2)</f>
        <v>233</v>
      </c>
      <c r="C2" s="205" t="s">
        <v>2149</v>
      </c>
      <c r="D2" s="2039" t="s">
        <v>70</v>
      </c>
      <c r="E2" s="1331"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11764</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C6+C7+C8</f>
        <v>179</v>
      </c>
      <c r="D5" s="217" t="s">
        <v>2155</v>
      </c>
      <c r="E5" s="218" t="s">
        <v>2156</v>
      </c>
      <c r="F5" s="218" t="s">
        <v>2157</v>
      </c>
      <c r="G5" s="219"/>
    </row>
    <row r="6" spans="1:9" s="220" customFormat="1" ht="13.5" customHeight="1">
      <c r="A6" s="886" t="s">
        <v>2158</v>
      </c>
      <c r="B6" s="221" t="s">
        <v>2159</v>
      </c>
      <c r="C6" s="222">
        <f>'比较法-土地'!B2</f>
        <v>174</v>
      </c>
      <c r="D6" s="223"/>
      <c r="E6" s="224"/>
      <c r="F6" s="224"/>
      <c r="G6" s="225"/>
    </row>
    <row r="7" spans="1:9" s="220" customFormat="1" ht="13.5" customHeight="1">
      <c r="A7" s="886" t="s">
        <v>2160</v>
      </c>
      <c r="B7" s="221" t="s">
        <v>2161</v>
      </c>
      <c r="C7" s="226">
        <f>ROUND(C6*F7,0)</f>
        <v>5</v>
      </c>
      <c r="D7" s="226"/>
      <c r="E7" s="224"/>
      <c r="F7" s="227">
        <f>IF(项目基本情况!B8="出让",0,'数据-取费表'!B48+'数据-取费表'!B49)</f>
        <v>3.0499999999999999E-2</v>
      </c>
      <c r="G7" s="225"/>
    </row>
    <row r="8" spans="1:9" s="229" customFormat="1">
      <c r="A8" s="886" t="s">
        <v>2162</v>
      </c>
      <c r="B8" s="221" t="s">
        <v>2163</v>
      </c>
      <c r="C8" s="226" t="str">
        <f>IF(G8="已包含在土地购买价格中","0",IF(B1="",'数据-取费表'!B29,IF(G9="全部缴纳",C9+C10,H9)))</f>
        <v>0</v>
      </c>
      <c r="D8" s="228"/>
      <c r="E8" s="226"/>
      <c r="F8" s="227"/>
      <c r="G8" s="2042" t="s">
        <v>1116</v>
      </c>
    </row>
    <row r="9" spans="1:9" s="220" customFormat="1" ht="13.5" customHeight="1">
      <c r="A9" s="887" t="s">
        <v>800</v>
      </c>
      <c r="B9" s="230" t="s">
        <v>2164</v>
      </c>
      <c r="C9" s="231">
        <f ca="1">ROUND(D9*E9/10000,0)</f>
        <v>0</v>
      </c>
      <c r="D9" s="954">
        <f ca="1">IF(B1="",'数据-汇总表'!E5,IF(INDIRECT("'数据-取费表'!c"&amp;$G$1)="住宅",INDIRECT("'数据-取费表'!k"&amp;$G$1),0))</f>
        <v>0</v>
      </c>
      <c r="E9" s="231">
        <f>'数据-取费表'!B27</f>
        <v>0</v>
      </c>
      <c r="F9" s="227"/>
      <c r="G9" s="2043" t="s">
        <v>3075</v>
      </c>
      <c r="H9" s="1299"/>
      <c r="I9" s="2044" t="s">
        <v>2165</v>
      </c>
    </row>
    <row r="10" spans="1:9" s="220" customFormat="1" ht="13.5" customHeight="1">
      <c r="A10" s="887" t="s">
        <v>801</v>
      </c>
      <c r="B10" s="230" t="s">
        <v>2166</v>
      </c>
      <c r="C10" s="231">
        <f ca="1">ROUND(D10*E10/10000,0)</f>
        <v>3</v>
      </c>
      <c r="D10" s="954">
        <f ca="1">IF(B1="",'数据-汇总表'!E6,IF(INDIRECT("'数据-取费表'!c"&amp;$G$1)="住宅",INDIRECT("'数据-取费表'!s"&amp;$G$1),INDIRECT("'数据-取费表'!k"&amp;$G$1)+INDIRECT("'数据-取费表'!s"&amp;$G$1)))</f>
        <v>198.07</v>
      </c>
      <c r="E10" s="231">
        <f>'数据-取费表'!B28</f>
        <v>140</v>
      </c>
      <c r="F10" s="227"/>
      <c r="G10" s="232"/>
    </row>
    <row r="11" spans="1:9" s="220" customFormat="1" ht="13.5" hidden="1" customHeight="1">
      <c r="A11" s="233" t="s">
        <v>7</v>
      </c>
      <c r="B11" s="221" t="s">
        <v>2167</v>
      </c>
      <c r="C11" s="217"/>
      <c r="D11" s="956"/>
      <c r="E11" s="224"/>
      <c r="F11" s="224"/>
      <c r="G11" s="225"/>
    </row>
    <row r="12" spans="1:9" s="220" customFormat="1" ht="13.5" hidden="1" customHeight="1">
      <c r="A12" s="233" t="s">
        <v>8</v>
      </c>
      <c r="B12" s="221" t="s">
        <v>2168</v>
      </c>
      <c r="C12" s="217">
        <v>0</v>
      </c>
      <c r="D12" s="956"/>
      <c r="E12" s="234"/>
      <c r="F12" s="227">
        <v>3.0499999999999999E-2</v>
      </c>
      <c r="G12" s="225"/>
    </row>
    <row r="13" spans="1:9" s="220" customFormat="1" ht="13.5" hidden="1" customHeight="1">
      <c r="A13" s="233" t="s">
        <v>9</v>
      </c>
      <c r="B13" s="221" t="s">
        <v>2169</v>
      </c>
      <c r="C13" s="217"/>
      <c r="D13" s="956"/>
      <c r="E13" s="224"/>
      <c r="F13" s="224"/>
      <c r="G13" s="225"/>
    </row>
    <row r="14" spans="1:9" s="220" customFormat="1" ht="13.5" hidden="1" customHeight="1">
      <c r="A14" s="233" t="s">
        <v>10</v>
      </c>
      <c r="B14" s="221" t="s">
        <v>2170</v>
      </c>
      <c r="C14" s="217"/>
      <c r="D14" s="956"/>
      <c r="E14" s="224"/>
      <c r="F14" s="224"/>
      <c r="G14" s="225" t="s">
        <v>2171</v>
      </c>
    </row>
    <row r="15" spans="1:9" s="220" customFormat="1" ht="13.5" hidden="1" customHeight="1">
      <c r="A15" s="233" t="s">
        <v>11</v>
      </c>
      <c r="B15" s="221" t="s">
        <v>2172</v>
      </c>
      <c r="C15" s="226"/>
      <c r="D15" s="956"/>
      <c r="E15" s="224"/>
      <c r="F15" s="224"/>
      <c r="G15" s="225" t="s">
        <v>2173</v>
      </c>
    </row>
    <row r="16" spans="1:9" s="220" customFormat="1" ht="13.5" hidden="1" customHeight="1">
      <c r="A16" s="233" t="s">
        <v>12</v>
      </c>
      <c r="B16" s="221" t="s">
        <v>2170</v>
      </c>
      <c r="C16" s="226"/>
      <c r="D16" s="956"/>
      <c r="E16" s="224"/>
      <c r="F16" s="224"/>
      <c r="G16" s="225"/>
    </row>
    <row r="17" spans="1:7" s="220" customFormat="1" ht="13.5" hidden="1" customHeight="1">
      <c r="A17" s="233" t="s">
        <v>13</v>
      </c>
      <c r="B17" s="221" t="s">
        <v>2174</v>
      </c>
      <c r="C17" s="235"/>
      <c r="D17" s="957"/>
      <c r="E17" s="235"/>
      <c r="F17" s="235"/>
      <c r="G17" s="225" t="s">
        <v>2173</v>
      </c>
    </row>
    <row r="18" spans="1:7" s="220" customFormat="1" ht="13.5" hidden="1" customHeight="1">
      <c r="A18" s="233" t="s">
        <v>14</v>
      </c>
      <c r="B18" s="221" t="s">
        <v>2175</v>
      </c>
      <c r="C18" s="226">
        <v>0</v>
      </c>
      <c r="D18" s="956"/>
      <c r="E18" s="224"/>
      <c r="F18" s="227">
        <v>3.0499999999999999E-2</v>
      </c>
      <c r="G18" s="225" t="s">
        <v>2176</v>
      </c>
    </row>
    <row r="19" spans="1:7" s="229" customFormat="1" ht="13.5" customHeight="1">
      <c r="A19" s="261" t="s">
        <v>2177</v>
      </c>
      <c r="B19" s="216" t="s">
        <v>2178</v>
      </c>
      <c r="C19" s="217" t="str">
        <f>IF(G19="已包含在土地取得成本中","0",ROUND(D19*E19/10000,0))</f>
        <v>0</v>
      </c>
      <c r="D19" s="958">
        <f ca="1">D9+D10</f>
        <v>198.07</v>
      </c>
      <c r="E19" s="217">
        <f>'数据-取费表'!B31</f>
        <v>200</v>
      </c>
      <c r="F19" s="237"/>
      <c r="G19" s="2042" t="s">
        <v>3076</v>
      </c>
    </row>
    <row r="20" spans="1:7" s="220" customFormat="1" ht="13.5" customHeight="1">
      <c r="A20" s="261" t="s">
        <v>2179</v>
      </c>
      <c r="B20" s="216" t="s">
        <v>2180</v>
      </c>
      <c r="C20" s="238">
        <f>ROUND((C5+C19)*F20,0)</f>
        <v>9</v>
      </c>
      <c r="D20" s="238"/>
      <c r="E20" s="238"/>
      <c r="F20" s="239">
        <f>'数据-取费表'!B37</f>
        <v>0.05</v>
      </c>
      <c r="G20" s="240" t="s">
        <v>2181</v>
      </c>
    </row>
    <row r="21" spans="1:7" s="220" customFormat="1" ht="13.5" customHeight="1">
      <c r="A21" s="261" t="s">
        <v>2182</v>
      </c>
      <c r="B21" s="216" t="s">
        <v>2183</v>
      </c>
      <c r="C21" s="241">
        <f>F21</f>
        <v>0.05</v>
      </c>
      <c r="D21" s="242" t="s">
        <v>2184</v>
      </c>
      <c r="E21" s="238"/>
      <c r="F21" s="239">
        <f>'数据-取费表'!B38</f>
        <v>0.05</v>
      </c>
      <c r="G21" s="240" t="s">
        <v>2185</v>
      </c>
    </row>
    <row r="22" spans="1:7" s="220" customFormat="1" ht="13.5" customHeight="1">
      <c r="A22" s="261" t="s">
        <v>2186</v>
      </c>
      <c r="B22" s="216" t="s">
        <v>2187</v>
      </c>
      <c r="C22" s="1264">
        <f ca="1">ROUND(SUM(C23:C25),0)</f>
        <v>10</v>
      </c>
      <c r="D22" s="241">
        <f ca="1">C26</f>
        <v>1.4E-3</v>
      </c>
      <c r="E22" s="242" t="s">
        <v>2184</v>
      </c>
      <c r="F22" s="243">
        <f ca="1">'数据-取费表'!B40</f>
        <v>3.85E-2</v>
      </c>
      <c r="G22" s="240" t="str">
        <f>IF('数据-取费表'!B22&lt;=1,"单利计息","复利计息")</f>
        <v>复利计息</v>
      </c>
    </row>
    <row r="23" spans="1:7" s="220" customFormat="1" ht="13.5" customHeight="1">
      <c r="A23" s="888" t="s">
        <v>2188</v>
      </c>
      <c r="B23" s="221" t="s">
        <v>2189</v>
      </c>
      <c r="C23" s="1265">
        <f ca="1">ROUND(IF('数据-取费表'!B22&lt;=1,C5*F22*'数据-取费表'!B23,C5*(POWER((1+F22),'数据-取费表'!B23)-1)),0)</f>
        <v>10</v>
      </c>
      <c r="D23" s="244"/>
      <c r="E23" s="244"/>
      <c r="F23" s="245"/>
      <c r="G23" s="246" t="s">
        <v>2190</v>
      </c>
    </row>
    <row r="24" spans="1:7" s="220" customFormat="1" ht="13.5" customHeight="1">
      <c r="A24" s="888" t="s">
        <v>2191</v>
      </c>
      <c r="B24" s="221" t="s">
        <v>2192</v>
      </c>
      <c r="C24" s="1265">
        <f ca="1">ROUND(IF('数据-取费表'!B22&lt;=1,C19*F22*('数据-取费表'!B19/2+'数据-取费表'!B21),C19*(POWER((1+F22),('数据-取费表'!B19/2+'数据-取费表'!B21))-1)),0)</f>
        <v>0</v>
      </c>
      <c r="D24" s="244"/>
      <c r="E24" s="244"/>
      <c r="F24" s="245"/>
      <c r="G24" s="246" t="s">
        <v>2193</v>
      </c>
    </row>
    <row r="25" spans="1:7" s="220" customFormat="1" ht="24">
      <c r="A25" s="888" t="s">
        <v>2194</v>
      </c>
      <c r="B25" s="221" t="s">
        <v>2195</v>
      </c>
      <c r="C25" s="1265">
        <f ca="1">ROUND(IF('数据-取费表'!B22&lt;=1,C20*F22*'数据-取费表'!B23/2,C20*(POWER((1+F22),'数据-取费表'!B23/2)-1)),0)</f>
        <v>0</v>
      </c>
      <c r="D25" s="244"/>
      <c r="E25" s="247"/>
      <c r="F25" s="245"/>
      <c r="G25" s="248" t="s">
        <v>2196</v>
      </c>
    </row>
    <row r="26" spans="1:7" s="220" customFormat="1">
      <c r="A26" s="888" t="s">
        <v>795</v>
      </c>
      <c r="B26" s="221" t="s">
        <v>2197</v>
      </c>
      <c r="C26" s="244">
        <f ca="1">ROUND(IF('数据-取费表'!B22&lt;=1,F21*F22*'数据-取费表'!B23/2,F21*(POWER((1+F22),'数据-取费表'!B23/2)-1)),4)</f>
        <v>1.4E-3</v>
      </c>
      <c r="D26" s="244"/>
      <c r="E26" s="247"/>
      <c r="F26" s="245"/>
      <c r="G26" s="249"/>
    </row>
    <row r="27" spans="1:7" s="220" customFormat="1" ht="24.75">
      <c r="A27" s="261" t="s">
        <v>2198</v>
      </c>
      <c r="B27" s="250" t="s">
        <v>2199</v>
      </c>
      <c r="C27" s="251">
        <f ca="1">C28</f>
        <v>9</v>
      </c>
      <c r="D27" s="241">
        <f ca="1">C29</f>
        <v>2.5000000000000001E-3</v>
      </c>
      <c r="E27" s="242" t="s">
        <v>2200</v>
      </c>
      <c r="F27" s="252">
        <f ca="1">IF(B1="",'数据-取费表'!Q16,INDIRECT("'数据-取费表'!q"&amp;$G$1))</f>
        <v>0.05</v>
      </c>
      <c r="G27" s="253" t="s">
        <v>2201</v>
      </c>
    </row>
    <row r="28" spans="1:7" s="220" customFormat="1" ht="13.5" customHeight="1">
      <c r="A28" s="888" t="s">
        <v>791</v>
      </c>
      <c r="B28" s="254" t="s">
        <v>2202</v>
      </c>
      <c r="C28" s="255">
        <f ca="1">ROUND((C5+C19+C20)*F27*'数据-取费表'!B21/'数据-取费表'!B20,0)</f>
        <v>9</v>
      </c>
      <c r="D28" s="241"/>
      <c r="E28" s="242"/>
      <c r="F28" s="252"/>
      <c r="G28" s="253"/>
    </row>
    <row r="29" spans="1:7" s="220" customFormat="1" ht="13.5" customHeight="1">
      <c r="A29" s="888" t="s">
        <v>792</v>
      </c>
      <c r="B29" s="254" t="s">
        <v>2203</v>
      </c>
      <c r="C29" s="244">
        <f ca="1">ROUND(C21*F27*'数据-取费表'!B21/'数据-取费表'!B20,4)</f>
        <v>2.5000000000000001E-3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3455">
        <f>C6</f>
        <v>174</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57</v>
      </c>
      <c r="D33" s="238"/>
      <c r="E33" s="218"/>
      <c r="F33" s="247"/>
      <c r="G33" s="240"/>
    </row>
    <row r="34" spans="1:7" s="264" customFormat="1" ht="13.5" customHeight="1">
      <c r="A34" s="888" t="s">
        <v>791</v>
      </c>
      <c r="B34" s="221" t="s">
        <v>2211</v>
      </c>
      <c r="C34" s="226">
        <f ca="1">IF(B1="",IF(F34=100%,'数据-取费表'!M16,'数据-取费表'!O16),IF(F34=100%,INDIRECT("'数据-取费表'!m"&amp;$G$1)+INDIRECT("'数据-取费表'!t"&amp;$G$1),INDIRECT("'数据-取费表'!o"&amp;$G$1)+INDIRECT("'数据-取费表'!aq"&amp;$G$1)))</f>
        <v>50</v>
      </c>
      <c r="D34" s="223"/>
      <c r="E34" s="226"/>
      <c r="F34" s="263">
        <f ca="1">IF('数据-取费表'!B24=0,1,IF(B1="",'数据-取费表'!N16,INDIRECT("'数据-取费表'!n"&amp;$G$1)))</f>
        <v>1</v>
      </c>
      <c r="G34" s="225" t="s">
        <v>2212</v>
      </c>
    </row>
    <row r="35" spans="1:7" ht="13.5" customHeight="1">
      <c r="A35" s="888" t="s">
        <v>796</v>
      </c>
      <c r="B35" s="221" t="s">
        <v>2213</v>
      </c>
      <c r="C35" s="226">
        <f ca="1">ROUND(C34*F35,0)</f>
        <v>3</v>
      </c>
      <c r="D35" s="226"/>
      <c r="E35" s="226"/>
      <c r="F35" s="265">
        <f>'数据-取费表'!B33</f>
        <v>0.05</v>
      </c>
      <c r="G35" s="225" t="s">
        <v>2214</v>
      </c>
    </row>
    <row r="36" spans="1:7" ht="24">
      <c r="A36" s="888"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8" t="s">
        <v>798</v>
      </c>
      <c r="B37" s="221" t="s">
        <v>2217</v>
      </c>
      <c r="C37" s="255">
        <f ca="1">ROUND(E37*D37*F34/10000,0)</f>
        <v>3</v>
      </c>
      <c r="D37" s="223">
        <f ca="1">D19</f>
        <v>198.07</v>
      </c>
      <c r="E37" s="255">
        <f>'数据-取费表'!B35</f>
        <v>140</v>
      </c>
      <c r="F37" s="265"/>
      <c r="G37" s="267" t="s">
        <v>2218</v>
      </c>
    </row>
    <row r="38" spans="1:7" ht="13.5" customHeight="1">
      <c r="A38" s="888" t="s">
        <v>799</v>
      </c>
      <c r="B38" s="221" t="s">
        <v>2219</v>
      </c>
      <c r="C38" s="226">
        <f ca="1">ROUND(C34*F38,0)</f>
        <v>1</v>
      </c>
      <c r="D38" s="226"/>
      <c r="E38" s="226"/>
      <c r="F38" s="265">
        <f>'数据-取费表'!B36</f>
        <v>1.4999999999999999E-2</v>
      </c>
      <c r="G38" s="225" t="s">
        <v>2214</v>
      </c>
    </row>
    <row r="39" spans="1:7" s="220" customFormat="1" ht="13.5" customHeight="1">
      <c r="A39" s="261" t="s">
        <v>2220</v>
      </c>
      <c r="B39" s="216" t="s">
        <v>2221</v>
      </c>
      <c r="C39" s="238">
        <f ca="1">ROUND(C33*F20,0)</f>
        <v>3</v>
      </c>
      <c r="D39" s="238"/>
      <c r="E39" s="238"/>
      <c r="F39" s="2535">
        <f>F20</f>
        <v>0.05</v>
      </c>
      <c r="G39" s="240" t="s">
        <v>2222</v>
      </c>
    </row>
    <row r="40" spans="1:7" s="220" customFormat="1" ht="13.5" customHeight="1">
      <c r="A40" s="261" t="s">
        <v>2223</v>
      </c>
      <c r="B40" s="216" t="s">
        <v>2224</v>
      </c>
      <c r="C40" s="1495">
        <f>F21</f>
        <v>0.05</v>
      </c>
      <c r="D40" s="242" t="s">
        <v>2225</v>
      </c>
      <c r="E40" s="238"/>
      <c r="F40" s="2535">
        <f>F21</f>
        <v>0.05</v>
      </c>
      <c r="G40" s="240" t="s">
        <v>2226</v>
      </c>
    </row>
    <row r="41" spans="1:7" s="220" customFormat="1" ht="13.5" customHeight="1">
      <c r="A41" s="261" t="s">
        <v>2227</v>
      </c>
      <c r="B41" s="216" t="s">
        <v>2228</v>
      </c>
      <c r="C41" s="238">
        <f ca="1">ROUND(SUM(C42:C43),0)</f>
        <v>1</v>
      </c>
      <c r="D41" s="241">
        <f ca="1">C44</f>
        <v>1E-3</v>
      </c>
      <c r="E41" s="242" t="s">
        <v>2225</v>
      </c>
      <c r="F41" s="2536">
        <f ca="1">F22</f>
        <v>3.85E-2</v>
      </c>
      <c r="G41" s="240" t="str">
        <f>IF('数据-取费表'!B22&lt;=1,"单利计息","复利计息")</f>
        <v>复利计息</v>
      </c>
    </row>
    <row r="42" spans="1:7" ht="13.5" customHeight="1">
      <c r="A42" s="888" t="s">
        <v>791</v>
      </c>
      <c r="B42" s="221" t="s">
        <v>2229</v>
      </c>
      <c r="C42" s="244">
        <f ca="1">ROUND(IF('数据-取费表'!B22&lt;=1,C33*F22*'数据-取费表'!B21/2,C33*(POWER((1+F22),'数据-取费表'!B21/2)-1)),0)</f>
        <v>1</v>
      </c>
      <c r="D42" s="244"/>
      <c r="E42" s="244"/>
      <c r="F42" s="245"/>
      <c r="G42" s="3876" t="s">
        <v>2230</v>
      </c>
    </row>
    <row r="43" spans="1:7" ht="13.5" customHeight="1">
      <c r="A43" s="888" t="s">
        <v>792</v>
      </c>
      <c r="B43" s="221" t="s">
        <v>2231</v>
      </c>
      <c r="C43" s="244">
        <f ca="1">ROUND(IF('数据-取费表'!B22&lt;=1,C39*F22*'数据-取费表'!B21/2,C39*(POWER((1+F22),'数据-取费表'!B21/2)-1)),0)</f>
        <v>0</v>
      </c>
      <c r="D43" s="244"/>
      <c r="E43" s="244"/>
      <c r="F43" s="245"/>
      <c r="G43" s="3877"/>
    </row>
    <row r="44" spans="1:7" ht="13.5" customHeight="1">
      <c r="A44" s="888" t="s">
        <v>793</v>
      </c>
      <c r="B44" s="221" t="s">
        <v>2232</v>
      </c>
      <c r="C44" s="244">
        <f ca="1">ROUND(IF('数据-取费表'!B22&lt;=1,C40*F22*'数据-取费表'!B21/2,C40*(POWER((1+F22),'数据-取费表'!B21/2)-1)),4)</f>
        <v>1E-3</v>
      </c>
      <c r="D44" s="244"/>
      <c r="E44" s="244"/>
      <c r="F44" s="245"/>
      <c r="G44" s="3878"/>
    </row>
    <row r="45" spans="1:7" s="220" customFormat="1" ht="13.5" customHeight="1">
      <c r="A45" s="261" t="s">
        <v>2233</v>
      </c>
      <c r="B45" s="250" t="s">
        <v>2199</v>
      </c>
      <c r="C45" s="251">
        <f ca="1">C46</f>
        <v>3</v>
      </c>
      <c r="D45" s="241">
        <f ca="1">C47</f>
        <v>2.5000000000000001E-3</v>
      </c>
      <c r="E45" s="242" t="s">
        <v>2225</v>
      </c>
      <c r="F45" s="2537">
        <f ca="1">F27</f>
        <v>0.05</v>
      </c>
      <c r="G45" s="253" t="s">
        <v>2234</v>
      </c>
    </row>
    <row r="46" spans="1:7" s="220" customFormat="1" ht="13.5" customHeight="1">
      <c r="A46" s="888" t="s">
        <v>791</v>
      </c>
      <c r="B46" s="254" t="s">
        <v>2235</v>
      </c>
      <c r="C46" s="255">
        <f ca="1">ROUND((C33+C39)*F27,0)</f>
        <v>3</v>
      </c>
      <c r="D46" s="269"/>
      <c r="E46" s="242"/>
      <c r="F46" s="252"/>
      <c r="G46" s="253"/>
    </row>
    <row r="47" spans="1:7" s="220" customFormat="1" ht="13.5" customHeight="1">
      <c r="A47" s="888" t="s">
        <v>792</v>
      </c>
      <c r="B47" s="254" t="s">
        <v>2236</v>
      </c>
      <c r="C47" s="244">
        <f ca="1">ROUND(C40*F27,4)</f>
        <v>2.5000000000000001E-3</v>
      </c>
      <c r="D47" s="269"/>
      <c r="E47" s="242"/>
      <c r="F47" s="252"/>
      <c r="G47" s="253"/>
    </row>
    <row r="48" spans="1:7" s="220" customFormat="1" ht="13.5" customHeight="1">
      <c r="A48" s="261" t="s">
        <v>2198</v>
      </c>
      <c r="B48" s="216" t="s">
        <v>2237</v>
      </c>
      <c r="C48" s="1495">
        <f>ROUND(F30/(1+'数据-取费表'!C42),4)</f>
        <v>5.2400000000000002E-2</v>
      </c>
      <c r="D48" s="242" t="s">
        <v>2225</v>
      </c>
      <c r="E48" s="238"/>
      <c r="F48" s="2536">
        <f>F30</f>
        <v>5.5000000000000007E-2</v>
      </c>
      <c r="G48" s="240" t="s">
        <v>2238</v>
      </c>
    </row>
    <row r="49" spans="1:7" ht="16.5" customHeight="1">
      <c r="A49" s="261" t="s">
        <v>2204</v>
      </c>
      <c r="B49" s="216" t="s">
        <v>2239</v>
      </c>
      <c r="C49" s="238">
        <f ca="1">ROUND((C33+C39+C41+C45)/(1-C40-D41-D45-C48),0)</f>
        <v>72</v>
      </c>
      <c r="D49" s="238"/>
      <c r="E49" s="238"/>
      <c r="F49" s="270"/>
      <c r="G49" s="240" t="s">
        <v>2240</v>
      </c>
    </row>
    <row r="50" spans="1:7" s="264" customFormat="1" ht="24">
      <c r="A50" s="261" t="s">
        <v>2241</v>
      </c>
      <c r="B50" s="216" t="s">
        <v>2242</v>
      </c>
      <c r="C50" s="238"/>
      <c r="D50" s="238"/>
      <c r="E50" s="238"/>
      <c r="F50" s="270">
        <f>IF('数据-取费表'!B24=0,'数据-取费表'!N16,1)</f>
        <v>0.82</v>
      </c>
      <c r="G50" s="253" t="s">
        <v>2243</v>
      </c>
    </row>
    <row r="51" spans="1:7" ht="16.5" customHeight="1">
      <c r="A51" s="261" t="s">
        <v>2244</v>
      </c>
      <c r="B51" s="216" t="s">
        <v>2245</v>
      </c>
      <c r="C51" s="238">
        <f ca="1">ROUND(C49*F50,0)</f>
        <v>59</v>
      </c>
      <c r="D51" s="238"/>
      <c r="E51" s="238"/>
      <c r="F51" s="270"/>
      <c r="G51" s="240" t="s">
        <v>2246</v>
      </c>
    </row>
    <row r="52" spans="1:7" s="214" customFormat="1" ht="16.5" thickBot="1">
      <c r="A52" s="271" t="s">
        <v>2247</v>
      </c>
      <c r="B52" s="272"/>
      <c r="C52" s="273">
        <f ca="1">C31+C51</f>
        <v>233</v>
      </c>
      <c r="D52" s="272"/>
      <c r="E52" s="272"/>
      <c r="F52" s="272"/>
      <c r="G52" s="274"/>
    </row>
    <row r="55" spans="1:7" ht="15">
      <c r="B55" s="276" t="s">
        <v>2248</v>
      </c>
      <c r="C55" s="277"/>
    </row>
    <row r="56" spans="1:7">
      <c r="B56" s="279" t="s">
        <v>1478</v>
      </c>
      <c r="C56" s="281">
        <f ca="1">1-C57</f>
        <v>0.747</v>
      </c>
    </row>
    <row r="57" spans="1:7">
      <c r="B57" s="279" t="s">
        <v>1479</v>
      </c>
      <c r="C57" s="280">
        <f ca="1">ROUND(C51/C52,3)</f>
        <v>0.253</v>
      </c>
    </row>
  </sheetData>
  <sheetProtection algorithmName="SHA-512" hashValue="iqMEc1NTi9QZbkEQdPWg9DdQkAl+fB86BvEyVn5sUpMOkagoo9rCpjPCL1HcC85xzyy5VUPRaxGtd3MeKbbjNA==" saltValue="kTyaG8rSjfU0D6lsKBcWTw==" spinCount="100000" sheet="1" objects="1" scenarios="1" formatCells="0"/>
  <mergeCells count="1">
    <mergeCell ref="G42:G44"/>
  </mergeCells>
  <phoneticPr fontId="140"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topLeftCell="A31" zoomScale="90" zoomScaleNormal="70" zoomScaleSheetLayoutView="90" workbookViewId="0">
      <selection activeCell="C6" sqref="C6"/>
    </sheetView>
  </sheetViews>
  <sheetFormatPr defaultColWidth="8.375" defaultRowHeight="12.75"/>
  <cols>
    <col min="1" max="1" width="9.375" style="275" customWidth="1"/>
    <col min="2" max="2" width="29.125" style="257" customWidth="1"/>
    <col min="3" max="3" width="12.125" style="257" customWidth="1"/>
    <col min="4" max="5" width="11.125" style="278" customWidth="1"/>
    <col min="6" max="6" width="9.5" style="257" customWidth="1"/>
    <col min="7" max="7" width="31.875" style="257" customWidth="1"/>
    <col min="8" max="8" width="10.625" style="257" customWidth="1"/>
    <col min="9" max="254" width="9" style="257" customWidth="1"/>
    <col min="255" max="16384" width="8.375" style="257"/>
  </cols>
  <sheetData>
    <row r="1" spans="1:8" s="206" customFormat="1" ht="20.25">
      <c r="A1" s="202" t="s">
        <v>2147</v>
      </c>
      <c r="B1" s="1654" t="s">
        <v>1343</v>
      </c>
      <c r="C1" s="2045" t="s">
        <v>2249</v>
      </c>
      <c r="D1" s="204"/>
      <c r="E1" s="204"/>
      <c r="F1" s="204"/>
      <c r="G1" s="1288">
        <f>MATCH(B1,'数据-取费表'!A6:A16,0)+5</f>
        <v>6</v>
      </c>
      <c r="H1" s="1192" t="str">
        <f>IF(ISERROR(FIND("住宅",B1)),"非住宅","住宅")</f>
        <v>非住宅</v>
      </c>
    </row>
    <row r="2" spans="1:8" s="206" customFormat="1" ht="18" customHeight="1">
      <c r="A2" s="207" t="s">
        <v>2148</v>
      </c>
      <c r="B2" s="208" t="e">
        <f ca="1">ROUND(IF(D2="——",C52/10000,C52/10000-E2),0)</f>
        <v>#REF!</v>
      </c>
      <c r="C2" s="205" t="s">
        <v>2149</v>
      </c>
      <c r="D2" s="2039" t="s">
        <v>70</v>
      </c>
      <c r="E2" s="1331" t="e">
        <f ca="1">SUMIF(INDIRECT("'"&amp;G2&amp;"'"&amp;"!A:A"),"承租人权益价值",INDIRECT("'"&amp;G2&amp;"'"&amp;"!c:c"))</f>
        <v>#REF!</v>
      </c>
      <c r="F2" s="2040" t="s">
        <v>2149</v>
      </c>
      <c r="G2" s="2041"/>
    </row>
    <row r="3" spans="1:8" s="206" customFormat="1" ht="18" customHeight="1" thickBot="1">
      <c r="A3" s="209" t="s">
        <v>2150</v>
      </c>
      <c r="B3" s="210" t="e">
        <f ca="1">ROUND(B2*10000/(IF(B1="",'数据-汇总表'!E3,INDIRECT("'数据-取费表'!k"&amp;$G$1))),0)</f>
        <v>#REF!</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t="e">
        <f>C6+C7+C8</f>
        <v>#REF!</v>
      </c>
      <c r="D5" s="217" t="s">
        <v>2155</v>
      </c>
      <c r="E5" s="218" t="s">
        <v>2156</v>
      </c>
      <c r="F5" s="218" t="s">
        <v>2157</v>
      </c>
      <c r="G5" s="219"/>
    </row>
    <row r="6" spans="1:8" s="220" customFormat="1" ht="13.5" customHeight="1">
      <c r="A6" s="886" t="s">
        <v>2158</v>
      </c>
      <c r="B6" s="221" t="s">
        <v>2159</v>
      </c>
      <c r="C6" s="222" t="e">
        <f>#REF!*10000</f>
        <v>#REF!</v>
      </c>
      <c r="D6" s="223"/>
      <c r="E6" s="224"/>
      <c r="F6" s="224"/>
      <c r="G6" s="225"/>
    </row>
    <row r="7" spans="1:8" s="220" customFormat="1" ht="13.5" customHeight="1">
      <c r="A7" s="886" t="s">
        <v>2160</v>
      </c>
      <c r="B7" s="221" t="s">
        <v>2161</v>
      </c>
      <c r="C7" s="226" t="e">
        <f>ROUND(C6*F7,0)</f>
        <v>#REF!</v>
      </c>
      <c r="D7" s="226"/>
      <c r="E7" s="224"/>
      <c r="F7" s="227">
        <f>IF(项目基本情况!B8="出让",0,'数据-取费表'!B48+'数据-取费表'!B49)</f>
        <v>3.0499999999999999E-2</v>
      </c>
      <c r="G7" s="225"/>
    </row>
    <row r="8" spans="1:8" s="229" customFormat="1">
      <c r="A8" s="886" t="s">
        <v>2162</v>
      </c>
      <c r="B8" s="221" t="s">
        <v>2163</v>
      </c>
      <c r="C8" s="226">
        <f>IF(G8="已包含在土地购买价格中",0,C9+C10)</f>
        <v>0</v>
      </c>
      <c r="D8" s="228"/>
      <c r="E8" s="226"/>
      <c r="F8" s="227"/>
      <c r="G8" s="2042" t="s">
        <v>1116</v>
      </c>
    </row>
    <row r="9" spans="1:8" s="220" customFormat="1" ht="13.5" customHeight="1">
      <c r="A9" s="887" t="s">
        <v>800</v>
      </c>
      <c r="B9" s="230" t="s">
        <v>2164</v>
      </c>
      <c r="C9" s="231">
        <f ca="1">ROUND(D9*E9,0)</f>
        <v>0</v>
      </c>
      <c r="D9" s="954">
        <f ca="1">IF(B1="",'数据-汇总表'!E5,IF(INDIRECT("'数据-取费表'!c"&amp;$G$1)="住宅",INDIRECT("'数据-取费表'!k"&amp;$G$1),0))</f>
        <v>0</v>
      </c>
      <c r="E9" s="231">
        <f>'数据-取费表'!B27</f>
        <v>0</v>
      </c>
      <c r="F9" s="227"/>
      <c r="G9" s="232"/>
    </row>
    <row r="10" spans="1:8" s="220" customFormat="1" ht="13.5" customHeight="1">
      <c r="A10" s="887" t="s">
        <v>801</v>
      </c>
      <c r="B10" s="230" t="s">
        <v>2166</v>
      </c>
      <c r="C10" s="231">
        <f ca="1">ROUND(D10*E10,0)</f>
        <v>27730</v>
      </c>
      <c r="D10" s="954">
        <f ca="1">IF(B1="",'数据-汇总表'!E6,IF(INDIRECT("'数据-取费表'!c"&amp;$G$1)="住宅",INDIRECT("'数据-取费表'!s"&amp;$G$1),INDIRECT("'数据-取费表'!k"&amp;$G$1)+INDIRECT("'数据-取费表'!s"&amp;$G$1)))</f>
        <v>198.07</v>
      </c>
      <c r="E10" s="231">
        <f>'数据-取费表'!B28</f>
        <v>140</v>
      </c>
      <c r="F10" s="227"/>
      <c r="G10" s="232"/>
    </row>
    <row r="11" spans="1:8" s="220" customFormat="1" ht="13.5" hidden="1" customHeight="1">
      <c r="A11" s="233" t="s">
        <v>7</v>
      </c>
      <c r="B11" s="221" t="s">
        <v>2167</v>
      </c>
      <c r="C11" s="217"/>
      <c r="D11" s="956"/>
      <c r="E11" s="224"/>
      <c r="F11" s="224"/>
      <c r="G11" s="225"/>
    </row>
    <row r="12" spans="1:8" s="220" customFormat="1" ht="13.5" hidden="1" customHeight="1">
      <c r="A12" s="233" t="s">
        <v>8</v>
      </c>
      <c r="B12" s="221" t="s">
        <v>2250</v>
      </c>
      <c r="C12" s="217">
        <v>0</v>
      </c>
      <c r="D12" s="956"/>
      <c r="E12" s="234"/>
      <c r="F12" s="227">
        <v>3.0499999999999999E-2</v>
      </c>
      <c r="G12" s="225"/>
    </row>
    <row r="13" spans="1:8" s="220" customFormat="1" ht="13.5" hidden="1" customHeight="1">
      <c r="A13" s="233" t="s">
        <v>9</v>
      </c>
      <c r="B13" s="221" t="s">
        <v>2251</v>
      </c>
      <c r="C13" s="217"/>
      <c r="D13" s="956"/>
      <c r="E13" s="224"/>
      <c r="F13" s="224"/>
      <c r="G13" s="225"/>
    </row>
    <row r="14" spans="1:8" s="220" customFormat="1" ht="13.5" hidden="1" customHeight="1">
      <c r="A14" s="233" t="s">
        <v>10</v>
      </c>
      <c r="B14" s="221" t="s">
        <v>2163</v>
      </c>
      <c r="C14" s="217"/>
      <c r="D14" s="956"/>
      <c r="E14" s="224"/>
      <c r="F14" s="224"/>
      <c r="G14" s="225" t="s">
        <v>2252</v>
      </c>
    </row>
    <row r="15" spans="1:8" s="220" customFormat="1" ht="13.5" hidden="1" customHeight="1">
      <c r="A15" s="233" t="s">
        <v>11</v>
      </c>
      <c r="B15" s="221" t="s">
        <v>2253</v>
      </c>
      <c r="C15" s="226"/>
      <c r="D15" s="956"/>
      <c r="E15" s="224"/>
      <c r="F15" s="224"/>
      <c r="G15" s="225" t="s">
        <v>2254</v>
      </c>
    </row>
    <row r="16" spans="1:8" s="220" customFormat="1" ht="13.5" hidden="1" customHeight="1">
      <c r="A16" s="233" t="s">
        <v>12</v>
      </c>
      <c r="B16" s="221" t="s">
        <v>2163</v>
      </c>
      <c r="C16" s="226"/>
      <c r="D16" s="956"/>
      <c r="E16" s="224"/>
      <c r="F16" s="224"/>
      <c r="G16" s="225"/>
    </row>
    <row r="17" spans="1:7" s="220" customFormat="1" ht="13.5" hidden="1" customHeight="1">
      <c r="A17" s="233" t="s">
        <v>13</v>
      </c>
      <c r="B17" s="221" t="s">
        <v>2255</v>
      </c>
      <c r="C17" s="235"/>
      <c r="D17" s="957"/>
      <c r="E17" s="235"/>
      <c r="F17" s="235"/>
      <c r="G17" s="225" t="s">
        <v>2254</v>
      </c>
    </row>
    <row r="18" spans="1:7" s="220" customFormat="1" ht="13.5" hidden="1" customHeight="1">
      <c r="A18" s="233" t="s">
        <v>14</v>
      </c>
      <c r="B18" s="221" t="s">
        <v>2256</v>
      </c>
      <c r="C18" s="226">
        <v>0</v>
      </c>
      <c r="D18" s="956"/>
      <c r="E18" s="224"/>
      <c r="F18" s="227">
        <v>3.0499999999999999E-2</v>
      </c>
      <c r="G18" s="225" t="s">
        <v>2257</v>
      </c>
    </row>
    <row r="19" spans="1:7" s="229" customFormat="1" ht="13.5" customHeight="1">
      <c r="A19" s="261" t="s">
        <v>2258</v>
      </c>
      <c r="B19" s="216" t="s">
        <v>2259</v>
      </c>
      <c r="C19" s="217" t="str">
        <f>IF(G19="已包含在土地取得成本中","0",ROUND(D19*E19,0))</f>
        <v>0</v>
      </c>
      <c r="D19" s="958">
        <f ca="1">D9+D10</f>
        <v>198.07</v>
      </c>
      <c r="E19" s="217">
        <f>'数据-取费表'!B31</f>
        <v>200</v>
      </c>
      <c r="F19" s="237"/>
      <c r="G19" s="2042" t="s">
        <v>3076</v>
      </c>
    </row>
    <row r="20" spans="1:7" s="220" customFormat="1" ht="13.5" customHeight="1">
      <c r="A20" s="261" t="s">
        <v>2260</v>
      </c>
      <c r="B20" s="216" t="s">
        <v>2261</v>
      </c>
      <c r="C20" s="238" t="e">
        <f>ROUND((C5+C19)*F20,0)</f>
        <v>#REF!</v>
      </c>
      <c r="D20" s="238"/>
      <c r="E20" s="238"/>
      <c r="F20" s="239">
        <f>'数据-取费表'!B37</f>
        <v>0.05</v>
      </c>
      <c r="G20" s="240" t="s">
        <v>2262</v>
      </c>
    </row>
    <row r="21" spans="1:7" s="220" customFormat="1" ht="13.5" customHeight="1">
      <c r="A21" s="261" t="s">
        <v>2263</v>
      </c>
      <c r="B21" s="216" t="s">
        <v>2264</v>
      </c>
      <c r="C21" s="241">
        <f>F21</f>
        <v>0.05</v>
      </c>
      <c r="D21" s="242" t="s">
        <v>2265</v>
      </c>
      <c r="E21" s="238"/>
      <c r="F21" s="239">
        <f>'数据-取费表'!B38</f>
        <v>0.05</v>
      </c>
      <c r="G21" s="240" t="s">
        <v>2266</v>
      </c>
    </row>
    <row r="22" spans="1:7" s="220" customFormat="1" ht="13.5" customHeight="1">
      <c r="A22" s="261" t="s">
        <v>2267</v>
      </c>
      <c r="B22" s="216" t="s">
        <v>2268</v>
      </c>
      <c r="C22" s="1289" t="e">
        <f ca="1">ROUND(SUM(C23:C25),0)</f>
        <v>#REF!</v>
      </c>
      <c r="D22" s="241">
        <f ca="1">C26</f>
        <v>1.4E-3</v>
      </c>
      <c r="E22" s="242" t="s">
        <v>2265</v>
      </c>
      <c r="F22" s="243">
        <f ca="1">'数据-取费表'!B40</f>
        <v>3.85E-2</v>
      </c>
      <c r="G22" s="240" t="str">
        <f>IF('数据-取费表'!B22&lt;=1,"单利计息","复利计息")</f>
        <v>复利计息</v>
      </c>
    </row>
    <row r="23" spans="1:7" s="220" customFormat="1" ht="13.5" customHeight="1">
      <c r="A23" s="888" t="s">
        <v>2158</v>
      </c>
      <c r="B23" s="221" t="s">
        <v>2269</v>
      </c>
      <c r="C23" s="1290" t="e">
        <f ca="1">ROUND(IF('数据-取费表'!B22&lt;=1,C5*F22*'数据-取费表'!B22,C5*(POWER((1+F22),'数据-取费表'!B22)-1)),0)</f>
        <v>#REF!</v>
      </c>
      <c r="D23" s="244"/>
      <c r="E23" s="244"/>
      <c r="F23" s="245"/>
      <c r="G23" s="246" t="s">
        <v>2270</v>
      </c>
    </row>
    <row r="24" spans="1:7" s="220" customFormat="1" ht="13.5" customHeight="1">
      <c r="A24" s="888" t="s">
        <v>2160</v>
      </c>
      <c r="B24" s="221" t="s">
        <v>2271</v>
      </c>
      <c r="C24" s="1290">
        <f ca="1">ROUND(IF('数据-取费表'!B22&lt;=1,C19*F22*('数据-取费表'!B19/2+'数据-取费表'!B20),C19*(POWER((1+F22),('数据-取费表'!B19/2+'数据-取费表'!B20))-1)),0)</f>
        <v>0</v>
      </c>
      <c r="D24" s="244"/>
      <c r="E24" s="244"/>
      <c r="F24" s="245"/>
      <c r="G24" s="246" t="s">
        <v>2272</v>
      </c>
    </row>
    <row r="25" spans="1:7" s="220" customFormat="1" ht="24">
      <c r="A25" s="888" t="s">
        <v>2162</v>
      </c>
      <c r="B25" s="221" t="s">
        <v>2273</v>
      </c>
      <c r="C25" s="1290" t="e">
        <f ca="1">ROUND(IF('数据-取费表'!B22&lt;=1,C20*F22*'数据-取费表'!B22/2,C20*(POWER((1+F22),'数据-取费表'!B22/2)-1)),0)</f>
        <v>#REF!</v>
      </c>
      <c r="D25" s="244"/>
      <c r="E25" s="247"/>
      <c r="F25" s="245"/>
      <c r="G25" s="248" t="s">
        <v>2274</v>
      </c>
    </row>
    <row r="26" spans="1:7" s="220" customFormat="1">
      <c r="A26" s="888" t="s">
        <v>795</v>
      </c>
      <c r="B26" s="221" t="s">
        <v>2197</v>
      </c>
      <c r="C26" s="244">
        <f ca="1">ROUND(IF('数据-取费表'!B22&lt;=1,F21*F22*'数据-取费表'!B22/2,F21*(POWER((1+F22),'数据-取费表'!B22/2)-1)),4)</f>
        <v>1.4E-3</v>
      </c>
      <c r="D26" s="244"/>
      <c r="E26" s="247"/>
      <c r="F26" s="245"/>
      <c r="G26" s="249"/>
    </row>
    <row r="27" spans="1:7" s="220" customFormat="1" ht="24.75">
      <c r="A27" s="261" t="s">
        <v>2198</v>
      </c>
      <c r="B27" s="250" t="s">
        <v>2199</v>
      </c>
      <c r="C27" s="251" t="e">
        <f ca="1">C28</f>
        <v>#REF!</v>
      </c>
      <c r="D27" s="241">
        <f ca="1">C29</f>
        <v>2.5000000000000001E-3</v>
      </c>
      <c r="E27" s="242" t="s">
        <v>2200</v>
      </c>
      <c r="F27" s="252">
        <f ca="1">IF(B1="",'数据-取费表'!Q16,INDIRECT("'数据-取费表'!q"&amp;$G$1))</f>
        <v>0.05</v>
      </c>
      <c r="G27" s="253" t="s">
        <v>2201</v>
      </c>
    </row>
    <row r="28" spans="1:7" s="220" customFormat="1" ht="13.5" customHeight="1">
      <c r="A28" s="888" t="s">
        <v>791</v>
      </c>
      <c r="B28" s="254" t="s">
        <v>2202</v>
      </c>
      <c r="C28" s="255" t="e">
        <f ca="1">ROUND((C5+C19+C20)*F27,0)</f>
        <v>#REF!</v>
      </c>
      <c r="D28" s="241"/>
      <c r="E28" s="242"/>
      <c r="F28" s="252"/>
      <c r="G28" s="253"/>
    </row>
    <row r="29" spans="1:7" s="220" customFormat="1" ht="13.5" customHeight="1">
      <c r="A29" s="888" t="s">
        <v>792</v>
      </c>
      <c r="B29" s="254" t="s">
        <v>2203</v>
      </c>
      <c r="C29" s="244">
        <f ca="1">ROUND(C21*F27,4)</f>
        <v>2.5000000000000001E-3</v>
      </c>
      <c r="D29" s="241"/>
      <c r="E29" s="242"/>
      <c r="F29" s="252"/>
      <c r="G29" s="253"/>
    </row>
    <row r="30" spans="1:7" s="220" customFormat="1" ht="13.5" customHeight="1">
      <c r="A30" s="261" t="s">
        <v>2204</v>
      </c>
      <c r="B30" s="216" t="s">
        <v>2205</v>
      </c>
      <c r="C30" s="241">
        <f>ROUND(F30/(1+'数据-取费表'!C42),4)</f>
        <v>5.2400000000000002E-2</v>
      </c>
      <c r="D30" s="242" t="s">
        <v>2200</v>
      </c>
      <c r="E30" s="247"/>
      <c r="F30" s="243">
        <f>'数据-取费表'!B41</f>
        <v>5.5000000000000007E-2</v>
      </c>
      <c r="G30" s="240" t="s">
        <v>2206</v>
      </c>
    </row>
    <row r="31" spans="1:7" ht="16.5" customHeight="1">
      <c r="A31" s="215">
        <v>1</v>
      </c>
      <c r="B31" s="216" t="s">
        <v>2207</v>
      </c>
      <c r="C31" s="217" t="e">
        <f ca="1">ROUND((C5+C19+C20+C22+C27)/(1-C21-D22-D27-C30),0)</f>
        <v>#REF!</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555092</v>
      </c>
      <c r="D33" s="238"/>
      <c r="E33" s="218"/>
      <c r="F33" s="247"/>
      <c r="G33" s="240"/>
    </row>
    <row r="34" spans="1:7" s="264" customFormat="1" ht="13.5" customHeight="1">
      <c r="A34" s="888" t="s">
        <v>791</v>
      </c>
      <c r="B34" s="221" t="s">
        <v>2211</v>
      </c>
      <c r="C34" s="226">
        <f ca="1">ROUND(IF(B1="",SUMPRODUCT('数据-取费表'!K6:K14,'数据-取费表'!L6:L14),INDIRECT("'数据-取费表'!l"&amp;$G$1)*INDIRECT("'数据-取费表'!k"&amp;$G$1)+'数据-取费表'!L14*INDIRECT("'数据-取费表'!S"&amp;$G$1)),0)</f>
        <v>495175</v>
      </c>
      <c r="D34" s="223"/>
      <c r="E34" s="226"/>
      <c r="F34" s="263"/>
      <c r="G34" s="225"/>
    </row>
    <row r="35" spans="1:7" ht="13.5" customHeight="1">
      <c r="A35" s="888" t="s">
        <v>796</v>
      </c>
      <c r="B35" s="221" t="s">
        <v>2213</v>
      </c>
      <c r="C35" s="226">
        <f ca="1">ROUND(C34*F35,0)</f>
        <v>24759</v>
      </c>
      <c r="D35" s="226"/>
      <c r="E35" s="226"/>
      <c r="F35" s="265">
        <f>'数据-取费表'!B33</f>
        <v>0.05</v>
      </c>
      <c r="G35" s="225" t="s">
        <v>2214</v>
      </c>
    </row>
    <row r="36" spans="1:7" ht="24">
      <c r="A36" s="888"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8" t="s">
        <v>798</v>
      </c>
      <c r="B37" s="221" t="s">
        <v>2217</v>
      </c>
      <c r="C37" s="255">
        <f ca="1">ROUND(E37*D37,0)</f>
        <v>27730</v>
      </c>
      <c r="D37" s="223">
        <f ca="1">D19</f>
        <v>198.07</v>
      </c>
      <c r="E37" s="255">
        <f>'数据-取费表'!B35</f>
        <v>140</v>
      </c>
      <c r="F37" s="265"/>
      <c r="G37" s="267"/>
    </row>
    <row r="38" spans="1:7" ht="13.5" customHeight="1">
      <c r="A38" s="888" t="s">
        <v>799</v>
      </c>
      <c r="B38" s="221" t="s">
        <v>2219</v>
      </c>
      <c r="C38" s="226">
        <f ca="1">ROUND(C34*F38,0)</f>
        <v>7428</v>
      </c>
      <c r="D38" s="226"/>
      <c r="E38" s="226"/>
      <c r="F38" s="265">
        <f>'数据-取费表'!B36</f>
        <v>1.4999999999999999E-2</v>
      </c>
      <c r="G38" s="225" t="s">
        <v>2214</v>
      </c>
    </row>
    <row r="39" spans="1:7" s="220" customFormat="1" ht="13.5" customHeight="1">
      <c r="A39" s="261" t="s">
        <v>2220</v>
      </c>
      <c r="B39" s="216" t="s">
        <v>2221</v>
      </c>
      <c r="C39" s="238">
        <f ca="1">ROUND(C33*F20,0)</f>
        <v>27755</v>
      </c>
      <c r="D39" s="238"/>
      <c r="E39" s="238"/>
      <c r="F39" s="2535">
        <f>F20</f>
        <v>0.05</v>
      </c>
      <c r="G39" s="240" t="s">
        <v>2222</v>
      </c>
    </row>
    <row r="40" spans="1:7" s="220" customFormat="1" ht="13.5" customHeight="1">
      <c r="A40" s="261" t="s">
        <v>2223</v>
      </c>
      <c r="B40" s="216" t="s">
        <v>2224</v>
      </c>
      <c r="C40" s="1495">
        <f>F21</f>
        <v>0.05</v>
      </c>
      <c r="D40" s="242" t="s">
        <v>2225</v>
      </c>
      <c r="E40" s="238"/>
      <c r="F40" s="2535">
        <f>F21</f>
        <v>0.05</v>
      </c>
      <c r="G40" s="240" t="s">
        <v>2226</v>
      </c>
    </row>
    <row r="41" spans="1:7" s="220" customFormat="1" ht="13.5" customHeight="1">
      <c r="A41" s="261" t="s">
        <v>2227</v>
      </c>
      <c r="B41" s="216" t="s">
        <v>2228</v>
      </c>
      <c r="C41" s="238">
        <f ca="1">ROUND(SUM(C42:C43),0)</f>
        <v>11114</v>
      </c>
      <c r="D41" s="241">
        <f ca="1">C44</f>
        <v>1E-3</v>
      </c>
      <c r="E41" s="242" t="s">
        <v>2225</v>
      </c>
      <c r="F41" s="2536">
        <f ca="1">F22</f>
        <v>3.85E-2</v>
      </c>
      <c r="G41" s="240" t="str">
        <f>IF('数据-取费表'!B22&lt;=1,"单利计息","复利计息")</f>
        <v>复利计息</v>
      </c>
    </row>
    <row r="42" spans="1:7" ht="13.5" customHeight="1">
      <c r="A42" s="888" t="s">
        <v>791</v>
      </c>
      <c r="B42" s="221" t="s">
        <v>2229</v>
      </c>
      <c r="C42" s="244">
        <f ca="1">ROUND(IF('数据-取费表'!B22&lt;=1,C33*F22*'数据-取费表'!B20/2,C33*(POWER((1+F22),'数据-取费表'!B20/2)-1)),0)</f>
        <v>10585</v>
      </c>
      <c r="D42" s="244"/>
      <c r="E42" s="244"/>
      <c r="F42" s="245"/>
      <c r="G42" s="3876" t="s">
        <v>2277</v>
      </c>
    </row>
    <row r="43" spans="1:7" ht="13.5" customHeight="1">
      <c r="A43" s="888" t="s">
        <v>792</v>
      </c>
      <c r="B43" s="221" t="s">
        <v>2231</v>
      </c>
      <c r="C43" s="244">
        <f ca="1">ROUND(IF('数据-取费表'!B22&lt;=1,C39*F22*'数据-取费表'!B20/2,C39*(POWER((1+F22),'数据-取费表'!B20/2)-1)),0)</f>
        <v>529</v>
      </c>
      <c r="D43" s="244"/>
      <c r="E43" s="244"/>
      <c r="F43" s="245"/>
      <c r="G43" s="3877"/>
    </row>
    <row r="44" spans="1:7" ht="13.5" customHeight="1">
      <c r="A44" s="888" t="s">
        <v>793</v>
      </c>
      <c r="B44" s="221" t="s">
        <v>2232</v>
      </c>
      <c r="C44" s="244">
        <f ca="1">ROUND(IF('数据-取费表'!B22&lt;=1,C40*F22*'数据-取费表'!B20/2,C40*(POWER((1+F22),'数据-取费表'!B20/2)-1)),4)</f>
        <v>1E-3</v>
      </c>
      <c r="D44" s="244"/>
      <c r="E44" s="244"/>
      <c r="F44" s="245"/>
      <c r="G44" s="3878"/>
    </row>
    <row r="45" spans="1:7" s="220" customFormat="1" ht="13.5" customHeight="1">
      <c r="A45" s="261" t="s">
        <v>2233</v>
      </c>
      <c r="B45" s="250" t="s">
        <v>2199</v>
      </c>
      <c r="C45" s="251">
        <f ca="1">C46</f>
        <v>29142</v>
      </c>
      <c r="D45" s="241">
        <f ca="1">C47</f>
        <v>2.5000000000000001E-3</v>
      </c>
      <c r="E45" s="242" t="s">
        <v>2225</v>
      </c>
      <c r="F45" s="2537">
        <f ca="1">F27</f>
        <v>0.05</v>
      </c>
      <c r="G45" s="253" t="s">
        <v>2234</v>
      </c>
    </row>
    <row r="46" spans="1:7" s="220" customFormat="1" ht="13.5" customHeight="1">
      <c r="A46" s="888" t="s">
        <v>791</v>
      </c>
      <c r="B46" s="254" t="s">
        <v>2235</v>
      </c>
      <c r="C46" s="255">
        <f ca="1">ROUND((C33+C39)*F27,0)</f>
        <v>29142</v>
      </c>
      <c r="D46" s="269"/>
      <c r="E46" s="242"/>
      <c r="F46" s="252"/>
      <c r="G46" s="253"/>
    </row>
    <row r="47" spans="1:7" s="220" customFormat="1" ht="13.5" customHeight="1">
      <c r="A47" s="888" t="s">
        <v>792</v>
      </c>
      <c r="B47" s="254" t="s">
        <v>2236</v>
      </c>
      <c r="C47" s="244">
        <f ca="1">ROUND(C40*F27,4)</f>
        <v>2.5000000000000001E-3</v>
      </c>
      <c r="D47" s="269"/>
      <c r="E47" s="242"/>
      <c r="F47" s="252"/>
      <c r="G47" s="253"/>
    </row>
    <row r="48" spans="1:7" s="220" customFormat="1" ht="13.5" customHeight="1">
      <c r="A48" s="261" t="s">
        <v>2198</v>
      </c>
      <c r="B48" s="216" t="s">
        <v>2237</v>
      </c>
      <c r="C48" s="268">
        <f>ROUND(F30/(1+'数据-取费表'!C42),4)</f>
        <v>5.2400000000000002E-2</v>
      </c>
      <c r="D48" s="242" t="s">
        <v>2225</v>
      </c>
      <c r="E48" s="238"/>
      <c r="F48" s="2536">
        <f>F30</f>
        <v>5.5000000000000007E-2</v>
      </c>
      <c r="G48" s="240" t="s">
        <v>2238</v>
      </c>
    </row>
    <row r="49" spans="1:7" ht="16.5" customHeight="1">
      <c r="A49" s="261" t="s">
        <v>2204</v>
      </c>
      <c r="B49" s="216" t="s">
        <v>2278</v>
      </c>
      <c r="C49" s="238">
        <f ca="1">ROUND((C33+C39+C41+C45)/(1-C40-D41-D45-C48),0)</f>
        <v>696905</v>
      </c>
      <c r="D49" s="238"/>
      <c r="E49" s="238"/>
      <c r="F49" s="270"/>
      <c r="G49" s="240" t="s">
        <v>2240</v>
      </c>
    </row>
    <row r="50" spans="1:7" s="264" customFormat="1">
      <c r="A50" s="261" t="s">
        <v>2241</v>
      </c>
      <c r="B50" s="216" t="s">
        <v>2242</v>
      </c>
      <c r="C50" s="238"/>
      <c r="D50" s="238"/>
      <c r="E50" s="238"/>
      <c r="F50" s="270">
        <f>IF('数据-取费表'!B24=0,'数据-取费表'!N16,1)</f>
        <v>0.82</v>
      </c>
      <c r="G50" s="253"/>
    </row>
    <row r="51" spans="1:7" ht="16.5" customHeight="1">
      <c r="A51" s="261" t="s">
        <v>2244</v>
      </c>
      <c r="B51" s="216" t="s">
        <v>2279</v>
      </c>
      <c r="C51" s="238">
        <f ca="1">ROUND(C49*F50,0)</f>
        <v>571462</v>
      </c>
      <c r="D51" s="238"/>
      <c r="E51" s="238"/>
      <c r="F51" s="270"/>
      <c r="G51" s="240" t="s">
        <v>2246</v>
      </c>
    </row>
    <row r="52" spans="1:7" s="214" customFormat="1" ht="16.5" thickBot="1">
      <c r="A52" s="271" t="s">
        <v>2247</v>
      </c>
      <c r="B52" s="272"/>
      <c r="C52" s="273" t="e">
        <f ca="1">C31+C51</f>
        <v>#REF!</v>
      </c>
      <c r="D52" s="272"/>
      <c r="E52" s="272"/>
      <c r="F52" s="272"/>
      <c r="G52" s="274"/>
    </row>
    <row r="55" spans="1:7" ht="15">
      <c r="B55" s="276" t="s">
        <v>2248</v>
      </c>
      <c r="C55" s="277"/>
    </row>
    <row r="56" spans="1:7">
      <c r="B56" s="279" t="s">
        <v>1478</v>
      </c>
      <c r="C56" s="281" t="e">
        <f ca="1">1-C57</f>
        <v>#REF!</v>
      </c>
    </row>
    <row r="57" spans="1:7">
      <c r="B57" s="279" t="s">
        <v>1479</v>
      </c>
      <c r="C57" s="280" t="e">
        <f ca="1">ROUND(C51/C52,3)</f>
        <v>#REF!</v>
      </c>
    </row>
  </sheetData>
  <sheetProtection password="CEE9" sheet="1" objects="1" scenarios="1" formatCells="0"/>
  <mergeCells count="1">
    <mergeCell ref="G42:G44"/>
  </mergeCells>
  <phoneticPr fontId="140"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zoomScaleSheetLayoutView="70" workbookViewId="0">
      <selection activeCell="J19" sqref="J19"/>
    </sheetView>
  </sheetViews>
  <sheetFormatPr defaultColWidth="6.625" defaultRowHeight="12.75"/>
  <cols>
    <col min="1" max="1" width="9.625" style="737" customWidth="1"/>
    <col min="2" max="2" width="25.625" style="889" customWidth="1"/>
    <col min="3" max="3" width="10.375" style="932" customWidth="1"/>
    <col min="4" max="4" width="9.875" style="889" customWidth="1"/>
    <col min="5" max="5" width="9.5" style="737" customWidth="1"/>
    <col min="6" max="6" width="10.125" style="889" customWidth="1"/>
    <col min="7" max="7" width="10.62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2280</v>
      </c>
      <c r="B1" s="1353"/>
      <c r="C1" s="1354"/>
      <c r="D1" s="1352"/>
      <c r="E1" s="3037"/>
      <c r="F1" s="3037"/>
      <c r="G1" s="2900"/>
      <c r="H1" s="3037"/>
      <c r="I1" s="3037"/>
      <c r="J1" s="3037"/>
      <c r="K1" s="3038">
        <f>MATCH(C1,'数据-取费表'!A6:A16,0)+5</f>
        <v>7</v>
      </c>
    </row>
    <row r="2" spans="1:33" ht="18" customHeight="1">
      <c r="A2" s="207" t="s">
        <v>2148</v>
      </c>
      <c r="B2" s="210">
        <f ca="1">C32</f>
        <v>0</v>
      </c>
      <c r="C2" s="282" t="s">
        <v>2281</v>
      </c>
      <c r="D2" s="282"/>
      <c r="E2" s="3037"/>
      <c r="F2" s="3037"/>
      <c r="G2" s="3037"/>
      <c r="H2" s="3037"/>
      <c r="I2" s="3037"/>
      <c r="J2" s="3037"/>
      <c r="K2" s="3037"/>
    </row>
    <row r="3" spans="1:33" ht="18" customHeight="1" thickBot="1">
      <c r="A3" s="209" t="s">
        <v>2150</v>
      </c>
      <c r="B3" s="210">
        <f ca="1">ROUND(B2*10000/IF(C1="",'数据-汇总表'!E3,INDIRECT("'数据-取费表'!K"&amp;$K$1)),0)</f>
        <v>0</v>
      </c>
      <c r="C3" s="282" t="s">
        <v>2282</v>
      </c>
      <c r="D3" s="282"/>
      <c r="E3" s="3037"/>
      <c r="F3" s="3037"/>
      <c r="G3" s="3037"/>
      <c r="H3" s="3037"/>
      <c r="I3" s="3037"/>
      <c r="J3" s="3037"/>
      <c r="K3" s="3037"/>
    </row>
    <row r="4" spans="1:33" s="893" customFormat="1" ht="16.5" customHeight="1">
      <c r="A4" s="890" t="s">
        <v>2283</v>
      </c>
      <c r="B4" s="891"/>
      <c r="C4" s="933">
        <f>SUM(C8:K8)</f>
        <v>0</v>
      </c>
      <c r="D4" s="891"/>
      <c r="E4" s="891"/>
      <c r="F4" s="891"/>
      <c r="G4" s="891"/>
      <c r="H4" s="891"/>
      <c r="I4" s="891"/>
      <c r="J4" s="891"/>
      <c r="K4" s="892"/>
    </row>
    <row r="5" spans="1:33" s="897" customFormat="1" ht="24.75">
      <c r="A5" s="894" t="s">
        <v>2284</v>
      </c>
      <c r="B5" s="895" t="s">
        <v>2285</v>
      </c>
      <c r="C5" s="2046" t="s">
        <v>2286</v>
      </c>
      <c r="D5" s="2046" t="s">
        <v>2287</v>
      </c>
      <c r="E5" s="2046" t="s">
        <v>2288</v>
      </c>
      <c r="F5" s="2046"/>
      <c r="G5" s="2046"/>
      <c r="H5" s="2046"/>
      <c r="I5" s="2046"/>
      <c r="J5" s="2046"/>
      <c r="K5" s="204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7" t="s">
        <v>2292</v>
      </c>
      <c r="B8" s="169" t="s">
        <v>2293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2294</v>
      </c>
      <c r="B9" s="891"/>
      <c r="C9" s="891"/>
      <c r="D9" s="891"/>
      <c r="E9" s="891"/>
      <c r="F9" s="891"/>
      <c r="G9" s="891"/>
      <c r="H9" s="891"/>
      <c r="I9" s="891"/>
      <c r="J9" s="891"/>
      <c r="K9" s="892"/>
    </row>
    <row r="10" spans="1:33" s="907" customFormat="1" ht="13.5" customHeight="1">
      <c r="A10" s="894" t="s">
        <v>2295</v>
      </c>
      <c r="B10" s="8" t="s">
        <v>2296</v>
      </c>
      <c r="C10" s="903" t="s">
        <v>2297</v>
      </c>
      <c r="D10" s="904" t="s">
        <v>2298</v>
      </c>
      <c r="E10" s="904" t="s">
        <v>2299</v>
      </c>
      <c r="F10" s="904" t="s">
        <v>2300</v>
      </c>
      <c r="G10" s="8"/>
      <c r="H10" s="905"/>
      <c r="I10" s="905"/>
      <c r="J10" s="905"/>
      <c r="K10" s="906"/>
    </row>
    <row r="11" spans="1:33" s="912" customFormat="1" ht="13.5" customHeight="1">
      <c r="A11" s="908" t="s">
        <v>1300</v>
      </c>
      <c r="B11" s="909" t="s">
        <v>2301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2302</v>
      </c>
      <c r="C12" s="24">
        <f ca="1">ROUND(C11*F12,0)</f>
        <v>0</v>
      </c>
      <c r="D12" s="910"/>
      <c r="E12" s="335"/>
      <c r="F12" s="913">
        <f>'数据-取费表'!B33</f>
        <v>0.05</v>
      </c>
      <c r="G12" s="8" t="s">
        <v>2303</v>
      </c>
      <c r="H12" s="905"/>
      <c r="I12" s="905"/>
      <c r="J12" s="905"/>
      <c r="K12" s="906"/>
    </row>
    <row r="13" spans="1:33" s="912" customFormat="1" ht="13.5" customHeight="1">
      <c r="A13" s="908" t="s">
        <v>1302</v>
      </c>
      <c r="B13" s="909" t="s">
        <v>2304</v>
      </c>
      <c r="C13" s="24">
        <f ca="1">ROUND(IF(C1="",SUMIF('数据-取费表'!C:C,"住宅",'数据-取费表'!P:P)*F13,IF(INDIRECT("'数据-取费表'!c"&amp;$K$1)="住宅",INDIRECT("'数据-取费表'!P"&amp;$K$1)*F13,0)),0)</f>
        <v>0</v>
      </c>
      <c r="D13" s="955"/>
      <c r="E13" s="335"/>
      <c r="F13" s="913">
        <f>'数据-取费表'!B34</f>
        <v>0</v>
      </c>
      <c r="G13" s="8" t="s">
        <v>2305</v>
      </c>
      <c r="H13" s="905"/>
      <c r="I13" s="905"/>
      <c r="J13" s="905"/>
      <c r="K13" s="906"/>
    </row>
    <row r="14" spans="1:33" s="914" customFormat="1" ht="13.5" customHeight="1">
      <c r="A14" s="908" t="s">
        <v>1303</v>
      </c>
      <c r="B14" s="909" t="s">
        <v>2306</v>
      </c>
      <c r="C14" s="24">
        <f ca="1">ROUND(D14*E14*F11/10000,0)</f>
        <v>0</v>
      </c>
      <c r="D14" s="955">
        <f ca="1">IF(C1="",'数据-汇总表'!E3,INDIRECT("'数据-取费表'!K"&amp;$K$1)+INDIRECT("'数据-取费表'!S"&amp;$K$1))</f>
        <v>198.07</v>
      </c>
      <c r="E14" s="24">
        <f>'数据-取费表'!B35</f>
        <v>140</v>
      </c>
      <c r="F14" s="913"/>
      <c r="G14" s="8" t="s">
        <v>2307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2308</v>
      </c>
      <c r="C15" s="920">
        <f ca="1">ROUND(C11*F15,0)</f>
        <v>0</v>
      </c>
      <c r="D15" s="915"/>
      <c r="E15" s="920"/>
      <c r="F15" s="921">
        <f>'数据-取费表'!B36</f>
        <v>1.4999999999999999E-2</v>
      </c>
      <c r="G15" s="136" t="s">
        <v>2309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2310</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2311</v>
      </c>
      <c r="C17" s="24">
        <f ca="1">ROUND(D17*E17/10000,0)</f>
        <v>0</v>
      </c>
      <c r="D17" s="955">
        <f ca="1">D14</f>
        <v>198.07</v>
      </c>
      <c r="E17" s="24">
        <f>'数据-取费表'!B32</f>
        <v>0</v>
      </c>
      <c r="F17" s="915"/>
      <c r="G17" s="136" t="s">
        <v>2312</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2313</v>
      </c>
      <c r="C18" s="24">
        <f ca="1">C19+C20-IF(C1="",'数据-取费表'!B29,IF(G18="已全部缴纳",C19+C20,H18))</f>
        <v>0</v>
      </c>
      <c r="D18" s="955"/>
      <c r="E18" s="24"/>
      <c r="F18" s="913"/>
      <c r="G18" s="2048"/>
      <c r="H18" s="1349"/>
      <c r="I18" s="2049" t="s">
        <v>2314</v>
      </c>
      <c r="J18" s="916"/>
      <c r="K18" s="917"/>
    </row>
    <row r="19" spans="1:33" s="912" customFormat="1" ht="13.5" customHeight="1">
      <c r="A19" s="908" t="s">
        <v>805</v>
      </c>
      <c r="B19" s="909" t="s">
        <v>2315</v>
      </c>
      <c r="C19" s="24">
        <f ca="1">ROUND(D19*E19/10000,0)</f>
        <v>0</v>
      </c>
      <c r="D19" s="955">
        <f ca="1">IF(C1="",'数据-汇总表'!E5,IF(INDIRECT("'数据-取费表'!c"&amp;$K$1)="住宅",INDIRECT("'数据-取费表'!k"&amp;$K$1),0))</f>
        <v>0</v>
      </c>
      <c r="E19" s="24">
        <f>'数据-取费表'!B27</f>
        <v>0</v>
      </c>
      <c r="F19" s="913"/>
      <c r="G19" s="15"/>
      <c r="H19" s="1351"/>
      <c r="I19" s="918"/>
      <c r="J19" s="918"/>
      <c r="K19" s="919"/>
    </row>
    <row r="20" spans="1:33" s="912" customFormat="1" ht="13.5" customHeight="1">
      <c r="A20" s="908" t="s">
        <v>806</v>
      </c>
      <c r="B20" s="909" t="s">
        <v>2316</v>
      </c>
      <c r="C20" s="24">
        <f ca="1">ROUND(D20*E20/10000,0)</f>
        <v>3</v>
      </c>
      <c r="D20" s="955">
        <f ca="1">IF(C1="",'数据-汇总表'!E6,IF(INDIRECT("'数据-取费表'!c"&amp;$K$1)="住宅",INDIRECT("'数据-取费表'!s"&amp;$K$1),INDIRECT("'数据-取费表'!k"&amp;$K$1)+INDIRECT("'数据-取费表'!s"&amp;$K$1)))</f>
        <v>198.07</v>
      </c>
      <c r="E20" s="24">
        <f>'数据-取费表'!B28</f>
        <v>140</v>
      </c>
      <c r="F20" s="913"/>
      <c r="G20" s="15"/>
      <c r="H20" s="918"/>
      <c r="I20" s="918"/>
      <c r="J20" s="918"/>
      <c r="K20" s="919"/>
    </row>
    <row r="21" spans="1:33" s="912" customFormat="1" ht="13.5" customHeight="1">
      <c r="A21" s="898" t="s">
        <v>802</v>
      </c>
      <c r="B21" s="922" t="s">
        <v>2317</v>
      </c>
      <c r="C21" s="923">
        <f ca="1">C16+C17+C18</f>
        <v>0</v>
      </c>
      <c r="D21" s="924"/>
      <c r="E21" s="287"/>
      <c r="F21" s="287"/>
      <c r="G21" s="136" t="s">
        <v>2318</v>
      </c>
      <c r="H21" s="916"/>
      <c r="I21" s="916"/>
      <c r="J21" s="916"/>
      <c r="K21" s="917"/>
    </row>
    <row r="22" spans="1:33" s="912" customFormat="1" ht="13.5" customHeight="1">
      <c r="A22" s="898" t="s">
        <v>2290</v>
      </c>
      <c r="B22" s="922" t="s">
        <v>2319</v>
      </c>
      <c r="C22" s="923">
        <f ca="1">ROUND(C21*F22,0)</f>
        <v>0</v>
      </c>
      <c r="D22" s="287"/>
      <c r="E22" s="287"/>
      <c r="F22" s="925">
        <f>'数据-取费表'!B37</f>
        <v>0.05</v>
      </c>
      <c r="G22" s="8" t="s">
        <v>2320</v>
      </c>
      <c r="H22" s="905"/>
      <c r="I22" s="905"/>
      <c r="J22" s="905"/>
      <c r="K22" s="906"/>
    </row>
    <row r="23" spans="1:33" s="912" customFormat="1" ht="13.5" customHeight="1">
      <c r="A23" s="898" t="s">
        <v>2292</v>
      </c>
      <c r="B23" s="922" t="s">
        <v>2321</v>
      </c>
      <c r="C23" s="923">
        <f ca="1">ROUND(C4*F23*F11,0)</f>
        <v>0</v>
      </c>
      <c r="D23" s="287"/>
      <c r="E23" s="287"/>
      <c r="F23" s="925">
        <f>'数据-取费表'!B38</f>
        <v>0.05</v>
      </c>
      <c r="G23" s="8" t="s">
        <v>2322</v>
      </c>
      <c r="H23" s="905"/>
      <c r="I23" s="905"/>
      <c r="J23" s="905"/>
      <c r="K23" s="906"/>
    </row>
    <row r="24" spans="1:33" s="912" customFormat="1" ht="13.5" customHeight="1">
      <c r="A24" s="898" t="s">
        <v>2323</v>
      </c>
      <c r="B24" s="922" t="s">
        <v>2324</v>
      </c>
      <c r="C24" s="286">
        <f>ROUND(F24/(1+'数据-取费表'!C42),4)</f>
        <v>2.9000000000000001E-2</v>
      </c>
      <c r="D24" s="287" t="s">
        <v>15</v>
      </c>
      <c r="E24" s="287"/>
      <c r="F24" s="925">
        <f>IF(项目基本情况!B8="出让",0,'数据-取费表'!B48+'数据-取费表'!B49)</f>
        <v>3.0499999999999999E-2</v>
      </c>
      <c r="G24" s="8" t="s">
        <v>2325</v>
      </c>
      <c r="H24" s="927"/>
      <c r="I24" s="927"/>
      <c r="J24" s="927"/>
      <c r="K24" s="928"/>
    </row>
    <row r="25" spans="1:33" s="912" customFormat="1" ht="13.5" customHeight="1">
      <c r="A25" s="898" t="s">
        <v>2326</v>
      </c>
      <c r="B25" s="924" t="s">
        <v>2327</v>
      </c>
      <c r="C25" s="1266">
        <f ca="1">C27</f>
        <v>0</v>
      </c>
      <c r="D25" s="286">
        <f ca="1">C26</f>
        <v>0</v>
      </c>
      <c r="E25" s="288" t="s">
        <v>15</v>
      </c>
      <c r="F25" s="289">
        <f ca="1">'数据-取费表'!B40</f>
        <v>3.85E-2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2328</v>
      </c>
      <c r="C26" s="1267">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2329</v>
      </c>
      <c r="C27" s="1268">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6"/>
      <c r="I27" s="916"/>
      <c r="J27" s="916"/>
      <c r="K27" s="917"/>
    </row>
    <row r="28" spans="1:33" s="295" customFormat="1" ht="13.5" customHeight="1">
      <c r="A28" s="898" t="s">
        <v>2330</v>
      </c>
      <c r="B28" s="2051" t="s">
        <v>2331</v>
      </c>
      <c r="C28" s="293">
        <f ca="1">C30</f>
        <v>0</v>
      </c>
      <c r="D28" s="286">
        <f ca="1">C29</f>
        <v>0</v>
      </c>
      <c r="E28" s="288" t="s">
        <v>15</v>
      </c>
      <c r="F28" s="294">
        <f ca="1">IF(C1="",'数据-取费表'!Q16,INDIRECT("'数据-取费表'!q"&amp;$K$1))</f>
        <v>0.05</v>
      </c>
      <c r="G28" s="926"/>
      <c r="H28" s="927"/>
      <c r="I28" s="927"/>
      <c r="J28" s="927"/>
      <c r="K28" s="928"/>
    </row>
    <row r="29" spans="1:33" s="297" customFormat="1" ht="13.5" customHeight="1">
      <c r="A29" s="908" t="s">
        <v>803</v>
      </c>
      <c r="B29" s="931" t="s">
        <v>2332</v>
      </c>
      <c r="C29" s="290">
        <f ca="1">ROUND((1+C24)*F28*'数据-取费表'!B24/'数据-取费表'!B20,4)</f>
        <v>0</v>
      </c>
      <c r="D29" s="290"/>
      <c r="E29" s="291"/>
      <c r="F29" s="296"/>
      <c r="G29" s="136" t="s">
        <v>2333</v>
      </c>
      <c r="H29" s="916"/>
      <c r="I29" s="916"/>
      <c r="J29" s="916"/>
      <c r="K29" s="917"/>
    </row>
    <row r="30" spans="1:33" s="297" customFormat="1" ht="13.5" customHeight="1">
      <c r="A30" s="908" t="s">
        <v>804</v>
      </c>
      <c r="B30" s="931" t="s">
        <v>2334</v>
      </c>
      <c r="C30" s="298">
        <f ca="1">ROUND((C21+C22+C23)*F28,0)</f>
        <v>0</v>
      </c>
      <c r="D30" s="290"/>
      <c r="E30" s="291"/>
      <c r="F30" s="296"/>
      <c r="G30" s="136"/>
      <c r="H30" s="916"/>
      <c r="I30" s="916"/>
      <c r="J30" s="916"/>
      <c r="K30" s="917"/>
    </row>
    <row r="31" spans="1:33" s="912" customFormat="1" ht="13.5" customHeight="1" thickBot="1">
      <c r="A31" s="2052" t="s">
        <v>2335</v>
      </c>
      <c r="B31" s="942" t="s">
        <v>2336</v>
      </c>
      <c r="C31" s="943">
        <f>ROUND(C4*F31/(1+'数据-取费表'!C42),0)</f>
        <v>0</v>
      </c>
      <c r="D31" s="944"/>
      <c r="E31" s="945"/>
      <c r="F31" s="946">
        <f>'数据-取费表'!B41</f>
        <v>5.5000000000000007E-2</v>
      </c>
      <c r="G31" s="947" t="s">
        <v>2337</v>
      </c>
      <c r="H31" s="948"/>
      <c r="I31" s="948"/>
      <c r="J31" s="948"/>
      <c r="K31" s="949"/>
    </row>
    <row r="32" spans="1:33" s="907" customFormat="1" ht="13.5" customHeight="1" thickBot="1">
      <c r="A32" s="937" t="s">
        <v>2338</v>
      </c>
      <c r="B32" s="938"/>
      <c r="C32" s="939">
        <f ca="1">ROUND((C4-C21-C22-C23-C25-C28-C31)/(1+C24+D25+D28),0)</f>
        <v>0</v>
      </c>
      <c r="D32" s="938"/>
      <c r="E32" s="938"/>
      <c r="F32" s="938"/>
      <c r="G32" s="940" t="s">
        <v>2339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zoomScale="90" zoomScaleNormal="70" zoomScaleSheetLayoutView="90" workbookViewId="0">
      <selection activeCell="C13" sqref="C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625" style="264" customWidth="1"/>
    <col min="6" max="6" width="10.625" style="264" customWidth="1"/>
    <col min="7" max="7" width="4.875" style="264" customWidth="1"/>
    <col min="8" max="8" width="8.5" style="264" customWidth="1"/>
    <col min="9" max="9" width="21.125" style="264" customWidth="1"/>
    <col min="10" max="10" width="12.125" style="264" customWidth="1"/>
    <col min="11" max="11" width="45.125" style="1652" customWidth="1"/>
    <col min="12" max="12" width="16.375" style="264" customWidth="1"/>
    <col min="13" max="13" width="13" style="264" customWidth="1"/>
    <col min="14" max="14" width="13.625" style="1568" customWidth="1"/>
    <col min="15" max="15" width="5.125" style="1568" customWidth="1"/>
    <col min="16" max="16" width="25.625" style="1568" customWidth="1"/>
    <col min="17" max="17" width="13.625" style="1568" customWidth="1"/>
    <col min="18" max="18" width="20.5" style="1568" customWidth="1"/>
    <col min="19" max="19" width="13.125" style="1568" customWidth="1"/>
    <col min="20" max="37" width="9" style="1568"/>
    <col min="38" max="16384" width="9" style="264"/>
  </cols>
  <sheetData>
    <row r="1" spans="1:37" s="299" customFormat="1" ht="21">
      <c r="A1" s="1559" t="s">
        <v>1554</v>
      </c>
      <c r="B1" s="722"/>
      <c r="C1" s="1563" t="s">
        <v>1343</v>
      </c>
      <c r="D1" s="1546"/>
      <c r="E1" s="1547" t="s">
        <v>1352</v>
      </c>
      <c r="F1" s="1193">
        <f ca="1">J53</f>
        <v>40</v>
      </c>
      <c r="G1" s="1562">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773</v>
      </c>
      <c r="C2" s="1571" t="s">
        <v>1481</v>
      </c>
      <c r="D2" s="1571"/>
      <c r="E2" s="1572"/>
      <c r="F2" s="1573"/>
      <c r="G2" s="2935"/>
      <c r="H2" s="2924"/>
      <c r="I2" s="2924"/>
      <c r="J2" s="2924"/>
      <c r="K2" s="2925"/>
      <c r="L2" s="2924"/>
      <c r="M2" s="2924"/>
    </row>
    <row r="3" spans="1:37" ht="18" customHeight="1" thickBot="1">
      <c r="A3" s="1574" t="s">
        <v>1482</v>
      </c>
      <c r="B3" s="1575">
        <f ca="1">IF(ISERROR(B2*10000/F43),0,ROUND(B2*10000/F43,0))</f>
        <v>39027</v>
      </c>
      <c r="C3" s="1571" t="s">
        <v>1483</v>
      </c>
      <c r="D3" s="1571"/>
      <c r="E3" s="1572"/>
      <c r="F3" s="1573"/>
      <c r="G3" s="2935"/>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2">
        <f ca="1">C6+C10+C12</f>
        <v>74</v>
      </c>
      <c r="D5" s="1548" t="s">
        <v>1367</v>
      </c>
      <c r="E5" s="1203"/>
      <c r="F5" s="1204"/>
      <c r="G5" s="1568"/>
      <c r="H5" s="305">
        <v>1</v>
      </c>
      <c r="I5" s="306" t="s">
        <v>1366</v>
      </c>
      <c r="J5" s="1202">
        <f ca="1">J6+J10+J12</f>
        <v>63</v>
      </c>
      <c r="K5" s="1548" t="s">
        <v>1367</v>
      </c>
      <c r="L5" s="1203"/>
      <c r="M5" s="1204"/>
    </row>
    <row r="6" spans="1:37" ht="18" customHeight="1">
      <c r="A6" s="1201" t="s">
        <v>1003</v>
      </c>
      <c r="B6" s="3881" t="s">
        <v>1368</v>
      </c>
      <c r="C6" s="1206">
        <f ca="1">ROUND(F6*F8*F7*(1-F9)/10000,0)</f>
        <v>74</v>
      </c>
      <c r="D6" s="160" t="s">
        <v>2851</v>
      </c>
      <c r="E6" s="308" t="s">
        <v>1370</v>
      </c>
      <c r="F6" s="309">
        <f ca="1">INDIRECT("'数据-取费表'!u"&amp;$G$1)</f>
        <v>738704</v>
      </c>
      <c r="G6" s="1568"/>
      <c r="H6" s="1201" t="s">
        <v>1003</v>
      </c>
      <c r="I6" s="3881" t="s">
        <v>1368</v>
      </c>
      <c r="J6" s="307">
        <f ca="1">ROUND(M6*M8*M7*(1-M9)/10000,0)</f>
        <v>63</v>
      </c>
      <c r="K6" s="160" t="s">
        <v>2850</v>
      </c>
      <c r="L6" s="308" t="s">
        <v>1370</v>
      </c>
      <c r="M6" s="309">
        <f ca="1">INDIRECT("'数据-取费表'!z"&amp;$G$1)</f>
        <v>738704</v>
      </c>
    </row>
    <row r="7" spans="1:37" ht="18" customHeight="1">
      <c r="A7" s="1205"/>
      <c r="B7" s="3882"/>
      <c r="C7" s="1207"/>
      <c r="D7" s="313"/>
      <c r="E7" s="1208" t="s">
        <v>1371</v>
      </c>
      <c r="F7" s="309">
        <f ca="1">IF(INDIRECT("'数据-取费表'!ah"&amp;$G$1)="",INDIRECT("'数据-取费表'!k"&amp;$G$1),INDIRECT("'数据-取费表'!ah"&amp;$G$1))</f>
        <v>1</v>
      </c>
      <c r="G7" s="1568"/>
      <c r="H7" s="310"/>
      <c r="I7" s="3882"/>
      <c r="J7" s="312"/>
      <c r="K7" s="313"/>
      <c r="L7" s="308" t="s">
        <v>1371</v>
      </c>
      <c r="M7" s="309">
        <f ca="1">F7</f>
        <v>1</v>
      </c>
    </row>
    <row r="8" spans="1:37" ht="18" customHeight="1">
      <c r="A8" s="310"/>
      <c r="B8" s="3882"/>
      <c r="C8" s="312"/>
      <c r="D8" s="313"/>
      <c r="E8" s="308" t="s">
        <v>1372</v>
      </c>
      <c r="F8" s="309">
        <f ca="1">INDIRECT("'数据-取费表'!ai"&amp;$G$1)</f>
        <v>1</v>
      </c>
      <c r="G8" s="1568"/>
      <c r="H8" s="310"/>
      <c r="I8" s="3882"/>
      <c r="J8" s="312"/>
      <c r="K8" s="313"/>
      <c r="L8" s="308" t="s">
        <v>1372</v>
      </c>
      <c r="M8" s="309">
        <f ca="1">INDIRECT("'数据-取费表'!ai"&amp;$G$1)</f>
        <v>1</v>
      </c>
    </row>
    <row r="9" spans="1:37" ht="18" customHeight="1">
      <c r="A9" s="310"/>
      <c r="B9" s="3883"/>
      <c r="C9" s="312"/>
      <c r="D9" s="313"/>
      <c r="E9" s="308" t="s">
        <v>1373</v>
      </c>
      <c r="F9" s="318">
        <f ca="1">INDIRECT("'数据-取费表'!w"&amp;$G$1)</f>
        <v>0</v>
      </c>
      <c r="G9" s="1568"/>
      <c r="H9" s="310"/>
      <c r="I9" s="3883"/>
      <c r="J9" s="312"/>
      <c r="K9" s="313"/>
      <c r="L9" s="319" t="s">
        <v>1373</v>
      </c>
      <c r="M9" s="320">
        <f ca="1">INDIRECT("'数据-取费表'!ab"&amp;$G$1)</f>
        <v>0.15</v>
      </c>
    </row>
    <row r="10" spans="1:37" ht="18" customHeight="1">
      <c r="A10" s="1201" t="s">
        <v>1007</v>
      </c>
      <c r="B10" s="1549" t="s">
        <v>1374</v>
      </c>
      <c r="C10" s="322">
        <f ca="1">ROUND(IF(F10="押一",C6/12*F11,IF(F10="押二",C6/12*2*F11,IF(F10="押三",C6/12*3*F11,C11*F11))),0)</f>
        <v>0</v>
      </c>
      <c r="D10" s="1550" t="s">
        <v>2859</v>
      </c>
      <c r="E10" s="319" t="s">
        <v>1375</v>
      </c>
      <c r="F10" s="1276" t="s">
        <v>3078</v>
      </c>
      <c r="G10" s="1568"/>
      <c r="H10" s="1201" t="s">
        <v>1007</v>
      </c>
      <c r="I10" s="1549" t="s">
        <v>1374</v>
      </c>
      <c r="J10" s="307">
        <f ca="1">ROUND(IF(M10="押一",J6/12*M11,IF(M10="押二",J6/12*2*M11,IF(M10="押三",J6/12*3*M11,J11*M11))),0)</f>
        <v>0</v>
      </c>
      <c r="K10" s="1550" t="s">
        <v>2858</v>
      </c>
      <c r="L10" s="319" t="s">
        <v>1375</v>
      </c>
      <c r="M10" s="1276" t="s">
        <v>1376</v>
      </c>
    </row>
    <row r="11" spans="1:37" ht="18" customHeight="1">
      <c r="A11" s="314"/>
      <c r="B11" s="1551" t="s">
        <v>1353</v>
      </c>
      <c r="C11" s="1090"/>
      <c r="D11" s="1552"/>
      <c r="E11" s="319" t="s">
        <v>1377</v>
      </c>
      <c r="F11" s="320">
        <f ca="1">'数据-取费表'!B39</f>
        <v>1.4999999999999999E-2</v>
      </c>
      <c r="G11" s="1568"/>
      <c r="H11" s="1209"/>
      <c r="I11" s="1551" t="s">
        <v>1353</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59</v>
      </c>
      <c r="D13" s="1241" t="s">
        <v>1380</v>
      </c>
      <c r="E13" s="1241" t="s">
        <v>1381</v>
      </c>
      <c r="F13" s="1242">
        <f ca="1">INDIRECT("'数据-取费表'!y"&amp;$G$1)</f>
        <v>0.82</v>
      </c>
      <c r="G13" s="1568"/>
      <c r="H13" s="1239">
        <v>2</v>
      </c>
      <c r="I13" s="1240" t="s">
        <v>1379</v>
      </c>
      <c r="J13" s="1200">
        <f ca="1">ROUND(J14*J15,0)</f>
        <v>59</v>
      </c>
      <c r="K13" s="1247" t="s">
        <v>1380</v>
      </c>
      <c r="L13" s="1576"/>
      <c r="M13" s="1577"/>
    </row>
    <row r="14" spans="1:37" ht="18" customHeight="1">
      <c r="A14" s="1113" t="s">
        <v>1002</v>
      </c>
      <c r="B14" s="308" t="s">
        <v>1382</v>
      </c>
      <c r="C14" s="324">
        <f ca="1">INDIRECT("'数据-取费表'!m"&amp;$G$1)+INDIRECT("'数据-取费表'!t"&amp;$G$1)</f>
        <v>50</v>
      </c>
      <c r="D14" s="1529" t="s">
        <v>1383</v>
      </c>
      <c r="E14" s="1526"/>
      <c r="F14" s="325"/>
      <c r="G14" s="1568"/>
      <c r="H14" s="1113" t="s">
        <v>1003</v>
      </c>
      <c r="I14" s="308" t="s">
        <v>1384</v>
      </c>
      <c r="J14" s="24">
        <f ca="1">C29</f>
        <v>72</v>
      </c>
      <c r="K14" s="15"/>
      <c r="L14" s="916"/>
      <c r="M14" s="917"/>
    </row>
    <row r="15" spans="1:37" s="1581" customFormat="1" ht="18" customHeight="1" thickBot="1">
      <c r="A15" s="1113" t="s">
        <v>1004</v>
      </c>
      <c r="B15" s="308" t="s">
        <v>1385</v>
      </c>
      <c r="C15" s="24">
        <f ca="1">ROUND(C14*F15,0)</f>
        <v>3</v>
      </c>
      <c r="D15" s="326" t="s">
        <v>1386</v>
      </c>
      <c r="E15" s="326" t="s">
        <v>1387</v>
      </c>
      <c r="F15" s="327">
        <f>'数据-取费表'!B33</f>
        <v>0.05</v>
      </c>
      <c r="G15" s="1580"/>
      <c r="H15" s="1249" t="s">
        <v>1007</v>
      </c>
      <c r="I15" s="1250" t="s">
        <v>1381</v>
      </c>
      <c r="J15" s="1259">
        <f ca="1">INDIRECT("'数据-取费表'!ad"&amp;$G$1)</f>
        <v>0.82</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68"/>
      <c r="H16" s="1239" t="s">
        <v>998</v>
      </c>
      <c r="I16" s="1240" t="s">
        <v>1389</v>
      </c>
      <c r="J16" s="316">
        <f ca="1">ROUND(J17+J22+J23+J24,0)</f>
        <v>7</v>
      </c>
      <c r="K16" s="1247" t="s">
        <v>1390</v>
      </c>
      <c r="L16" s="1248"/>
      <c r="M16" s="1204"/>
    </row>
    <row r="17" spans="1:37" s="1581" customFormat="1" ht="18" customHeight="1">
      <c r="A17" s="1113" t="s">
        <v>1355</v>
      </c>
      <c r="B17" s="308" t="s">
        <v>1391</v>
      </c>
      <c r="C17" s="24">
        <f ca="1">ROUND(F17*(F43+INDIRECT("'数据-取费表'!S"&amp;$G$1))/10000,0)</f>
        <v>3</v>
      </c>
      <c r="D17" s="308" t="s">
        <v>1392</v>
      </c>
      <c r="E17" s="308" t="s">
        <v>1393</v>
      </c>
      <c r="F17" s="26">
        <f>'数据-取费表'!B35</f>
        <v>140</v>
      </c>
      <c r="G17" s="1580"/>
      <c r="H17" s="1113" t="s">
        <v>1003</v>
      </c>
      <c r="I17" s="308" t="s">
        <v>1394</v>
      </c>
      <c r="J17" s="2534">
        <f ca="1">ROUND(IF(AND(项目基本情况!B11="自然人",项目基本情况!B10="北京市"),J6*M17/(1+'数据-取费表'!C42),J18+J19+J20),0)</f>
        <v>5</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1</v>
      </c>
      <c r="D18" s="308" t="s">
        <v>1386</v>
      </c>
      <c r="E18" s="308" t="s">
        <v>1387</v>
      </c>
      <c r="F18" s="328">
        <f>'数据-取费表'!B36</f>
        <v>1.4999999999999999E-2</v>
      </c>
      <c r="G18" s="1580"/>
      <c r="H18" s="1113" t="s">
        <v>1002</v>
      </c>
      <c r="I18" s="308" t="s">
        <v>1398</v>
      </c>
      <c r="J18" s="24">
        <f ca="1">ROUND(J6*M18/(1+'数据-取费表'!C42),2)</f>
        <v>3.3</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57</v>
      </c>
      <c r="D19" s="136" t="s">
        <v>1401</v>
      </c>
      <c r="E19" s="1544"/>
      <c r="F19" s="26"/>
      <c r="G19" s="1568"/>
      <c r="H19" s="1113" t="s">
        <v>1004</v>
      </c>
      <c r="I19" s="308" t="s">
        <v>1402</v>
      </c>
      <c r="J19" s="24">
        <f ca="1">IF(K19="按租金收入计税",ROUND(J6*M19/(1+'数据-取费表'!C42),2),ROUND(C29*M19*0.7,2))</f>
        <v>0.6</v>
      </c>
      <c r="K19" s="1554" t="s">
        <v>1403</v>
      </c>
      <c r="L19" s="308" t="s">
        <v>1387</v>
      </c>
      <c r="M19" s="328">
        <f>IF(K19="按租金收入计税",'数据-取费表'!B51,'数据-取费表'!B50)</f>
        <v>1.2E-2</v>
      </c>
    </row>
    <row r="20" spans="1:37" s="1581" customFormat="1" ht="18" customHeight="1">
      <c r="A20" s="1113" t="s">
        <v>1007</v>
      </c>
      <c r="B20" s="308" t="s">
        <v>1404</v>
      </c>
      <c r="C20" s="24">
        <f ca="1">ROUND(C19*F20,0)</f>
        <v>3</v>
      </c>
      <c r="D20" s="329" t="s">
        <v>1405</v>
      </c>
      <c r="E20" s="308" t="s">
        <v>1387</v>
      </c>
      <c r="F20" s="328">
        <f>'数据-取费表'!B37</f>
        <v>0.05</v>
      </c>
      <c r="G20" s="1580"/>
      <c r="H20" s="1113" t="s">
        <v>1354</v>
      </c>
      <c r="I20" s="160" t="s">
        <v>1406</v>
      </c>
      <c r="J20" s="25">
        <f ca="1">ROUND(M20*M21/10000,2)</f>
        <v>1.3</v>
      </c>
      <c r="K20" s="330" t="s">
        <v>1407</v>
      </c>
      <c r="L20" s="308" t="s">
        <v>1408</v>
      </c>
      <c r="M20" s="331">
        <f>'数据-取费表'!B52</f>
        <v>9</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18</v>
      </c>
      <c r="D21" s="329" t="s">
        <v>1410</v>
      </c>
      <c r="E21" s="308" t="s">
        <v>1411</v>
      </c>
      <c r="F21" s="328">
        <f>'数据-取费表'!B38</f>
        <v>0.05</v>
      </c>
      <c r="G21" s="1580"/>
      <c r="H21" s="332"/>
      <c r="I21" s="317"/>
      <c r="J21" s="29"/>
      <c r="K21" s="333"/>
      <c r="L21" s="308" t="s">
        <v>1412</v>
      </c>
      <c r="M21" s="309">
        <f ca="1">INDIRECT("'数据-取费表'!r"&amp;$G$1)</f>
        <v>1442.46</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ROUND(J14*M22,1)</f>
        <v>1.1000000000000001</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ROUND(J13*M23,1)</f>
        <v>0.1</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1E-3</v>
      </c>
      <c r="D24" s="335" t="str">
        <f>IF(F23&lt;=1,"销售费用×利率×(建设周期÷2)","销售费用×((1+利率)^(建设周期÷2)-1)")</f>
        <v>销售费用×利率×(建设周期÷2)</v>
      </c>
      <c r="E24" s="308" t="s">
        <v>1423</v>
      </c>
      <c r="F24" s="337">
        <f ca="1">'数据-取费表'!B40</f>
        <v>3.85E-2</v>
      </c>
      <c r="G24" s="1580"/>
      <c r="H24" s="1249" t="s">
        <v>1358</v>
      </c>
      <c r="I24" s="1250" t="s">
        <v>1404</v>
      </c>
      <c r="J24" s="1251">
        <f ca="1">ROUND(J5*M24,1)</f>
        <v>0.6</v>
      </c>
      <c r="K24" s="1252" t="s">
        <v>1424</v>
      </c>
      <c r="L24" s="1250" t="s">
        <v>1420</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3" t="s">
        <v>1425</v>
      </c>
      <c r="B25" s="308" t="s">
        <v>1426</v>
      </c>
      <c r="C25" s="24"/>
      <c r="D25" s="136" t="s">
        <v>1427</v>
      </c>
      <c r="E25" s="1544"/>
      <c r="F25" s="26"/>
      <c r="G25" s="1568"/>
      <c r="H25" s="1239" t="s">
        <v>999</v>
      </c>
      <c r="I25" s="1254" t="s">
        <v>1428</v>
      </c>
      <c r="J25" s="316">
        <f ca="1">J5-J16</f>
        <v>56</v>
      </c>
      <c r="K25" s="1255" t="s">
        <v>1429</v>
      </c>
      <c r="L25" s="1256"/>
      <c r="M25" s="1257"/>
    </row>
    <row r="26" spans="1:37">
      <c r="A26" s="1113" t="s">
        <v>1002</v>
      </c>
      <c r="B26" s="308" t="s">
        <v>1430</v>
      </c>
      <c r="C26" s="24">
        <f ca="1">ROUND((C19+C20)*F26,0)</f>
        <v>3</v>
      </c>
      <c r="D26" s="329" t="s">
        <v>1431</v>
      </c>
      <c r="E26" s="319" t="s">
        <v>1432</v>
      </c>
      <c r="F26" s="318">
        <f ca="1">INDIRECT("'数据-取费表'!q"&amp;$G$1)</f>
        <v>0.05</v>
      </c>
      <c r="G26" s="1568"/>
      <c r="H26" s="305" t="s">
        <v>1000</v>
      </c>
      <c r="I26" s="306" t="s">
        <v>1433</v>
      </c>
      <c r="J26" s="307">
        <f ca="1">IF(J5&lt;&gt;0,ROUND(J25*(1-((1+M28)/(1+M26))^M27)/(M26-M28),0),0)</f>
        <v>0</v>
      </c>
      <c r="K26" s="330" t="s">
        <v>1434</v>
      </c>
      <c r="L26" s="308" t="s">
        <v>1435</v>
      </c>
      <c r="M26" s="318">
        <f ca="1">INDIRECT("'数据-取费表'!I"&amp;$G$1)</f>
        <v>7.0000000000000007E-2</v>
      </c>
    </row>
    <row r="27" spans="1:37" ht="18" customHeight="1">
      <c r="A27" s="1113" t="s">
        <v>1004</v>
      </c>
      <c r="B27" s="308" t="s">
        <v>1436</v>
      </c>
      <c r="C27" s="24">
        <f ca="1">ROUND(F21*F26,4)</f>
        <v>2.5000000000000001E-3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72</v>
      </c>
      <c r="D29" s="1252"/>
      <c r="E29" s="1250"/>
      <c r="F29" s="1253"/>
      <c r="G29" s="1580"/>
      <c r="H29" s="340" t="s">
        <v>1001</v>
      </c>
      <c r="I29" s="341" t="s">
        <v>1444</v>
      </c>
      <c r="J29" s="342">
        <f ca="1">ROUND(J26/(1+F40)^F41,0)</f>
        <v>0</v>
      </c>
      <c r="K29" s="343" t="s">
        <v>1445</v>
      </c>
      <c r="L29" s="344"/>
      <c r="M29" s="345">
        <f ca="1">INDIRECT("'数据-取费表'!k"&amp;$G$1)</f>
        <v>198.07</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16</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14</v>
      </c>
      <c r="D31" s="1529" t="s">
        <v>1395</v>
      </c>
      <c r="E31" s="1528" t="s">
        <v>1446</v>
      </c>
      <c r="F31" s="2533" t="str">
        <f>IF(项目基本情况!B11="企业","——",IF('数据-取费表'!B10="住宅",IF(F6*F7*F8/12/(1+'数据-取费表'!F30)&gt;100000,4%,2.5%),IF(F6*F7*F8/12/(1+'数据-取费表'!F30)&gt;100000,12%,7%)))</f>
        <v>——</v>
      </c>
      <c r="G31" s="1568"/>
      <c r="H31" s="3039" t="s">
        <v>3058</v>
      </c>
      <c r="I31" s="1582"/>
      <c r="J31" s="1583"/>
      <c r="K31" s="2701"/>
      <c r="L31" s="2927"/>
      <c r="M31" s="2928"/>
    </row>
    <row r="32" spans="1:37" ht="18" customHeight="1">
      <c r="A32" s="1113" t="s">
        <v>1002</v>
      </c>
      <c r="B32" s="308" t="s">
        <v>1398</v>
      </c>
      <c r="C32" s="24">
        <f ca="1">IF(项目基本情况!B11="自然人","——",ROUND(C6*F32/(1+'数据-取费表'!C42),2))</f>
        <v>3.88</v>
      </c>
      <c r="D32" s="1528" t="s">
        <v>1399</v>
      </c>
      <c r="E32" s="308" t="s">
        <v>1387</v>
      </c>
      <c r="F32" s="337">
        <f>'数据-取费表'!B41</f>
        <v>5.5000000000000007E-2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IF(项目基本情况!B11="自然人","——",IF(D33="按租金收入计税",ROUND(C6*F33/(1+'数据-取费表'!C42),2),IF(D33="按房产原值计税",ROUND(C29*F33*0.7,2),INDIRECT("'数据-取费表'!Aj"&amp;$G$1))))</f>
        <v>8.4600000000000009</v>
      </c>
      <c r="D33" s="1554" t="s">
        <v>3084</v>
      </c>
      <c r="E33" s="308" t="s">
        <v>1387</v>
      </c>
      <c r="F33" s="328">
        <f>IF(D33="按票据","——",IF(D33="按租金收入计税",'数据-取费表'!B51,'数据-取费表'!B50))</f>
        <v>0.12</v>
      </c>
      <c r="G33" s="1568"/>
      <c r="H33" s="2929"/>
      <c r="I33" s="1582"/>
      <c r="J33" s="1583"/>
      <c r="K33" s="2930"/>
      <c r="L33" s="2929"/>
      <c r="M33" s="2929"/>
    </row>
    <row r="34" spans="1:18" ht="18" customHeight="1">
      <c r="A34" s="1201" t="s">
        <v>1354</v>
      </c>
      <c r="B34" s="160" t="s">
        <v>1406</v>
      </c>
      <c r="C34" s="25">
        <f ca="1">IF(项目基本情况!B11="自然人","——",ROUND(F34*F35/10000,2))</f>
        <v>1.3</v>
      </c>
      <c r="D34" s="330" t="s">
        <v>1407</v>
      </c>
      <c r="E34" s="308" t="s">
        <v>1408</v>
      </c>
      <c r="F34" s="331">
        <f>'数据-取费表'!B52</f>
        <v>9</v>
      </c>
      <c r="G34" s="1568"/>
      <c r="H34" s="2926"/>
      <c r="I34" s="1582"/>
      <c r="J34" s="1583"/>
      <c r="K34" s="2931"/>
      <c r="L34" s="2932"/>
      <c r="M34" s="2932"/>
    </row>
    <row r="35" spans="1:18" ht="18" customHeight="1">
      <c r="A35" s="1263"/>
      <c r="B35" s="1261"/>
      <c r="C35" s="29"/>
      <c r="D35" s="333"/>
      <c r="E35" s="308" t="s">
        <v>1412</v>
      </c>
      <c r="F35" s="309">
        <f ca="1">INDIRECT("'数据-取费表'!r"&amp;$G$1)</f>
        <v>1442.46</v>
      </c>
      <c r="G35" s="1568"/>
      <c r="H35" s="2926"/>
      <c r="I35" s="1582"/>
      <c r="J35" s="1583"/>
      <c r="K35" s="2930"/>
      <c r="L35" s="2929"/>
      <c r="M35" s="2929"/>
    </row>
    <row r="36" spans="1:18" ht="18" customHeight="1">
      <c r="A36" s="1262" t="s">
        <v>1007</v>
      </c>
      <c r="B36" s="308" t="s">
        <v>1414</v>
      </c>
      <c r="C36" s="24">
        <f ca="1">ROUND(C29*F36,1)</f>
        <v>1.1000000000000001</v>
      </c>
      <c r="D36" s="1528" t="s">
        <v>1447</v>
      </c>
      <c r="E36" s="308" t="s">
        <v>1387</v>
      </c>
      <c r="F36" s="334">
        <f ca="1">INDIRECT("'数据-取费表'!Ak"&amp;$G$1)</f>
        <v>1.4999999999999999E-2</v>
      </c>
      <c r="G36" s="1568"/>
      <c r="H36" s="2929"/>
      <c r="I36" s="1582"/>
      <c r="J36" s="1583"/>
      <c r="K36" s="2770"/>
      <c r="L36" s="2929"/>
      <c r="M36" s="2929"/>
    </row>
    <row r="37" spans="1:18" ht="18" customHeight="1">
      <c r="A37" s="1113" t="s">
        <v>1043</v>
      </c>
      <c r="B37" s="308" t="s">
        <v>1418</v>
      </c>
      <c r="C37" s="24">
        <f ca="1">ROUND(C13*F37,1)</f>
        <v>0.1</v>
      </c>
      <c r="D37" s="1528" t="s">
        <v>1419</v>
      </c>
      <c r="E37" s="308" t="s">
        <v>1420</v>
      </c>
      <c r="F37" s="336">
        <f ca="1">INDIRECT("'数据-取费表'!Al"&amp;$G$1)</f>
        <v>1.5E-3</v>
      </c>
      <c r="G37" s="1568"/>
      <c r="H37" s="2929"/>
      <c r="I37" s="1582"/>
      <c r="J37" s="1583"/>
      <c r="K37" s="2770"/>
      <c r="L37" s="2929"/>
      <c r="M37" s="2929"/>
    </row>
    <row r="38" spans="1:18" ht="18" customHeight="1" thickBot="1">
      <c r="A38" s="1249" t="s">
        <v>1358</v>
      </c>
      <c r="B38" s="1250" t="s">
        <v>1404</v>
      </c>
      <c r="C38" s="1251">
        <f ca="1">ROUND(C5*F38,1)</f>
        <v>0.7</v>
      </c>
      <c r="D38" s="1252" t="s">
        <v>1424</v>
      </c>
      <c r="E38" s="1250" t="s">
        <v>1420</v>
      </c>
      <c r="F38" s="1246">
        <f ca="1">INDIRECT("'数据-取费表'!Am"&amp;$G$1)</f>
        <v>0.01</v>
      </c>
      <c r="G38" s="1568"/>
      <c r="H38" s="2929"/>
      <c r="I38" s="1582"/>
      <c r="J38" s="1583"/>
      <c r="K38" s="2933"/>
      <c r="L38" s="2929"/>
      <c r="M38" s="2929"/>
    </row>
    <row r="39" spans="1:18" ht="24.6" customHeight="1" thickTop="1">
      <c r="A39" s="1239" t="s">
        <v>999</v>
      </c>
      <c r="B39" s="1254" t="s">
        <v>1448</v>
      </c>
      <c r="C39" s="316">
        <f ca="1">C5-C30</f>
        <v>58</v>
      </c>
      <c r="D39" s="1255" t="s">
        <v>1449</v>
      </c>
      <c r="E39" s="1256"/>
      <c r="F39" s="1257"/>
      <c r="G39" s="1568"/>
      <c r="H39" s="2929"/>
      <c r="I39" s="1582"/>
      <c r="J39" s="1583"/>
      <c r="K39" s="2933"/>
      <c r="L39" s="2929"/>
      <c r="M39" s="2929"/>
    </row>
    <row r="40" spans="1:18" ht="18" customHeight="1">
      <c r="A40" s="305" t="s">
        <v>1000</v>
      </c>
      <c r="B40" s="306" t="s">
        <v>1450</v>
      </c>
      <c r="C40" s="307">
        <f ca="1">ROUND(C39*(1-((1+F42)/(1+F40))^F41)/(F40-F42),0)</f>
        <v>773</v>
      </c>
      <c r="D40" s="330" t="s">
        <v>1434</v>
      </c>
      <c r="E40" s="308" t="s">
        <v>1435</v>
      </c>
      <c r="F40" s="318">
        <f ca="1">INDIRECT("'数据-取费表'!I"&amp;$G$1)</f>
        <v>7.0000000000000007E-2</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40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f ca="1">ROUND(C40*10000/F43,0)</f>
        <v>39027</v>
      </c>
      <c r="D43" s="343" t="s">
        <v>1453</v>
      </c>
      <c r="E43" s="344" t="s">
        <v>1454</v>
      </c>
      <c r="F43" s="345">
        <f ca="1">INDIRECT("'数据-取费表'!k"&amp;$G$1)</f>
        <v>198.07</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4" t="s">
        <v>1484</v>
      </c>
      <c r="P45" s="1645"/>
      <c r="Q45" s="1645"/>
      <c r="R45" s="1645"/>
    </row>
    <row r="46" spans="1:18" s="1568" customFormat="1" ht="13.5" thickBot="1">
      <c r="A46" s="1588" t="s">
        <v>1485</v>
      </c>
      <c r="C46" s="1589">
        <f ca="1">C68-C40</f>
        <v>-880</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277" t="s">
        <v>1363</v>
      </c>
      <c r="D47" s="1109" t="s">
        <v>1364</v>
      </c>
      <c r="E47" s="1189" t="s">
        <v>1365</v>
      </c>
      <c r="F47" s="1190"/>
      <c r="G47" s="731"/>
      <c r="I47" s="1598" t="s">
        <v>1491</v>
      </c>
      <c r="J47" s="1599" t="s">
        <v>3087</v>
      </c>
      <c r="K47" s="1600" t="s">
        <v>1492</v>
      </c>
      <c r="L47" s="1601">
        <f ca="1">INDIRECT("'数据-取费表'!d"&amp;$G$1)</f>
        <v>40</v>
      </c>
      <c r="M47" s="1564" t="str">
        <f>IF(ISNUMBER(FIND("住宅",C1)),"住宅","非住宅")</f>
        <v>非住宅</v>
      </c>
      <c r="O47" s="1602" t="s">
        <v>1008</v>
      </c>
      <c r="P47" s="1603" t="s">
        <v>1493</v>
      </c>
      <c r="Q47" s="1604">
        <f ca="1">C40+J29</f>
        <v>773</v>
      </c>
      <c r="R47" s="1604" t="s">
        <v>1494</v>
      </c>
    </row>
    <row r="48" spans="1:18" s="1568" customFormat="1" ht="28.5" thickBot="1">
      <c r="A48" s="1270" t="s">
        <v>1103</v>
      </c>
      <c r="B48" s="306" t="s">
        <v>1366</v>
      </c>
      <c r="C48" s="1543">
        <f ca="1">C49+C53+C55</f>
        <v>0</v>
      </c>
      <c r="D48" s="1272"/>
      <c r="E48" s="1273"/>
      <c r="F48" s="1093"/>
      <c r="G48" s="731"/>
      <c r="H48" s="732"/>
      <c r="I48" s="1605" t="s">
        <v>1495</v>
      </c>
      <c r="J48" s="1606" t="s">
        <v>3080</v>
      </c>
      <c r="K48" s="1607" t="s">
        <v>1496</v>
      </c>
      <c r="L48" s="1608">
        <f ca="1">INDIRECT("'数据-取费表'!f"&amp;$G$1)</f>
        <v>40</v>
      </c>
      <c r="O48" s="1602" t="s">
        <v>1009</v>
      </c>
      <c r="P48" s="1603" t="s">
        <v>1497</v>
      </c>
      <c r="Q48" s="1604" t="str">
        <f ca="1">J60</f>
        <v>0</v>
      </c>
      <c r="R48" s="1604" t="s">
        <v>1498</v>
      </c>
    </row>
    <row r="49" spans="1:18" s="1568" customFormat="1" ht="13.5" thickBot="1">
      <c r="A49" s="1106" t="s">
        <v>1104</v>
      </c>
      <c r="B49" s="1555" t="s">
        <v>1455</v>
      </c>
      <c r="C49" s="1274">
        <f ca="1">ROUND(F49*F51*F50*(1-F52)/10000,0)</f>
        <v>0</v>
      </c>
      <c r="D49" s="1186" t="s">
        <v>2852</v>
      </c>
      <c r="E49" s="1556" t="s">
        <v>1456</v>
      </c>
      <c r="F49" s="1191"/>
      <c r="G49" s="1609"/>
      <c r="H49" s="732"/>
      <c r="I49" s="1605" t="s">
        <v>1499</v>
      </c>
      <c r="J49" s="1610"/>
      <c r="K49" s="1607" t="s">
        <v>1500</v>
      </c>
      <c r="L49" s="1611"/>
      <c r="O49" s="1612" t="s">
        <v>1010</v>
      </c>
      <c r="P49" s="1603" t="s">
        <v>1501</v>
      </c>
      <c r="Q49" s="1604">
        <f ca="1">C29</f>
        <v>72</v>
      </c>
      <c r="R49" s="1604" t="s">
        <v>1494</v>
      </c>
    </row>
    <row r="50" spans="1:18" s="1568" customFormat="1" ht="13.5" thickBot="1">
      <c r="A50" s="1107"/>
      <c r="B50" s="1110"/>
      <c r="C50" s="1278"/>
      <c r="D50" s="1084"/>
      <c r="E50" s="1187" t="s">
        <v>1371</v>
      </c>
      <c r="F50" s="1188">
        <f ca="1">F7</f>
        <v>1</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1</v>
      </c>
      <c r="I51" s="1616" t="s">
        <v>1505</v>
      </c>
      <c r="J51" s="1617">
        <f>IF(J49="",J50,J49+J50-YEAR('数据-取费表'!B2))</f>
        <v>60</v>
      </c>
      <c r="K51" s="1618" t="s">
        <v>1506</v>
      </c>
      <c r="L51" s="1619">
        <f ca="1">ROUND(-PV(INDIRECT("'数据-取费表'!h"&amp;$G$1),J51,(C39-C13*C76),0),0)</f>
        <v>801</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40</v>
      </c>
      <c r="R52" s="1604" t="s">
        <v>1511</v>
      </c>
    </row>
    <row r="53" spans="1:18" s="1568" customFormat="1" ht="24.75" thickBot="1">
      <c r="A53" s="1314" t="s">
        <v>1105</v>
      </c>
      <c r="B53" s="1557" t="s">
        <v>1374</v>
      </c>
      <c r="C53" s="322">
        <f ca="1">ROUND(IF(F53="押一",C49/12*F11,IF(F53="押二",C49/12*2*F11,IF(F53="押三",C49/12*3*F11,C54*F11))),0)</f>
        <v>0</v>
      </c>
      <c r="D53" s="1550" t="s">
        <v>2858</v>
      </c>
      <c r="E53" s="319" t="s">
        <v>1375</v>
      </c>
      <c r="F53" s="1276"/>
      <c r="I53" s="1623" t="s">
        <v>1512</v>
      </c>
      <c r="J53" s="2386">
        <f ca="1">IF(M47="住宅",IF(D1="——",MAX(J51,L48),MAX(J51,L48-'数据-取费表'!B24)),IF(D1="——",MIN(J51,L48),MIN(J51,L48-'数据-取费表'!B24)))</f>
        <v>40</v>
      </c>
      <c r="K53" s="3879" t="s">
        <v>1513</v>
      </c>
      <c r="L53" s="3880"/>
      <c r="O53" s="1602" t="s">
        <v>1014</v>
      </c>
      <c r="P53" s="1603" t="s">
        <v>1514</v>
      </c>
      <c r="Q53" s="1604">
        <f ca="1">Q47+Q48</f>
        <v>773</v>
      </c>
      <c r="R53" s="1604" t="s">
        <v>1015</v>
      </c>
    </row>
    <row r="54" spans="1:18" s="1568" customFormat="1" ht="13.5" thickBot="1">
      <c r="A54" s="1315"/>
      <c r="B54" s="1551" t="s">
        <v>1353</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8">
        <v>2</v>
      </c>
      <c r="B56" s="1089" t="s">
        <v>1379</v>
      </c>
      <c r="C56" s="238">
        <f ca="1">C13</f>
        <v>59</v>
      </c>
      <c r="D56" s="1631"/>
      <c r="E56" s="1632"/>
      <c r="F56" s="1624"/>
      <c r="I56" s="1633" t="s">
        <v>1519</v>
      </c>
      <c r="J56" s="1634" t="s">
        <v>3073</v>
      </c>
      <c r="K56" s="1605" t="s">
        <v>1520</v>
      </c>
      <c r="L56" s="1608" t="str">
        <f ca="1">IF(L48&lt;J51,"——",L48-J53)</f>
        <v>——</v>
      </c>
      <c r="O56" s="1602" t="s">
        <v>1008</v>
      </c>
      <c r="P56" s="1603" t="s">
        <v>1493</v>
      </c>
      <c r="Q56" s="1604">
        <f ca="1">C40+J29</f>
        <v>773</v>
      </c>
      <c r="R56" s="1604" t="s">
        <v>1494</v>
      </c>
    </row>
    <row r="57" spans="1:18" s="1568" customFormat="1" ht="24.75" thickBot="1">
      <c r="A57" s="1635"/>
      <c r="B57" s="1081" t="s">
        <v>1443</v>
      </c>
      <c r="C57" s="244">
        <f ca="1">C29</f>
        <v>72</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9" t="s">
        <v>1389</v>
      </c>
      <c r="C58" s="322">
        <f ca="1">ROUND(C59+C64+C65+C66,0)</f>
        <v>8</v>
      </c>
      <c r="D58" s="1091" t="s">
        <v>1390</v>
      </c>
      <c r="E58" s="1092"/>
      <c r="F58" s="1093"/>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7</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IF(项目基本情况!B11="自然人","——",ROUND(C48*F60/(1+'数据-取费表'!C42),2))</f>
        <v>0</v>
      </c>
      <c r="D60" s="1095" t="s">
        <v>1399</v>
      </c>
      <c r="E60" s="1081" t="s">
        <v>1387</v>
      </c>
      <c r="F60" s="337">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IF(项目基本情况!B11="自然人","——",IF(D61="按租金收入计税",ROUND(C49*F61/(1+'数据-取费表'!C42),2),IF(D61="按房产原值计税",ROUND(C57*F61*0.7,2),INDIRECT("'数据-取费表'!Aj"&amp;$G$1))))</f>
        <v>6.05</v>
      </c>
      <c r="D61" s="1554" t="s">
        <v>1403</v>
      </c>
      <c r="E61" s="1081" t="s">
        <v>1459</v>
      </c>
      <c r="F61" s="328">
        <f t="shared" si="0"/>
        <v>0.12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IF(项目基本情况!B11="自然人","——",ROUND(F62*F63/10000,2))</f>
        <v>1.3</v>
      </c>
      <c r="D62" s="1096" t="s">
        <v>1462</v>
      </c>
      <c r="E62" s="1081" t="s">
        <v>1463</v>
      </c>
      <c r="F62" s="331">
        <f t="shared" si="0"/>
        <v>9</v>
      </c>
      <c r="I62" s="1646" t="s">
        <v>1535</v>
      </c>
      <c r="J62" s="1647" t="s">
        <v>1536</v>
      </c>
      <c r="K62" s="1647" t="s">
        <v>1537</v>
      </c>
      <c r="L62" s="1647" t="s">
        <v>1538</v>
      </c>
      <c r="M62" s="1648" t="s">
        <v>1539</v>
      </c>
      <c r="O62" s="1602" t="s">
        <v>1014</v>
      </c>
      <c r="P62" s="1603" t="s">
        <v>1540</v>
      </c>
      <c r="Q62" s="1604">
        <f ca="1">Q56+Q57</f>
        <v>773</v>
      </c>
      <c r="R62" s="1604" t="s">
        <v>1015</v>
      </c>
    </row>
    <row r="63" spans="1:18" s="1568" customFormat="1" ht="13.5" thickBot="1">
      <c r="A63" s="332"/>
      <c r="B63" s="1087"/>
      <c r="C63" s="29"/>
      <c r="D63" s="1097"/>
      <c r="E63" s="1081" t="s">
        <v>1464</v>
      </c>
      <c r="F63" s="309">
        <f t="shared" ca="1" si="0"/>
        <v>1442.46</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ROUND(C57*F64,1)</f>
        <v>1.1000000000000001</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ROUND(C56*F65,1)</f>
        <v>0.1</v>
      </c>
      <c r="D65" s="1095" t="s">
        <v>1419</v>
      </c>
      <c r="E65" s="1081" t="s">
        <v>1420</v>
      </c>
      <c r="F65" s="336">
        <f t="shared" ca="1" si="0"/>
        <v>1.5E-3</v>
      </c>
      <c r="I65" s="1646" t="s">
        <v>1544</v>
      </c>
      <c r="J65" s="1647">
        <v>40</v>
      </c>
      <c r="K65" s="1647">
        <v>30</v>
      </c>
      <c r="L65" s="1647">
        <v>50</v>
      </c>
      <c r="M65" s="1649">
        <v>0.02</v>
      </c>
      <c r="O65" s="1602" t="s">
        <v>1008</v>
      </c>
      <c r="P65" s="1603" t="s">
        <v>1545</v>
      </c>
      <c r="Q65" s="1604">
        <f ca="1">C40+J29</f>
        <v>773</v>
      </c>
      <c r="R65" s="1604" t="s">
        <v>1494</v>
      </c>
    </row>
    <row r="66" spans="1:18" s="1568" customFormat="1" ht="16.5" thickBot="1">
      <c r="A66" s="1113" t="s">
        <v>1469</v>
      </c>
      <c r="B66" s="1081" t="s">
        <v>1404</v>
      </c>
      <c r="C66" s="24">
        <f ca="1">ROUND(C48*F66,1)</f>
        <v>0</v>
      </c>
      <c r="D66" s="1095" t="s">
        <v>1470</v>
      </c>
      <c r="E66" s="1081" t="s">
        <v>1387</v>
      </c>
      <c r="F66" s="318">
        <f t="shared" ca="1" si="0"/>
        <v>0.01</v>
      </c>
      <c r="O66" s="1602" t="s">
        <v>1009</v>
      </c>
      <c r="P66" s="1603" t="s">
        <v>1523</v>
      </c>
      <c r="Q66" s="1604">
        <f ca="1">L60</f>
        <v>0</v>
      </c>
      <c r="R66" s="1604" t="s">
        <v>1546</v>
      </c>
    </row>
    <row r="67" spans="1:18" s="1568" customFormat="1" ht="16.5" thickBot="1">
      <c r="A67" s="1088" t="s">
        <v>999</v>
      </c>
      <c r="B67" s="1098" t="s">
        <v>1428</v>
      </c>
      <c r="C67" s="322">
        <f ca="1">C48-C58</f>
        <v>-8</v>
      </c>
      <c r="D67" s="1094" t="s">
        <v>1429</v>
      </c>
      <c r="E67" s="1099"/>
      <c r="F67" s="1100"/>
      <c r="O67" s="1612" t="s">
        <v>1010</v>
      </c>
      <c r="P67" s="1603" t="s">
        <v>1527</v>
      </c>
      <c r="Q67" s="1650">
        <f ca="1">L51</f>
        <v>801</v>
      </c>
      <c r="R67" s="1604" t="s">
        <v>1547</v>
      </c>
    </row>
    <row r="68" spans="1:18" s="1568" customFormat="1" ht="16.5" thickBot="1">
      <c r="A68" s="1078" t="s">
        <v>1000</v>
      </c>
      <c r="B68" s="1079" t="s">
        <v>1450</v>
      </c>
      <c r="C68" s="307">
        <f ca="1">ROUND(C67*(1-((1+F70)/(1+F68))^F69)/(F68-F70),0)</f>
        <v>-107</v>
      </c>
      <c r="D68" s="1096" t="s">
        <v>1434</v>
      </c>
      <c r="E68" s="1081" t="s">
        <v>1435</v>
      </c>
      <c r="F68" s="318">
        <f ca="1">F40</f>
        <v>7.0000000000000007E-2</v>
      </c>
      <c r="O68" s="1612" t="s">
        <v>1011</v>
      </c>
      <c r="P68" s="1651" t="s">
        <v>1548</v>
      </c>
      <c r="Q68" s="1604">
        <f ca="1">ROUND(Q69-Q70*Q71,0)</f>
        <v>53</v>
      </c>
      <c r="R68" s="1604" t="s">
        <v>1019</v>
      </c>
    </row>
    <row r="69" spans="1:18" s="1568" customFormat="1" ht="13.5" thickBot="1">
      <c r="A69" s="1082"/>
      <c r="B69" s="1083"/>
      <c r="C69" s="312"/>
      <c r="D69" s="1101" t="s">
        <v>1438</v>
      </c>
      <c r="E69" s="1081" t="s">
        <v>1439</v>
      </c>
      <c r="F69" s="339">
        <f ca="1">F41</f>
        <v>40</v>
      </c>
      <c r="O69" s="1612" t="s">
        <v>1016</v>
      </c>
      <c r="P69" s="1651" t="s">
        <v>1549</v>
      </c>
      <c r="Q69" s="1604">
        <f ca="1">C39</f>
        <v>58</v>
      </c>
      <c r="R69" s="1604" t="s">
        <v>1494</v>
      </c>
    </row>
    <row r="70" spans="1:18" s="1568" customFormat="1" ht="13.5" thickBot="1">
      <c r="A70" s="1085"/>
      <c r="B70" s="1086"/>
      <c r="C70" s="316"/>
      <c r="D70" s="1097"/>
      <c r="E70" s="1081" t="s">
        <v>1442</v>
      </c>
      <c r="F70" s="1185"/>
      <c r="O70" s="1612" t="s">
        <v>1017</v>
      </c>
      <c r="P70" s="1651" t="s">
        <v>1550</v>
      </c>
      <c r="Q70" s="1604">
        <f ca="1">C13</f>
        <v>59</v>
      </c>
      <c r="R70" s="1604" t="s">
        <v>1494</v>
      </c>
    </row>
    <row r="71" spans="1:18" s="1568" customFormat="1" ht="13.5" thickBot="1">
      <c r="A71" s="1102" t="s">
        <v>1001</v>
      </c>
      <c r="B71" s="1103" t="s">
        <v>1452</v>
      </c>
      <c r="C71" s="342">
        <f ca="1">ROUND(C68*10000/F71,0)</f>
        <v>-5402</v>
      </c>
      <c r="D71" s="1104" t="s">
        <v>1453</v>
      </c>
      <c r="E71" s="1105" t="s">
        <v>1454</v>
      </c>
      <c r="F71" s="345">
        <f ca="1">F43</f>
        <v>198.07</v>
      </c>
      <c r="O71" s="1612" t="s">
        <v>1018</v>
      </c>
      <c r="P71" s="1651" t="s">
        <v>1551</v>
      </c>
      <c r="Q71" s="1615">
        <f ca="1">C76</f>
        <v>0.08</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5</v>
      </c>
      <c r="D75" s="1568"/>
      <c r="E75" s="1568"/>
      <c r="F75" s="1568"/>
      <c r="K75" s="1586"/>
      <c r="L75" s="1568"/>
      <c r="O75" s="1602" t="s">
        <v>1014</v>
      </c>
      <c r="P75" s="1603" t="s">
        <v>1514</v>
      </c>
      <c r="Q75" s="1604">
        <f ca="1">Q65+Q66</f>
        <v>773</v>
      </c>
      <c r="R75" s="1604" t="s">
        <v>1015</v>
      </c>
    </row>
    <row r="76" spans="1:18">
      <c r="B76" s="348" t="s">
        <v>1472</v>
      </c>
      <c r="C76" s="349">
        <f ca="1">INDIRECT("'数据-取费表'!j"&amp;$G$1)</f>
        <v>0.08</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0.91400000000000003</v>
      </c>
    </row>
    <row r="80" spans="1:18">
      <c r="B80" s="346" t="s">
        <v>1476</v>
      </c>
      <c r="C80" s="280">
        <f ca="1">ROUND(C75/C39,3)</f>
        <v>8.5999999999999993E-2</v>
      </c>
    </row>
    <row r="81" spans="2:3">
      <c r="B81" s="276" t="s">
        <v>1477</v>
      </c>
      <c r="C81" s="244"/>
    </row>
    <row r="82" spans="2:3">
      <c r="B82" s="279" t="s">
        <v>1478</v>
      </c>
      <c r="C82" s="281">
        <f ca="1">1-C83</f>
        <v>0.92400000000000004</v>
      </c>
    </row>
    <row r="83" spans="2:3">
      <c r="B83" s="279" t="s">
        <v>1479</v>
      </c>
      <c r="C83" s="280">
        <f ca="1">ROUND(C13/C40,3)</f>
        <v>7.5999999999999998E-2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83" priority="56">
      <formula>$L$48&gt;$J$51</formula>
    </cfRule>
  </conditionalFormatting>
  <conditionalFormatting sqref="I55 I60">
    <cfRule type="expression" dxfId="182" priority="57">
      <formula>$J$51&gt;$L$48</formula>
    </cfRule>
  </conditionalFormatting>
  <conditionalFormatting sqref="C11">
    <cfRule type="expression" dxfId="181" priority="3">
      <formula>$F$10="自定义"</formula>
    </cfRule>
  </conditionalFormatting>
  <conditionalFormatting sqref="J11">
    <cfRule type="expression" dxfId="180" priority="2">
      <formula>$M$10="自定义"</formula>
    </cfRule>
  </conditionalFormatting>
  <conditionalFormatting sqref="C54">
    <cfRule type="expression" dxfId="179" priority="1">
      <formula>$F$53="自定义"</formula>
    </cfRule>
  </conditionalFormatting>
  <dataValidations count="9">
    <dataValidation type="list" allowBlank="1" showInputMessage="1" showErrorMessage="1" sqref="K19" xr:uid="{00000000-0002-0000-1600-000000000000}">
      <formula1>"按租金收入计税,按房产原值计税"</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C1" xr:uid="{00000000-0002-0000-1600-000002000000}">
      <formula1>项目类型</formula1>
    </dataValidation>
    <dataValidation type="list" allowBlank="1" showInputMessage="1" showErrorMessage="1" sqref="J47" xr:uid="{00000000-0002-0000-1600-000003000000}">
      <formula1>"钢,钢混,砖混"</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J56" xr:uid="{00000000-0002-0000-1600-000005000000}">
      <formula1>判定</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M10 F10 F53"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topLeftCell="A31" zoomScale="90" zoomScaleNormal="70" zoomScaleSheetLayoutView="90" workbookViewId="0">
      <selection activeCell="A8" sqref="A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625" style="264" customWidth="1"/>
    <col min="6" max="6" width="10.625" style="264" customWidth="1"/>
    <col min="7" max="7" width="4.875" style="264" customWidth="1"/>
    <col min="8" max="8" width="8.5" style="264" customWidth="1"/>
    <col min="9" max="9" width="21.125" style="264" customWidth="1"/>
    <col min="10" max="10" width="12.125" style="264" customWidth="1"/>
    <col min="11" max="11" width="40.125" style="1652" customWidth="1"/>
    <col min="12" max="12" width="16.375" style="264" customWidth="1"/>
    <col min="13" max="13" width="13" style="264" customWidth="1"/>
    <col min="14" max="14" width="13.625" style="1568" customWidth="1"/>
    <col min="15" max="15" width="5.125" style="1568" customWidth="1"/>
    <col min="16" max="16" width="25.625" style="1568" customWidth="1"/>
    <col min="17" max="17" width="13.625" style="1568" customWidth="1"/>
    <col min="18" max="18" width="20.5" style="1568" customWidth="1"/>
    <col min="19" max="19" width="13.125" style="1568" customWidth="1"/>
    <col min="20" max="37" width="9" style="1568"/>
    <col min="38" max="16384" width="9" style="264"/>
  </cols>
  <sheetData>
    <row r="1" spans="1:37" s="299" customFormat="1" ht="21">
      <c r="A1" s="1559" t="s">
        <v>1554</v>
      </c>
      <c r="B1" s="722"/>
      <c r="C1" s="1563" t="s">
        <v>1343</v>
      </c>
      <c r="D1" s="1546"/>
      <c r="E1" s="1547" t="s">
        <v>1352</v>
      </c>
      <c r="F1" s="1193">
        <f ca="1">J53</f>
        <v>40</v>
      </c>
      <c r="G1" s="1562">
        <f>MATCH(C1,'数据-取费表'!A6:A16,0)+5</f>
        <v>6</v>
      </c>
      <c r="H1" s="2921"/>
      <c r="I1" s="2922"/>
      <c r="J1" s="2922"/>
      <c r="K1" s="2923"/>
      <c r="L1" s="2922"/>
      <c r="M1" s="292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f ca="1">ROUND(D2/10000,0)</f>
        <v>884</v>
      </c>
      <c r="C2" s="1571" t="s">
        <v>1556</v>
      </c>
      <c r="D2" s="1655">
        <f ca="1">C40+J29+L46</f>
        <v>8844122</v>
      </c>
      <c r="E2" s="1572" t="s">
        <v>1557</v>
      </c>
      <c r="F2" s="1573"/>
      <c r="G2" s="2935"/>
      <c r="H2" s="2924"/>
      <c r="I2" s="2924"/>
      <c r="J2" s="2924"/>
      <c r="K2" s="2925"/>
      <c r="L2" s="2924"/>
      <c r="M2" s="2924"/>
    </row>
    <row r="3" spans="1:37" ht="18" customHeight="1" thickBot="1">
      <c r="A3" s="1574" t="s">
        <v>1558</v>
      </c>
      <c r="B3" s="1575">
        <f ca="1">IF(ISERROR(D2/F43),0,ROUND(D2/F43,0))</f>
        <v>44651</v>
      </c>
      <c r="C3" s="1571" t="s">
        <v>1559</v>
      </c>
      <c r="D3" s="1571"/>
      <c r="E3" s="1572"/>
      <c r="F3" s="1573"/>
      <c r="G3" s="2935"/>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2">
        <f ca="1">C6+C10+C12</f>
        <v>739627</v>
      </c>
      <c r="D5" s="1548" t="s">
        <v>1566</v>
      </c>
      <c r="E5" s="1203"/>
      <c r="F5" s="1204"/>
      <c r="G5" s="1568"/>
      <c r="H5" s="305">
        <v>1</v>
      </c>
      <c r="I5" s="306" t="s">
        <v>1565</v>
      </c>
      <c r="J5" s="1202">
        <f ca="1">J6+J10+J12</f>
        <v>627898</v>
      </c>
      <c r="K5" s="1548" t="s">
        <v>1566</v>
      </c>
      <c r="L5" s="1203"/>
      <c r="M5" s="1204"/>
    </row>
    <row r="6" spans="1:37" ht="18" customHeight="1">
      <c r="A6" s="1201" t="s">
        <v>1003</v>
      </c>
      <c r="B6" s="3881" t="s">
        <v>1368</v>
      </c>
      <c r="C6" s="1206">
        <f ca="1">ROUND(F6*F8*F7*(1-F9),0)</f>
        <v>738704</v>
      </c>
      <c r="D6" s="160" t="s">
        <v>2848</v>
      </c>
      <c r="E6" s="308" t="s">
        <v>1370</v>
      </c>
      <c r="F6" s="309">
        <f ca="1">INDIRECT("'数据-取费表'!u"&amp;$G$1)</f>
        <v>738704</v>
      </c>
      <c r="G6" s="1568"/>
      <c r="H6" s="1201" t="s">
        <v>1003</v>
      </c>
      <c r="I6" s="3881" t="s">
        <v>1368</v>
      </c>
      <c r="J6" s="307">
        <f ca="1">ROUND(M6*M8*M7*(1-M9),0)</f>
        <v>627898</v>
      </c>
      <c r="K6" s="1560" t="s">
        <v>2849</v>
      </c>
      <c r="L6" s="308" t="s">
        <v>1370</v>
      </c>
      <c r="M6" s="309">
        <f ca="1">INDIRECT("'数据-取费表'!z"&amp;$G$1)</f>
        <v>738704</v>
      </c>
    </row>
    <row r="7" spans="1:37" ht="18" customHeight="1">
      <c r="A7" s="1205"/>
      <c r="B7" s="3882"/>
      <c r="C7" s="1207"/>
      <c r="D7" s="313"/>
      <c r="E7" s="1208" t="s">
        <v>1371</v>
      </c>
      <c r="F7" s="309">
        <f ca="1">IF(INDIRECT("'数据-取费表'!ah"&amp;$G$1)="",INDIRECT("'数据-取费表'!k"&amp;$G$1),INDIRECT("'数据-取费表'!ah"&amp;$G$1))</f>
        <v>1</v>
      </c>
      <c r="G7" s="1568"/>
      <c r="H7" s="310"/>
      <c r="I7" s="3882"/>
      <c r="J7" s="312"/>
      <c r="K7" s="313"/>
      <c r="L7" s="308" t="s">
        <v>1371</v>
      </c>
      <c r="M7" s="309">
        <f ca="1">F7</f>
        <v>1</v>
      </c>
    </row>
    <row r="8" spans="1:37" ht="18" customHeight="1">
      <c r="A8" s="310"/>
      <c r="B8" s="3882"/>
      <c r="C8" s="312"/>
      <c r="D8" s="313"/>
      <c r="E8" s="308" t="s">
        <v>1372</v>
      </c>
      <c r="F8" s="309">
        <f ca="1">INDIRECT("'数据-取费表'!ai"&amp;$G$1)</f>
        <v>1</v>
      </c>
      <c r="G8" s="1568"/>
      <c r="H8" s="310"/>
      <c r="I8" s="3882"/>
      <c r="J8" s="312"/>
      <c r="K8" s="313"/>
      <c r="L8" s="308" t="s">
        <v>1372</v>
      </c>
      <c r="M8" s="309">
        <f ca="1">INDIRECT("'数据-取费表'!ai"&amp;$G$1)</f>
        <v>1</v>
      </c>
    </row>
    <row r="9" spans="1:37" ht="18" customHeight="1">
      <c r="A9" s="310"/>
      <c r="B9" s="3883"/>
      <c r="C9" s="312"/>
      <c r="D9" s="313"/>
      <c r="E9" s="308" t="s">
        <v>1373</v>
      </c>
      <c r="F9" s="318">
        <f ca="1">INDIRECT("'数据-取费表'!w"&amp;$G$1)</f>
        <v>0</v>
      </c>
      <c r="G9" s="1568"/>
      <c r="H9" s="310"/>
      <c r="I9" s="3883"/>
      <c r="J9" s="312"/>
      <c r="K9" s="313"/>
      <c r="L9" s="319" t="s">
        <v>1373</v>
      </c>
      <c r="M9" s="320">
        <f ca="1">INDIRECT("'数据-取费表'!ab"&amp;$G$1)</f>
        <v>0.15</v>
      </c>
    </row>
    <row r="10" spans="1:37" ht="18" customHeight="1">
      <c r="A10" s="1201" t="s">
        <v>1007</v>
      </c>
      <c r="B10" s="1549" t="s">
        <v>1374</v>
      </c>
      <c r="C10" s="322">
        <f ca="1">ROUND(IF(F10="押一",C6/12*F11,IF(F10="押二",C6/12*2*F11,IF(F10="押三",C6/12*3*F11,C11*F11))),0)</f>
        <v>923</v>
      </c>
      <c r="D10" s="1550" t="s">
        <v>2858</v>
      </c>
      <c r="E10" s="319" t="s">
        <v>1375</v>
      </c>
      <c r="F10" s="1276" t="s">
        <v>3078</v>
      </c>
      <c r="G10" s="1568"/>
      <c r="H10" s="1201" t="s">
        <v>1007</v>
      </c>
      <c r="I10" s="1549" t="s">
        <v>1374</v>
      </c>
      <c r="J10" s="307">
        <f ca="1">ROUND(IF(M10="押一",J6/12*M11,IF(M10="押二",J6/12*2*M11,IF(M10="押三",J6/12*3*M11,J11*M11))),0)</f>
        <v>0</v>
      </c>
      <c r="K10" s="1561" t="s">
        <v>2860</v>
      </c>
      <c r="L10" s="319" t="s">
        <v>1375</v>
      </c>
      <c r="M10" s="1276"/>
    </row>
    <row r="11" spans="1:37" ht="18" customHeight="1">
      <c r="A11" s="314"/>
      <c r="B11" s="1551" t="s">
        <v>1567</v>
      </c>
      <c r="C11" s="1090"/>
      <c r="D11" s="313"/>
      <c r="E11" s="319" t="s">
        <v>1377</v>
      </c>
      <c r="F11" s="320">
        <f ca="1">'数据-取费表'!B39</f>
        <v>1.4999999999999999E-2</v>
      </c>
      <c r="G11" s="1568"/>
      <c r="H11" s="1209"/>
      <c r="I11" s="1551" t="s">
        <v>1568</v>
      </c>
      <c r="J11" s="1090"/>
      <c r="K11" s="693"/>
      <c r="L11" s="319" t="s">
        <v>1377</v>
      </c>
      <c r="M11" s="971">
        <f ca="1">'数据-取费表'!B39</f>
        <v>1.4999999999999999E-2</v>
      </c>
    </row>
    <row r="12" spans="1:37" ht="18" customHeight="1" thickBot="1">
      <c r="A12" s="1243" t="s">
        <v>1043</v>
      </c>
      <c r="B12" s="1553" t="s">
        <v>1378</v>
      </c>
      <c r="C12" s="1244"/>
      <c r="D12" s="1245"/>
      <c r="E12" s="1250"/>
      <c r="F12" s="1246"/>
      <c r="G12" s="1568"/>
      <c r="H12" s="1243" t="s">
        <v>1043</v>
      </c>
      <c r="I12" s="1553" t="s">
        <v>1378</v>
      </c>
      <c r="J12" s="1244"/>
      <c r="K12" s="1258"/>
      <c r="L12" s="1250"/>
      <c r="M12" s="1259"/>
    </row>
    <row r="13" spans="1:37" ht="18" customHeight="1" thickTop="1">
      <c r="A13" s="1239">
        <v>2</v>
      </c>
      <c r="B13" s="1240" t="s">
        <v>1379</v>
      </c>
      <c r="C13" s="316">
        <f ca="1">ROUND(C29*F13,0)</f>
        <v>571462</v>
      </c>
      <c r="D13" s="1241" t="s">
        <v>1380</v>
      </c>
      <c r="E13" s="1241" t="s">
        <v>1381</v>
      </c>
      <c r="F13" s="1242">
        <f ca="1">INDIRECT("'数据-取费表'!y"&amp;$G$1)</f>
        <v>0.82</v>
      </c>
      <c r="G13" s="1568"/>
      <c r="H13" s="1239">
        <v>2</v>
      </c>
      <c r="I13" s="1240" t="s">
        <v>1379</v>
      </c>
      <c r="J13" s="1200">
        <f ca="1">ROUND(J14*J15,0)</f>
        <v>571462</v>
      </c>
      <c r="K13" s="1247" t="s">
        <v>1380</v>
      </c>
      <c r="L13" s="1576"/>
      <c r="M13" s="1577"/>
    </row>
    <row r="14" spans="1:37" ht="18" customHeight="1">
      <c r="A14" s="1113" t="s">
        <v>1002</v>
      </c>
      <c r="B14" s="308" t="s">
        <v>1382</v>
      </c>
      <c r="C14" s="324">
        <f ca="1">ROUND(INDIRECT("'数据-取费表'!l"&amp;$G$1)*F43+'数据-取费表'!L14*INDIRECT("'数据-取费表'!S"&amp;$G$1),0)</f>
        <v>495175</v>
      </c>
      <c r="D14" s="1529" t="s">
        <v>1383</v>
      </c>
      <c r="E14" s="1526"/>
      <c r="F14" s="325"/>
      <c r="G14" s="1568"/>
      <c r="H14" s="1113" t="s">
        <v>1003</v>
      </c>
      <c r="I14" s="308" t="s">
        <v>1384</v>
      </c>
      <c r="J14" s="24">
        <f ca="1">C29</f>
        <v>696905</v>
      </c>
      <c r="K14" s="15"/>
      <c r="L14" s="916"/>
      <c r="M14" s="917"/>
    </row>
    <row r="15" spans="1:37" s="1581" customFormat="1" ht="18" customHeight="1" thickBot="1">
      <c r="A15" s="1113" t="s">
        <v>1004</v>
      </c>
      <c r="B15" s="308" t="s">
        <v>1385</v>
      </c>
      <c r="C15" s="24">
        <f ca="1">ROUND(C14*F15,0)</f>
        <v>24759</v>
      </c>
      <c r="D15" s="326" t="s">
        <v>1386</v>
      </c>
      <c r="E15" s="326" t="s">
        <v>1387</v>
      </c>
      <c r="F15" s="327">
        <f>'数据-取费表'!B33</f>
        <v>0.05</v>
      </c>
      <c r="G15" s="1580"/>
      <c r="H15" s="1249" t="s">
        <v>1007</v>
      </c>
      <c r="I15" s="1250" t="s">
        <v>1381</v>
      </c>
      <c r="J15" s="1259">
        <f ca="1">INDIRECT("'数据-取费表'!ad"&amp;$G$1)</f>
        <v>0.82</v>
      </c>
      <c r="K15" s="1260"/>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68"/>
      <c r="H16" s="1239" t="s">
        <v>998</v>
      </c>
      <c r="I16" s="1240" t="s">
        <v>1389</v>
      </c>
      <c r="J16" s="316">
        <f ca="1">ROUND(J17+J22+J23+J24,0)</f>
        <v>69316</v>
      </c>
      <c r="K16" s="1247" t="s">
        <v>1390</v>
      </c>
      <c r="L16" s="1248"/>
      <c r="M16" s="1204"/>
    </row>
    <row r="17" spans="1:37" s="1581" customFormat="1" ht="18" customHeight="1">
      <c r="A17" s="1113" t="s">
        <v>1355</v>
      </c>
      <c r="B17" s="308" t="s">
        <v>1391</v>
      </c>
      <c r="C17" s="24">
        <f ca="1">ROUND(F17*(F43+INDIRECT("'数据-取费表'!S"&amp;$G$1)),0)</f>
        <v>27730</v>
      </c>
      <c r="D17" s="308" t="s">
        <v>1392</v>
      </c>
      <c r="E17" s="308" t="s">
        <v>1393</v>
      </c>
      <c r="F17" s="26">
        <f>'数据-取费表'!B35</f>
        <v>140</v>
      </c>
      <c r="G17" s="1580"/>
      <c r="H17" s="1113" t="s">
        <v>1003</v>
      </c>
      <c r="I17" s="308" t="s">
        <v>1394</v>
      </c>
      <c r="J17" s="2534">
        <f ca="1">ROUND(IF(AND(项目基本情况!B11="自然人",项目基本情况!B10="北京市"),J6*M17/(1+'数据-取费表'!C42),J18+J19+J20),0)</f>
        <v>51726</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3" t="s">
        <v>1356</v>
      </c>
      <c r="B18" s="308" t="s">
        <v>1397</v>
      </c>
      <c r="C18" s="24">
        <f ca="1">ROUND(C14*F18,0)</f>
        <v>7428</v>
      </c>
      <c r="D18" s="308" t="s">
        <v>1386</v>
      </c>
      <c r="E18" s="308" t="s">
        <v>1387</v>
      </c>
      <c r="F18" s="328">
        <f>'数据-取费表'!B36</f>
        <v>1.4999999999999999E-2</v>
      </c>
      <c r="G18" s="1580"/>
      <c r="H18" s="1113" t="s">
        <v>1002</v>
      </c>
      <c r="I18" s="308" t="s">
        <v>1398</v>
      </c>
      <c r="J18" s="24">
        <f ca="1">ROUND(J6*M18/(1+'数据-取费表'!C42),0)</f>
        <v>32890</v>
      </c>
      <c r="K18" s="1528" t="s">
        <v>1399</v>
      </c>
      <c r="L18" s="308" t="s">
        <v>1387</v>
      </c>
      <c r="M18" s="328">
        <f>'数据-取费表'!B41</f>
        <v>5.5000000000000007E-2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3" t="s">
        <v>1003</v>
      </c>
      <c r="B19" s="308" t="s">
        <v>1400</v>
      </c>
      <c r="C19" s="24">
        <f ca="1">SUM(C14:C18)</f>
        <v>555092</v>
      </c>
      <c r="D19" s="136" t="s">
        <v>1401</v>
      </c>
      <c r="E19" s="1544"/>
      <c r="F19" s="26"/>
      <c r="G19" s="1568"/>
      <c r="H19" s="1113" t="s">
        <v>1004</v>
      </c>
      <c r="I19" s="308" t="s">
        <v>1402</v>
      </c>
      <c r="J19" s="24">
        <f ca="1">IF(K19="按租金收入计税",ROUND(J6*M19/(1+'数据-取费表'!C42),0),ROUND(C29*M19*0.7,0))</f>
        <v>5854</v>
      </c>
      <c r="K19" s="1554" t="s">
        <v>1403</v>
      </c>
      <c r="L19" s="308" t="s">
        <v>1387</v>
      </c>
      <c r="M19" s="328">
        <f>IF(K19="按租金收入计税",'数据-取费表'!B51,'数据-取费表'!B50)</f>
        <v>1.2E-2</v>
      </c>
    </row>
    <row r="20" spans="1:37" s="1581" customFormat="1" ht="18" customHeight="1">
      <c r="A20" s="1113" t="s">
        <v>1007</v>
      </c>
      <c r="B20" s="308" t="s">
        <v>1404</v>
      </c>
      <c r="C20" s="24">
        <f ca="1">ROUND(C19*F20,0)</f>
        <v>27755</v>
      </c>
      <c r="D20" s="329" t="s">
        <v>1405</v>
      </c>
      <c r="E20" s="308" t="s">
        <v>1387</v>
      </c>
      <c r="F20" s="328">
        <f>'数据-取费表'!B37</f>
        <v>0.05</v>
      </c>
      <c r="G20" s="1580"/>
      <c r="H20" s="1113" t="s">
        <v>1354</v>
      </c>
      <c r="I20" s="160" t="s">
        <v>1406</v>
      </c>
      <c r="J20" s="25">
        <f ca="1">ROUND(M20*M21,0)</f>
        <v>12982</v>
      </c>
      <c r="K20" s="330" t="s">
        <v>1407</v>
      </c>
      <c r="L20" s="308" t="s">
        <v>1408</v>
      </c>
      <c r="M20" s="331">
        <f>'数据-取费表'!B52</f>
        <v>9</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3" t="s">
        <v>1043</v>
      </c>
      <c r="B21" s="308" t="s">
        <v>1409</v>
      </c>
      <c r="C21" s="24" t="s">
        <v>1</v>
      </c>
      <c r="D21" s="329" t="s">
        <v>1410</v>
      </c>
      <c r="E21" s="308" t="s">
        <v>1411</v>
      </c>
      <c r="F21" s="328">
        <f>'数据-取费表'!B38</f>
        <v>0.05</v>
      </c>
      <c r="G21" s="1580"/>
      <c r="H21" s="332"/>
      <c r="I21" s="317"/>
      <c r="J21" s="29"/>
      <c r="K21" s="333"/>
      <c r="L21" s="308" t="s">
        <v>1412</v>
      </c>
      <c r="M21" s="309">
        <f ca="1">INDIRECT("'数据-取费表'!r"&amp;$G$1)</f>
        <v>1442.46</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3" t="s">
        <v>1357</v>
      </c>
      <c r="B22" s="308" t="s">
        <v>1413</v>
      </c>
      <c r="C22" s="24"/>
      <c r="D22" s="136" t="str">
        <f>IF(F23&lt;=1,"单利计息。","复利计息。")&amp;"建造成本、管理费用、销售费用产生的利息。"</f>
        <v>单利计息。建造成本、管理费用、销售费用产生的利息。</v>
      </c>
      <c r="E22" s="1544"/>
      <c r="F22" s="26"/>
      <c r="G22" s="1568"/>
      <c r="H22" s="1113" t="s">
        <v>1007</v>
      </c>
      <c r="I22" s="308" t="s">
        <v>1414</v>
      </c>
      <c r="J22" s="24">
        <f ca="1">ROUND(J14*M22,0)</f>
        <v>10454</v>
      </c>
      <c r="K22" s="1528" t="s">
        <v>1415</v>
      </c>
      <c r="L22" s="308" t="s">
        <v>1387</v>
      </c>
      <c r="M22" s="334">
        <f ca="1">INDIRECT("'数据-取费表'!Ak"&amp;$G$1)</f>
        <v>1.4999999999999999E-2</v>
      </c>
    </row>
    <row r="23" spans="1:37" s="1581" customFormat="1" ht="18" customHeight="1">
      <c r="A23" s="1113" t="s">
        <v>1002</v>
      </c>
      <c r="B23" s="308" t="s">
        <v>1416</v>
      </c>
      <c r="C23" s="24">
        <f ca="1">IF('数据-取费表'!B22&lt;=1,ROUND(C19*F24*F23/2,0)+ROUND(C20*F24*F23/2,0),ROUND(C19*(POWER((1+F24),F23/2)-1),0)+ROUND(C20*(POWER((1+F24),F23/2)-1),0))</f>
        <v>11114</v>
      </c>
      <c r="D23" s="335" t="str">
        <f>IF(F23&lt;=1,"(建造成本+管理费用)×利率×(建设周期÷2)","(建造成本+管理费用)×((1+利率)^(建设周期÷2)-1)")</f>
        <v>(建造成本+管理费用)×利率×(建设周期÷2)</v>
      </c>
      <c r="E23" s="308" t="s">
        <v>1417</v>
      </c>
      <c r="F23" s="331">
        <f>'数据-取费表'!B20</f>
        <v>1</v>
      </c>
      <c r="G23" s="1580"/>
      <c r="H23" s="1113" t="s">
        <v>1043</v>
      </c>
      <c r="I23" s="308" t="s">
        <v>1418</v>
      </c>
      <c r="J23" s="24">
        <f ca="1">ROUND(J13*M23,0)</f>
        <v>857</v>
      </c>
      <c r="K23" s="1528" t="s">
        <v>1419</v>
      </c>
      <c r="L23" s="308" t="s">
        <v>1420</v>
      </c>
      <c r="M23" s="336">
        <f ca="1">INDIRECT("'数据-取费表'!Al"&amp;$G$1)</f>
        <v>1.5E-3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3" t="s">
        <v>1421</v>
      </c>
      <c r="B24" s="308" t="s">
        <v>1422</v>
      </c>
      <c r="C24" s="24">
        <f ca="1">ROUND(IF('数据-取费表'!B22&lt;=1,F21*F24*F23/2,F21*(POWER((1+F24),F23/2)-1)),4)</f>
        <v>1E-3</v>
      </c>
      <c r="D24" s="335" t="str">
        <f>IF(F23&lt;=1,"销售费用×利率×(建设周期÷2)","销售费用×((1+利率)^(建设周期÷2)-1)")</f>
        <v>销售费用×利率×(建设周期÷2)</v>
      </c>
      <c r="E24" s="308" t="s">
        <v>1423</v>
      </c>
      <c r="F24" s="337">
        <f ca="1">'数据-取费表'!B40</f>
        <v>3.85E-2</v>
      </c>
      <c r="G24" s="1580"/>
      <c r="H24" s="1249" t="s">
        <v>1358</v>
      </c>
      <c r="I24" s="1250" t="s">
        <v>1404</v>
      </c>
      <c r="J24" s="1251">
        <f ca="1">ROUND(J5*M24,0)</f>
        <v>6279</v>
      </c>
      <c r="K24" s="1252" t="s">
        <v>1424</v>
      </c>
      <c r="L24" s="1250" t="s">
        <v>1420</v>
      </c>
      <c r="M24" s="1246">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3" t="s">
        <v>1425</v>
      </c>
      <c r="B25" s="308" t="s">
        <v>1426</v>
      </c>
      <c r="C25" s="24"/>
      <c r="D25" s="136" t="s">
        <v>1427</v>
      </c>
      <c r="E25" s="1544"/>
      <c r="F25" s="26"/>
      <c r="G25" s="1568"/>
      <c r="H25" s="1239" t="s">
        <v>999</v>
      </c>
      <c r="I25" s="1254" t="s">
        <v>1428</v>
      </c>
      <c r="J25" s="316">
        <f ca="1">J5-J16</f>
        <v>558582</v>
      </c>
      <c r="K25" s="1255" t="s">
        <v>1429</v>
      </c>
      <c r="L25" s="1256"/>
      <c r="M25" s="1257"/>
    </row>
    <row r="26" spans="1:37" ht="18" customHeight="1">
      <c r="A26" s="1113" t="s">
        <v>1002</v>
      </c>
      <c r="B26" s="308" t="s">
        <v>1430</v>
      </c>
      <c r="C26" s="24">
        <f ca="1">ROUND((C19+C20)*F26,0)</f>
        <v>29142</v>
      </c>
      <c r="D26" s="329" t="s">
        <v>1431</v>
      </c>
      <c r="E26" s="319" t="s">
        <v>1432</v>
      </c>
      <c r="F26" s="318">
        <f ca="1">INDIRECT("'数据-取费表'!q"&amp;$G$1)</f>
        <v>0.05</v>
      </c>
      <c r="G26" s="1568"/>
      <c r="H26" s="305" t="s">
        <v>1000</v>
      </c>
      <c r="I26" s="306" t="s">
        <v>1433</v>
      </c>
      <c r="J26" s="307">
        <f ca="1">IF(J5&lt;&gt;0,ROUND(J25*(1-((1+M28)/(1+M26))^M27)/(M26-M28),0),0)</f>
        <v>0</v>
      </c>
      <c r="K26" s="330" t="s">
        <v>1434</v>
      </c>
      <c r="L26" s="308" t="s">
        <v>1435</v>
      </c>
      <c r="M26" s="318">
        <f ca="1">INDIRECT("'数据-取费表'!I"&amp;$G$1)</f>
        <v>7.0000000000000007E-2</v>
      </c>
    </row>
    <row r="27" spans="1:37" ht="18" customHeight="1">
      <c r="A27" s="1113" t="s">
        <v>1004</v>
      </c>
      <c r="B27" s="308" t="s">
        <v>1436</v>
      </c>
      <c r="C27" s="24">
        <f ca="1">ROUND(F21*F26,4)</f>
        <v>2.5000000000000001E-3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3" t="s">
        <v>1005</v>
      </c>
      <c r="B28" s="308" t="s">
        <v>1440</v>
      </c>
      <c r="C28" s="24">
        <f>ROUND(F28/(1+'数据-取费表'!C42),4)</f>
        <v>5.2400000000000002E-2</v>
      </c>
      <c r="D28" s="329" t="s">
        <v>1441</v>
      </c>
      <c r="E28" s="308" t="s">
        <v>1387</v>
      </c>
      <c r="F28" s="328">
        <f>'数据-取费表'!B41</f>
        <v>5.5000000000000007E-2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9" t="s">
        <v>1006</v>
      </c>
      <c r="B29" s="1250" t="s">
        <v>1443</v>
      </c>
      <c r="C29" s="1251">
        <f ca="1">ROUND((C19+C20+C23+C26)/(1-F21-C24-C27-C28),0)</f>
        <v>696905</v>
      </c>
      <c r="D29" s="1252"/>
      <c r="E29" s="1250"/>
      <c r="F29" s="1253"/>
      <c r="G29" s="1580"/>
      <c r="H29" s="340" t="s">
        <v>1001</v>
      </c>
      <c r="I29" s="341" t="s">
        <v>1444</v>
      </c>
      <c r="J29" s="342">
        <f ca="1">ROUND(J26/(1+F40)^F41,0)</f>
        <v>0</v>
      </c>
      <c r="K29" s="343" t="s">
        <v>1445</v>
      </c>
      <c r="L29" s="344"/>
      <c r="M29" s="345">
        <f ca="1">INDIRECT("'数据-取费表'!k"&amp;$G$1)</f>
        <v>198.07</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9" t="s">
        <v>998</v>
      </c>
      <c r="B30" s="1240" t="s">
        <v>1389</v>
      </c>
      <c r="C30" s="316">
        <f ca="1">ROUND(C31+C36+C37+C38,0)</f>
        <v>76237</v>
      </c>
      <c r="D30" s="1247" t="s">
        <v>1390</v>
      </c>
      <c r="E30" s="1248"/>
      <c r="F30" s="1204"/>
      <c r="G30" s="1568"/>
      <c r="H30" s="2926"/>
      <c r="I30" s="1582"/>
      <c r="J30" s="1583"/>
      <c r="K30" s="2701"/>
      <c r="L30" s="2927"/>
      <c r="M30" s="2928"/>
    </row>
    <row r="31" spans="1:37" ht="18" customHeight="1">
      <c r="A31" s="1113" t="s">
        <v>1003</v>
      </c>
      <c r="B31" s="308" t="s">
        <v>1394</v>
      </c>
      <c r="C31" s="2534">
        <f ca="1">ROUND(IF(AND(项目基本情况!B11="自然人",项目基本情况!B10="北京市"),C6*F31/(1+'数据-取费表'!C42),C32+C33+C34),0)</f>
        <v>57530</v>
      </c>
      <c r="D31" s="1529" t="s">
        <v>1395</v>
      </c>
      <c r="E31" s="1528" t="s">
        <v>1446</v>
      </c>
      <c r="F31" s="2533" t="str">
        <f>IF(项目基本情况!B11="企业","——",IF('数据-取费表'!B10="住宅",IF(F6*F7*F8/12/(1+'数据-取费表'!F30)&gt;100000,4%,2.5%),IF(F6*F7*F8/12/(1+'数据-取费表'!F30)&gt;100000,12%,7%)))</f>
        <v>——</v>
      </c>
      <c r="G31" s="1568"/>
      <c r="H31" s="3039" t="s">
        <v>3058</v>
      </c>
      <c r="I31" s="1582"/>
      <c r="J31" s="1583"/>
      <c r="K31" s="2701"/>
      <c r="L31" s="2927"/>
      <c r="M31" s="2928"/>
    </row>
    <row r="32" spans="1:37" ht="18" customHeight="1">
      <c r="A32" s="1113" t="s">
        <v>1002</v>
      </c>
      <c r="B32" s="308" t="s">
        <v>1398</v>
      </c>
      <c r="C32" s="24">
        <f ca="1">IF(项目基本情况!B11="自然人","——",ROUND(C6*F32/(1+'数据-取费表'!C42),0))</f>
        <v>38694</v>
      </c>
      <c r="D32" s="1528" t="s">
        <v>1399</v>
      </c>
      <c r="E32" s="308" t="s">
        <v>1387</v>
      </c>
      <c r="F32" s="337">
        <f>'数据-取费表'!B41</f>
        <v>5.5000000000000007E-2</v>
      </c>
      <c r="G32" s="1568"/>
      <c r="H32" s="2926"/>
      <c r="I32" s="1582"/>
      <c r="J32" s="1583"/>
      <c r="K32" s="2701"/>
      <c r="L32" s="2927"/>
      <c r="M32" s="2928"/>
    </row>
    <row r="33" spans="1:18" ht="18" customHeight="1">
      <c r="A33" s="1113" t="s">
        <v>1004</v>
      </c>
      <c r="B33" s="308" t="s">
        <v>1402</v>
      </c>
      <c r="C33" s="24">
        <f ca="1">IF(项目基本情况!B11="自然人","——",IF(D33="按租金收入计税",ROUND(C6*F33/(1+'数据-取费表'!C42),0),IF(D33="按房产原值计税",ROUND(C29*F33*0.7,0),INDIRECT("'数据-取费表'!Aj"&amp;$G$1))))</f>
        <v>5854</v>
      </c>
      <c r="D33" s="1554" t="s">
        <v>1403</v>
      </c>
      <c r="E33" s="308" t="s">
        <v>1387</v>
      </c>
      <c r="F33" s="328">
        <f>IF(D33="按票据","——",IF(D33="按租金收入计税",'数据-取费表'!B51,'数据-取费表'!B50))</f>
        <v>1.2E-2</v>
      </c>
      <c r="G33" s="1568"/>
      <c r="H33" s="2929"/>
      <c r="I33" s="1582"/>
      <c r="J33" s="1583"/>
      <c r="K33" s="2930"/>
      <c r="L33" s="2929"/>
      <c r="M33" s="2929"/>
    </row>
    <row r="34" spans="1:18" ht="18" customHeight="1">
      <c r="A34" s="1201" t="s">
        <v>1354</v>
      </c>
      <c r="B34" s="160" t="s">
        <v>1406</v>
      </c>
      <c r="C34" s="25">
        <f ca="1">IF(项目基本情况!B11="自然人","——",ROUND(F34*F35,))</f>
        <v>12982</v>
      </c>
      <c r="D34" s="330" t="s">
        <v>1407</v>
      </c>
      <c r="E34" s="308" t="s">
        <v>1408</v>
      </c>
      <c r="F34" s="331">
        <f>'数据-取费表'!B52</f>
        <v>9</v>
      </c>
      <c r="G34" s="1568"/>
      <c r="H34" s="2926"/>
      <c r="I34" s="1582"/>
      <c r="J34" s="1583"/>
      <c r="K34" s="2931"/>
      <c r="L34" s="2932"/>
      <c r="M34" s="2932"/>
    </row>
    <row r="35" spans="1:18" ht="18" customHeight="1">
      <c r="A35" s="1263"/>
      <c r="B35" s="1261"/>
      <c r="C35" s="29"/>
      <c r="D35" s="333"/>
      <c r="E35" s="308" t="s">
        <v>1412</v>
      </c>
      <c r="F35" s="309">
        <f ca="1">INDIRECT("'数据-取费表'!r"&amp;$G$1)</f>
        <v>1442.46</v>
      </c>
      <c r="G35" s="1568"/>
      <c r="H35" s="2926"/>
      <c r="I35" s="1582"/>
      <c r="J35" s="1583"/>
      <c r="K35" s="2930"/>
      <c r="L35" s="2929"/>
      <c r="M35" s="2929"/>
    </row>
    <row r="36" spans="1:18" ht="18" customHeight="1">
      <c r="A36" s="1262" t="s">
        <v>1007</v>
      </c>
      <c r="B36" s="308" t="s">
        <v>1414</v>
      </c>
      <c r="C36" s="24">
        <f ca="1">ROUND(C29*F36,0)</f>
        <v>10454</v>
      </c>
      <c r="D36" s="1528" t="s">
        <v>1447</v>
      </c>
      <c r="E36" s="308" t="s">
        <v>1387</v>
      </c>
      <c r="F36" s="334">
        <f ca="1">INDIRECT("'数据-取费表'!Ak"&amp;$G$1)</f>
        <v>1.4999999999999999E-2</v>
      </c>
      <c r="G36" s="1568"/>
      <c r="H36" s="2929"/>
      <c r="I36" s="1582"/>
      <c r="J36" s="1583"/>
      <c r="K36" s="2770"/>
      <c r="L36" s="2929"/>
      <c r="M36" s="2929"/>
    </row>
    <row r="37" spans="1:18" ht="18" customHeight="1">
      <c r="A37" s="1113" t="s">
        <v>1043</v>
      </c>
      <c r="B37" s="308" t="s">
        <v>1418</v>
      </c>
      <c r="C37" s="24">
        <f ca="1">ROUND(C13*F37,0)</f>
        <v>857</v>
      </c>
      <c r="D37" s="1528" t="s">
        <v>1419</v>
      </c>
      <c r="E37" s="308" t="s">
        <v>1420</v>
      </c>
      <c r="F37" s="336">
        <f ca="1">INDIRECT("'数据-取费表'!Al"&amp;$G$1)</f>
        <v>1.5E-3</v>
      </c>
      <c r="G37" s="1568"/>
      <c r="H37" s="2929"/>
      <c r="I37" s="1582"/>
      <c r="J37" s="1583"/>
      <c r="K37" s="2770"/>
      <c r="L37" s="2929"/>
      <c r="M37" s="2929"/>
    </row>
    <row r="38" spans="1:18" ht="18" customHeight="1" thickBot="1">
      <c r="A38" s="1249" t="s">
        <v>1358</v>
      </c>
      <c r="B38" s="1250" t="s">
        <v>1404</v>
      </c>
      <c r="C38" s="1251">
        <f ca="1">ROUND(C5*F38,1)</f>
        <v>7396.3</v>
      </c>
      <c r="D38" s="1252" t="s">
        <v>1424</v>
      </c>
      <c r="E38" s="1250" t="s">
        <v>1420</v>
      </c>
      <c r="F38" s="1246">
        <f ca="1">INDIRECT("'数据-取费表'!Am"&amp;$G$1)</f>
        <v>0.01</v>
      </c>
      <c r="G38" s="1568"/>
      <c r="H38" s="2929"/>
      <c r="I38" s="1582"/>
      <c r="J38" s="1583"/>
      <c r="K38" s="2933"/>
      <c r="L38" s="2929"/>
      <c r="M38" s="2929"/>
    </row>
    <row r="39" spans="1:18" ht="24.6" customHeight="1" thickTop="1">
      <c r="A39" s="1239" t="s">
        <v>999</v>
      </c>
      <c r="B39" s="1254" t="s">
        <v>1448</v>
      </c>
      <c r="C39" s="316">
        <f ca="1">C5-C30</f>
        <v>663390</v>
      </c>
      <c r="D39" s="1255" t="s">
        <v>1449</v>
      </c>
      <c r="E39" s="1256"/>
      <c r="F39" s="1257"/>
      <c r="G39" s="1568"/>
      <c r="H39" s="2929"/>
      <c r="I39" s="1582"/>
      <c r="J39" s="1583"/>
      <c r="K39" s="2933"/>
      <c r="L39" s="2929"/>
      <c r="M39" s="2929"/>
    </row>
    <row r="40" spans="1:18" ht="18" customHeight="1">
      <c r="A40" s="305" t="s">
        <v>1000</v>
      </c>
      <c r="B40" s="306" t="s">
        <v>1450</v>
      </c>
      <c r="C40" s="307">
        <f ca="1">ROUND(C39*(1-((1+F42)/(1+F40))^F41)/(F40-F42),0)</f>
        <v>8844122</v>
      </c>
      <c r="D40" s="330" t="s">
        <v>1434</v>
      </c>
      <c r="E40" s="308" t="s">
        <v>1435</v>
      </c>
      <c r="F40" s="318">
        <f ca="1">INDIRECT("'数据-取费表'!I"&amp;$G$1)</f>
        <v>7.0000000000000007E-2</v>
      </c>
      <c r="G40" s="1568"/>
      <c r="H40" s="1645"/>
      <c r="I40" s="1582"/>
      <c r="J40" s="1583"/>
      <c r="K40" s="2933"/>
      <c r="L40" s="1645"/>
      <c r="M40" s="1645"/>
    </row>
    <row r="41" spans="1:18" ht="18" customHeight="1">
      <c r="A41" s="310"/>
      <c r="B41" s="311"/>
      <c r="C41" s="312"/>
      <c r="D41" s="338" t="s">
        <v>1451</v>
      </c>
      <c r="E41" s="308" t="s">
        <v>1439</v>
      </c>
      <c r="F41" s="339">
        <f ca="1">IF(INDIRECT("'数据-取费表'!af"&amp;$G$1)=0,INDIRECT("'数据-取费表'!ae"&amp;$G$1),INDIRECT("'数据-取费表'!af"&amp;$G$1))</f>
        <v>40</v>
      </c>
      <c r="G41" s="1568"/>
      <c r="H41" s="1353"/>
      <c r="I41" s="1582"/>
      <c r="J41" s="1583"/>
      <c r="K41" s="2770"/>
      <c r="L41" s="1353"/>
      <c r="M41" s="1353"/>
    </row>
    <row r="42" spans="1:18" ht="18" customHeight="1">
      <c r="A42" s="314"/>
      <c r="B42" s="315"/>
      <c r="C42" s="316"/>
      <c r="D42" s="333"/>
      <c r="E42" s="308" t="s">
        <v>1442</v>
      </c>
      <c r="F42" s="318">
        <f ca="1">INDIRECT("'数据-取费表'!v"&amp;$G$1)</f>
        <v>0</v>
      </c>
      <c r="G42" s="1568"/>
      <c r="H42" s="1353"/>
      <c r="I42" s="1582"/>
      <c r="J42" s="1583"/>
      <c r="K42" s="2770"/>
      <c r="L42" s="1353"/>
      <c r="M42" s="1353"/>
    </row>
    <row r="43" spans="1:18" ht="18" customHeight="1" thickBot="1">
      <c r="A43" s="340" t="s">
        <v>1001</v>
      </c>
      <c r="B43" s="341" t="s">
        <v>1452</v>
      </c>
      <c r="C43" s="342">
        <f ca="1">ROUND(C40/F43,0)</f>
        <v>44651</v>
      </c>
      <c r="D43" s="343" t="s">
        <v>1453</v>
      </c>
      <c r="E43" s="344" t="s">
        <v>1454</v>
      </c>
      <c r="F43" s="345">
        <f ca="1">INDIRECT("'数据-取费表'!k"&amp;$G$1)</f>
        <v>198.07</v>
      </c>
      <c r="G43" s="1568"/>
      <c r="H43" s="1353"/>
      <c r="I43" s="1353"/>
      <c r="J43" s="1353"/>
      <c r="K43" s="2770"/>
      <c r="L43" s="1353"/>
      <c r="M43" s="1353"/>
    </row>
    <row r="44" spans="1:18" s="1568" customFormat="1" ht="18" customHeight="1">
      <c r="A44" s="1584"/>
      <c r="B44" s="1584"/>
      <c r="C44" s="1585"/>
      <c r="D44" s="1584"/>
      <c r="E44" s="1584"/>
      <c r="F44" s="1584"/>
      <c r="K44" s="1586"/>
    </row>
    <row r="45" spans="1:18" s="1568" customFormat="1" ht="18" customHeight="1" thickBot="1">
      <c r="A45" s="1584"/>
      <c r="B45" s="1584"/>
      <c r="C45" s="1656">
        <f ca="1">C68-C40</f>
        <v>-9246033</v>
      </c>
      <c r="D45" s="1657" t="s">
        <v>1569</v>
      </c>
      <c r="E45" s="1584"/>
      <c r="F45" s="1584"/>
      <c r="O45" s="1587" t="s">
        <v>1484</v>
      </c>
      <c r="P45" s="1645"/>
      <c r="Q45" s="1645"/>
      <c r="R45" s="1645"/>
    </row>
    <row r="46" spans="1:18" s="1568" customFormat="1" ht="13.5" thickBot="1">
      <c r="A46" s="1588" t="s">
        <v>1485</v>
      </c>
      <c r="C46" s="1589">
        <f ca="1">ROUND(C45/10000,0)</f>
        <v>-925</v>
      </c>
      <c r="D46" s="1590" t="str">
        <f>C2</f>
        <v>万元</v>
      </c>
      <c r="I46" s="1591" t="s">
        <v>1486</v>
      </c>
      <c r="J46" s="1592"/>
      <c r="K46" s="1593"/>
      <c r="L46" s="1594" t="str">
        <f ca="1">IF(M47="住宅",0,IF(L48&gt;J51,L60,J60))</f>
        <v>0</v>
      </c>
      <c r="O46" s="1595" t="s">
        <v>1487</v>
      </c>
      <c r="P46" s="1596" t="s">
        <v>1488</v>
      </c>
      <c r="Q46" s="1597" t="s">
        <v>1489</v>
      </c>
      <c r="R46" s="1597" t="s">
        <v>1490</v>
      </c>
    </row>
    <row r="47" spans="1:18" s="1568" customFormat="1" ht="13.5" thickBot="1">
      <c r="A47" s="1077" t="s">
        <v>1361</v>
      </c>
      <c r="B47" s="1109" t="s">
        <v>1362</v>
      </c>
      <c r="C47" s="1109" t="s">
        <v>1363</v>
      </c>
      <c r="D47" s="1109" t="s">
        <v>1364</v>
      </c>
      <c r="E47" s="1189" t="s">
        <v>1365</v>
      </c>
      <c r="F47" s="1190"/>
      <c r="G47" s="731"/>
      <c r="I47" s="1598" t="s">
        <v>1491</v>
      </c>
      <c r="J47" s="1599" t="s">
        <v>3079</v>
      </c>
      <c r="K47" s="1600" t="s">
        <v>1492</v>
      </c>
      <c r="L47" s="1601">
        <f ca="1">INDIRECT("'数据-取费表'!d"&amp;$G$1)</f>
        <v>40</v>
      </c>
      <c r="M47" s="1564" t="str">
        <f>IF(ISNUMBER(FIND("住宅",C1)),"住宅","非住宅")</f>
        <v>非住宅</v>
      </c>
      <c r="O47" s="1602" t="s">
        <v>1008</v>
      </c>
      <c r="P47" s="1603" t="s">
        <v>1493</v>
      </c>
      <c r="Q47" s="1604">
        <f ca="1">C40+J29</f>
        <v>8844122</v>
      </c>
      <c r="R47" s="1604" t="s">
        <v>1494</v>
      </c>
    </row>
    <row r="48" spans="1:18" s="1568" customFormat="1" ht="28.5" thickBot="1">
      <c r="A48" s="1270" t="s">
        <v>1103</v>
      </c>
      <c r="B48" s="306" t="s">
        <v>1366</v>
      </c>
      <c r="C48" s="1543">
        <f ca="1">C49+C53+C55</f>
        <v>0</v>
      </c>
      <c r="D48" s="1272"/>
      <c r="E48" s="1273"/>
      <c r="F48" s="1093"/>
      <c r="G48" s="731"/>
      <c r="H48" s="732"/>
      <c r="I48" s="1605" t="s">
        <v>1495</v>
      </c>
      <c r="J48" s="1606" t="s">
        <v>3080</v>
      </c>
      <c r="K48" s="1607" t="s">
        <v>1496</v>
      </c>
      <c r="L48" s="1608">
        <f ca="1">INDIRECT("'数据-取费表'!f"&amp;$G$1)</f>
        <v>40</v>
      </c>
      <c r="O48" s="1602" t="s">
        <v>1009</v>
      </c>
      <c r="P48" s="1603" t="s">
        <v>1497</v>
      </c>
      <c r="Q48" s="1604" t="str">
        <f ca="1">J60</f>
        <v>0</v>
      </c>
      <c r="R48" s="1604" t="s">
        <v>1498</v>
      </c>
    </row>
    <row r="49" spans="1:18" s="1568" customFormat="1" ht="13.5" thickBot="1">
      <c r="A49" s="1106" t="s">
        <v>1104</v>
      </c>
      <c r="B49" s="1555" t="s">
        <v>1455</v>
      </c>
      <c r="C49" s="1274">
        <f ca="1">ROUND(F49*F51*F50*(1-F52),0)</f>
        <v>0</v>
      </c>
      <c r="D49" s="1186" t="s">
        <v>1369</v>
      </c>
      <c r="E49" s="1556" t="s">
        <v>1456</v>
      </c>
      <c r="F49" s="1191"/>
      <c r="G49" s="1609"/>
      <c r="H49" s="732"/>
      <c r="I49" s="1605" t="s">
        <v>1499</v>
      </c>
      <c r="J49" s="1610"/>
      <c r="K49" s="1607" t="s">
        <v>1500</v>
      </c>
      <c r="L49" s="1611"/>
      <c r="O49" s="1612" t="s">
        <v>1010</v>
      </c>
      <c r="P49" s="1603" t="s">
        <v>1501</v>
      </c>
      <c r="Q49" s="1604">
        <f ca="1">C29</f>
        <v>696905</v>
      </c>
      <c r="R49" s="1604" t="s">
        <v>1494</v>
      </c>
    </row>
    <row r="50" spans="1:18" s="1568" customFormat="1" ht="13.5" thickBot="1">
      <c r="A50" s="1107"/>
      <c r="B50" s="1110"/>
      <c r="C50" s="1111"/>
      <c r="D50" s="1084"/>
      <c r="E50" s="1187" t="s">
        <v>1371</v>
      </c>
      <c r="F50" s="1188">
        <f ca="1">F7</f>
        <v>1</v>
      </c>
      <c r="H50" s="732"/>
      <c r="I50" s="1605" t="s">
        <v>1502</v>
      </c>
      <c r="J50" s="1613">
        <f>SUMPRODUCT((I63:I65=J47)*(J62:L62=J48)*(J63:L65))</f>
        <v>50</v>
      </c>
      <c r="K50" s="1607" t="s">
        <v>1503</v>
      </c>
      <c r="L50" s="1611"/>
      <c r="M50" s="1614"/>
      <c r="O50" s="1612" t="s">
        <v>1011</v>
      </c>
      <c r="P50" s="1603" t="s">
        <v>1504</v>
      </c>
      <c r="Q50" s="1615" t="e">
        <f ca="1">J58</f>
        <v>#VALUE!</v>
      </c>
      <c r="R50" s="1604"/>
    </row>
    <row r="51" spans="1:18" s="1568" customFormat="1" ht="13.5" thickBot="1">
      <c r="A51" s="1108"/>
      <c r="B51" s="1110"/>
      <c r="C51" s="1111"/>
      <c r="D51" s="1084"/>
      <c r="E51" s="1112" t="s">
        <v>1372</v>
      </c>
      <c r="F51" s="309">
        <f ca="1">F8</f>
        <v>1</v>
      </c>
      <c r="I51" s="1616" t="s">
        <v>1505</v>
      </c>
      <c r="J51" s="1617">
        <f>IF(J49="",J50,J49+J50-YEAR('数据-取费表'!B2))</f>
        <v>50</v>
      </c>
      <c r="K51" s="1618" t="s">
        <v>1506</v>
      </c>
      <c r="L51" s="1619">
        <f ca="1">ROUND(-PV(INDIRECT("'数据-取费表'!h"&amp;$G$1),J51,(C39-C13*C76),0),0)</f>
        <v>9094939</v>
      </c>
      <c r="M51" s="1620"/>
      <c r="O51" s="1612" t="s">
        <v>1012</v>
      </c>
      <c r="P51" s="1603" t="s">
        <v>1507</v>
      </c>
      <c r="Q51" s="1615">
        <f>J52</f>
        <v>0</v>
      </c>
      <c r="R51" s="1604"/>
    </row>
    <row r="52" spans="1:18" s="1568" customFormat="1" ht="13.5" thickBot="1">
      <c r="A52" s="1108"/>
      <c r="B52" s="1110"/>
      <c r="C52" s="1111"/>
      <c r="D52" s="1084"/>
      <c r="E52" s="1112" t="s">
        <v>1373</v>
      </c>
      <c r="F52" s="1185"/>
      <c r="I52" s="1621" t="s">
        <v>1508</v>
      </c>
      <c r="J52" s="1622"/>
      <c r="K52" s="1621" t="s">
        <v>1509</v>
      </c>
      <c r="L52" s="1622"/>
      <c r="O52" s="1612" t="s">
        <v>1013</v>
      </c>
      <c r="P52" s="1603" t="s">
        <v>1510</v>
      </c>
      <c r="Q52" s="1604">
        <f ca="1">J53</f>
        <v>40</v>
      </c>
      <c r="R52" s="1604" t="s">
        <v>1511</v>
      </c>
    </row>
    <row r="53" spans="1:18" s="1568" customFormat="1" ht="30.75" customHeight="1" thickBot="1">
      <c r="A53" s="1271" t="s">
        <v>1105</v>
      </c>
      <c r="B53" s="329" t="s">
        <v>1374</v>
      </c>
      <c r="C53" s="322">
        <f ca="1">ROUND(IF(F53="押一",C49/12*F11,IF(F53="押二",C49/12*2*F11,IF(F53="押三",C49/12*3*F11,C54*F11))),0)</f>
        <v>0</v>
      </c>
      <c r="D53" s="1550" t="s">
        <v>2861</v>
      </c>
      <c r="E53" s="319" t="s">
        <v>1375</v>
      </c>
      <c r="F53" s="1276"/>
      <c r="I53" s="1623" t="s">
        <v>1512</v>
      </c>
      <c r="J53" s="2386">
        <f ca="1">IF(M47="住宅",IF(D1="——",MAX(J51,L48),MAX(J51,L48-'数据-取费表'!B24)),IF(D1="——",MIN(J51,L48),MIN(J51,L48-'数据-取费表'!B24)))</f>
        <v>40</v>
      </c>
      <c r="K53" s="3879" t="s">
        <v>1513</v>
      </c>
      <c r="L53" s="3880"/>
      <c r="O53" s="1602" t="s">
        <v>1014</v>
      </c>
      <c r="P53" s="1603" t="s">
        <v>1514</v>
      </c>
      <c r="Q53" s="1604">
        <f ca="1">Q47+Q48</f>
        <v>8844122</v>
      </c>
      <c r="R53" s="1604" t="s">
        <v>1015</v>
      </c>
    </row>
    <row r="54" spans="1:18" s="1568" customFormat="1" ht="13.5" thickBot="1">
      <c r="A54" s="1106"/>
      <c r="B54" s="1658" t="s">
        <v>1568</v>
      </c>
      <c r="C54" s="1090"/>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3" t="s">
        <v>1043</v>
      </c>
      <c r="B55" s="1553" t="s">
        <v>1378</v>
      </c>
      <c r="C55" s="1244"/>
      <c r="D55" s="1550"/>
      <c r="E55" s="1558"/>
      <c r="F55" s="1624"/>
      <c r="I55" s="1627" t="s">
        <v>1516</v>
      </c>
      <c r="J55" s="1628" t="e">
        <f ca="1">ROUND(IF(J47="钢混",J57/J50,1-(1-2%)*(J50-J57)/J50),3)</f>
        <v>#VALUE!</v>
      </c>
      <c r="K55" s="1629" t="s">
        <v>1517</v>
      </c>
      <c r="L55" s="1630"/>
      <c r="O55" s="1595" t="s">
        <v>1487</v>
      </c>
      <c r="P55" s="1596" t="s">
        <v>1488</v>
      </c>
      <c r="Q55" s="1597" t="s">
        <v>1489</v>
      </c>
      <c r="R55" s="1597" t="s">
        <v>1490</v>
      </c>
    </row>
    <row r="56" spans="1:18" s="1568" customFormat="1" ht="36" customHeight="1" thickTop="1" thickBot="1">
      <c r="A56" s="1088">
        <v>2</v>
      </c>
      <c r="B56" s="1089" t="s">
        <v>1379</v>
      </c>
      <c r="C56" s="238">
        <f ca="1">C13</f>
        <v>571462</v>
      </c>
      <c r="D56" s="1631"/>
      <c r="E56" s="1632"/>
      <c r="F56" s="1624"/>
      <c r="I56" s="1633" t="s">
        <v>1519</v>
      </c>
      <c r="J56" s="1634" t="s">
        <v>3073</v>
      </c>
      <c r="K56" s="1605" t="s">
        <v>1520</v>
      </c>
      <c r="L56" s="1608" t="str">
        <f ca="1">IF(L48&lt;J51,"——",L48-J51)</f>
        <v>——</v>
      </c>
      <c r="O56" s="1602" t="s">
        <v>1008</v>
      </c>
      <c r="P56" s="1603" t="s">
        <v>1493</v>
      </c>
      <c r="Q56" s="1604">
        <f ca="1">C40+J29</f>
        <v>8844122</v>
      </c>
      <c r="R56" s="1604" t="s">
        <v>1494</v>
      </c>
    </row>
    <row r="57" spans="1:18" s="1568" customFormat="1" ht="24.75" thickBot="1">
      <c r="A57" s="1635"/>
      <c r="B57" s="1081" t="s">
        <v>1443</v>
      </c>
      <c r="C57" s="244">
        <f ca="1">C29</f>
        <v>696905</v>
      </c>
      <c r="D57" s="1636"/>
      <c r="E57" s="1637"/>
      <c r="F57" s="1638"/>
      <c r="I57" s="1639" t="s">
        <v>1521</v>
      </c>
      <c r="J57" s="1640" t="str">
        <f ca="1">IF(OR(M47="住宅",J51&lt;L48,J56="是"),"——",J51-L48)</f>
        <v>——</v>
      </c>
      <c r="K57" s="1605" t="s">
        <v>1570</v>
      </c>
      <c r="L57" s="1608" t="str">
        <f ca="1">IF(L48&lt;J51,"——",IF(L55="比较法",L49,IF(L55="基准地价",L50,L51)))</f>
        <v>——</v>
      </c>
      <c r="O57" s="1602" t="s">
        <v>1009</v>
      </c>
      <c r="P57" s="1603" t="s">
        <v>1571</v>
      </c>
      <c r="Q57" s="1604">
        <f ca="1">L60</f>
        <v>0</v>
      </c>
      <c r="R57" s="1604" t="s">
        <v>1572</v>
      </c>
    </row>
    <row r="58" spans="1:18" s="1568" customFormat="1" ht="24.75" thickBot="1">
      <c r="A58" s="321" t="s">
        <v>998</v>
      </c>
      <c r="B58" s="1089" t="s">
        <v>1389</v>
      </c>
      <c r="C58" s="322">
        <f ca="1">ROUND(C59+C64+C65+C66,0)</f>
        <v>30147</v>
      </c>
      <c r="D58" s="1091" t="s">
        <v>1390</v>
      </c>
      <c r="E58" s="1092"/>
      <c r="F58" s="1093"/>
      <c r="I58" s="1639" t="s">
        <v>1525</v>
      </c>
      <c r="J58" s="1641" t="e">
        <f ca="1">IF(J55&lt;0.4,0.4,J55)</f>
        <v>#VALUE!</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3" t="s">
        <v>1003</v>
      </c>
      <c r="B59" s="1081" t="s">
        <v>1394</v>
      </c>
      <c r="C59" s="2534">
        <f ca="1">ROUND(IF(AND(项目基本情况!B11="自然人",项目基本情况!B10="北京市"),C49*F59/(1+'数据-取费表'!C42),C60+C61+C62),0)</f>
        <v>18836</v>
      </c>
      <c r="D59" s="1094" t="s">
        <v>1395</v>
      </c>
      <c r="E59" s="1095"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3" t="s">
        <v>1002</v>
      </c>
      <c r="B60" s="1081" t="s">
        <v>1398</v>
      </c>
      <c r="C60" s="24">
        <f ca="1">IF(项目基本情况!B11="自然人","——",ROUND(C48*F60/(1+'数据-取费表'!C42),0))</f>
        <v>0</v>
      </c>
      <c r="D60" s="1095" t="s">
        <v>1399</v>
      </c>
      <c r="E60" s="1081" t="s">
        <v>1387</v>
      </c>
      <c r="F60" s="337">
        <f t="shared" ref="F60:F66" si="0">F32</f>
        <v>5.5000000000000007E-2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3" t="s">
        <v>1457</v>
      </c>
      <c r="B61" s="1081" t="s">
        <v>1458</v>
      </c>
      <c r="C61" s="24">
        <f ca="1">IF(项目基本情况!B11="自然人","——",IF(D61="按租金收入计税",ROUND(C49*F61/(1+'数据-取费表'!C42),0),IF(D61="按房产原值计税",ROUND(C57*F61*0.7,0),INDIRECT("'数据-取费表'!Aj"&amp;$G$1))))</f>
        <v>5854</v>
      </c>
      <c r="D61" s="1554" t="s">
        <v>1403</v>
      </c>
      <c r="E61" s="1081"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3" t="s">
        <v>1460</v>
      </c>
      <c r="B62" s="1080" t="s">
        <v>1461</v>
      </c>
      <c r="C62" s="25">
        <f ca="1">IF(项目基本情况!B11="自然人","——",ROUND(F62*F63,0))</f>
        <v>12982</v>
      </c>
      <c r="D62" s="1096" t="s">
        <v>1462</v>
      </c>
      <c r="E62" s="1081" t="s">
        <v>1463</v>
      </c>
      <c r="F62" s="331">
        <f t="shared" si="0"/>
        <v>9</v>
      </c>
      <c r="I62" s="1646" t="s">
        <v>1535</v>
      </c>
      <c r="J62" s="1647" t="s">
        <v>1536</v>
      </c>
      <c r="K62" s="1647" t="s">
        <v>1537</v>
      </c>
      <c r="L62" s="1647" t="s">
        <v>1538</v>
      </c>
      <c r="M62" s="1648" t="s">
        <v>1539</v>
      </c>
      <c r="O62" s="1602" t="s">
        <v>1014</v>
      </c>
      <c r="P62" s="1603" t="s">
        <v>1540</v>
      </c>
      <c r="Q62" s="1604">
        <f ca="1">Q56+Q57</f>
        <v>8844122</v>
      </c>
      <c r="R62" s="1604" t="s">
        <v>1015</v>
      </c>
    </row>
    <row r="63" spans="1:18" s="1568" customFormat="1" ht="13.5" thickBot="1">
      <c r="A63" s="332"/>
      <c r="B63" s="1087"/>
      <c r="C63" s="29"/>
      <c r="D63" s="1097"/>
      <c r="E63" s="1081" t="s">
        <v>1464</v>
      </c>
      <c r="F63" s="309">
        <f t="shared" ca="1" si="0"/>
        <v>1442.46</v>
      </c>
      <c r="I63" s="1646" t="s">
        <v>1541</v>
      </c>
      <c r="J63" s="1647">
        <v>70</v>
      </c>
      <c r="K63" s="1647">
        <v>50</v>
      </c>
      <c r="L63" s="1647">
        <v>80</v>
      </c>
      <c r="M63" s="1649">
        <v>0.02</v>
      </c>
      <c r="O63" s="1587" t="s">
        <v>1542</v>
      </c>
      <c r="P63" s="1565"/>
      <c r="Q63" s="1565"/>
      <c r="R63" s="1565"/>
    </row>
    <row r="64" spans="1:18" s="1568" customFormat="1" ht="13.5" thickBot="1">
      <c r="A64" s="1113" t="s">
        <v>1465</v>
      </c>
      <c r="B64" s="1081" t="s">
        <v>1466</v>
      </c>
      <c r="C64" s="24">
        <f ca="1">ROUND(C57*F64,0)</f>
        <v>10454</v>
      </c>
      <c r="D64" s="1095" t="s">
        <v>1467</v>
      </c>
      <c r="E64" s="1081"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3" t="s">
        <v>1468</v>
      </c>
      <c r="B65" s="1081" t="s">
        <v>1418</v>
      </c>
      <c r="C65" s="24">
        <f ca="1">ROUND(C56*F65,0)</f>
        <v>857</v>
      </c>
      <c r="D65" s="1095" t="s">
        <v>1419</v>
      </c>
      <c r="E65" s="1081" t="s">
        <v>1420</v>
      </c>
      <c r="F65" s="336">
        <f t="shared" ca="1" si="0"/>
        <v>1.5E-3</v>
      </c>
      <c r="I65" s="1646" t="s">
        <v>1544</v>
      </c>
      <c r="J65" s="1647">
        <v>40</v>
      </c>
      <c r="K65" s="1647">
        <v>30</v>
      </c>
      <c r="L65" s="1647">
        <v>50</v>
      </c>
      <c r="M65" s="1649">
        <v>0.02</v>
      </c>
      <c r="O65" s="1602" t="s">
        <v>1008</v>
      </c>
      <c r="P65" s="1603" t="s">
        <v>1545</v>
      </c>
      <c r="Q65" s="1604">
        <f ca="1">C40+J29</f>
        <v>8844122</v>
      </c>
      <c r="R65" s="1604" t="s">
        <v>1494</v>
      </c>
    </row>
    <row r="66" spans="1:18" s="1568" customFormat="1" ht="16.5" thickBot="1">
      <c r="A66" s="1113" t="s">
        <v>1469</v>
      </c>
      <c r="B66" s="1081" t="s">
        <v>1404</v>
      </c>
      <c r="C66" s="24">
        <f ca="1">ROUND(C48*F66,0)</f>
        <v>0</v>
      </c>
      <c r="D66" s="1095" t="s">
        <v>1470</v>
      </c>
      <c r="E66" s="1081" t="s">
        <v>1387</v>
      </c>
      <c r="F66" s="318">
        <f t="shared" ca="1" si="0"/>
        <v>0.01</v>
      </c>
      <c r="O66" s="1602" t="s">
        <v>1009</v>
      </c>
      <c r="P66" s="1603" t="s">
        <v>1523</v>
      </c>
      <c r="Q66" s="1604">
        <f ca="1">L60</f>
        <v>0</v>
      </c>
      <c r="R66" s="1604" t="s">
        <v>1546</v>
      </c>
    </row>
    <row r="67" spans="1:18" s="1568" customFormat="1" ht="16.5" thickBot="1">
      <c r="A67" s="1088" t="s">
        <v>999</v>
      </c>
      <c r="B67" s="1098" t="s">
        <v>1428</v>
      </c>
      <c r="C67" s="322">
        <f ca="1">C48-C58</f>
        <v>-30147</v>
      </c>
      <c r="D67" s="1094" t="s">
        <v>1429</v>
      </c>
      <c r="E67" s="1099"/>
      <c r="F67" s="1100"/>
      <c r="O67" s="1612" t="s">
        <v>1010</v>
      </c>
      <c r="P67" s="1603" t="s">
        <v>1527</v>
      </c>
      <c r="Q67" s="1650">
        <f ca="1">L51</f>
        <v>9094939</v>
      </c>
      <c r="R67" s="1604" t="s">
        <v>1547</v>
      </c>
    </row>
    <row r="68" spans="1:18" s="1568" customFormat="1" ht="16.5" thickBot="1">
      <c r="A68" s="1078" t="s">
        <v>1000</v>
      </c>
      <c r="B68" s="1079" t="s">
        <v>1450</v>
      </c>
      <c r="C68" s="307">
        <f ca="1">ROUND(C67*(1-((1+F70)/(1+F68))^F69)/(F68-F70),0)</f>
        <v>-401911</v>
      </c>
      <c r="D68" s="1096" t="s">
        <v>1434</v>
      </c>
      <c r="E68" s="1081" t="s">
        <v>1435</v>
      </c>
      <c r="F68" s="318">
        <f ca="1">F40</f>
        <v>7.0000000000000007E-2</v>
      </c>
      <c r="O68" s="1612" t="s">
        <v>1011</v>
      </c>
      <c r="P68" s="1651" t="s">
        <v>1548</v>
      </c>
      <c r="Q68" s="1604">
        <f ca="1">ROUND(Q69-Q70*Q71,0)</f>
        <v>617673</v>
      </c>
      <c r="R68" s="1604" t="s">
        <v>1019</v>
      </c>
    </row>
    <row r="69" spans="1:18" s="1568" customFormat="1" ht="13.5" thickBot="1">
      <c r="A69" s="1082"/>
      <c r="B69" s="1083"/>
      <c r="C69" s="312"/>
      <c r="D69" s="1101" t="s">
        <v>1438</v>
      </c>
      <c r="E69" s="1081" t="s">
        <v>1439</v>
      </c>
      <c r="F69" s="339">
        <f ca="1">F41</f>
        <v>40</v>
      </c>
      <c r="O69" s="1612" t="s">
        <v>1016</v>
      </c>
      <c r="P69" s="1651" t="s">
        <v>1549</v>
      </c>
      <c r="Q69" s="1604">
        <f ca="1">C39</f>
        <v>663390</v>
      </c>
      <c r="R69" s="1604" t="s">
        <v>1494</v>
      </c>
    </row>
    <row r="70" spans="1:18" s="1568" customFormat="1" ht="13.5" thickBot="1">
      <c r="A70" s="1085"/>
      <c r="B70" s="1086"/>
      <c r="C70" s="316"/>
      <c r="D70" s="1097"/>
      <c r="E70" s="1081" t="s">
        <v>1442</v>
      </c>
      <c r="F70" s="1185">
        <f ca="1">F42</f>
        <v>0</v>
      </c>
      <c r="O70" s="1612" t="s">
        <v>1017</v>
      </c>
      <c r="P70" s="1651" t="s">
        <v>1550</v>
      </c>
      <c r="Q70" s="1604">
        <f ca="1">C13</f>
        <v>571462</v>
      </c>
      <c r="R70" s="1604" t="s">
        <v>1494</v>
      </c>
    </row>
    <row r="71" spans="1:18" s="1568" customFormat="1" ht="13.5" thickBot="1">
      <c r="A71" s="1102" t="s">
        <v>1001</v>
      </c>
      <c r="B71" s="1103" t="s">
        <v>1452</v>
      </c>
      <c r="C71" s="342">
        <f ca="1">ROUND(C68/F71,0)</f>
        <v>-2029</v>
      </c>
      <c r="D71" s="1104" t="s">
        <v>1453</v>
      </c>
      <c r="E71" s="1105" t="s">
        <v>1454</v>
      </c>
      <c r="F71" s="345">
        <f ca="1">F43</f>
        <v>198.07</v>
      </c>
      <c r="O71" s="1612" t="s">
        <v>1018</v>
      </c>
      <c r="P71" s="1651" t="s">
        <v>1551</v>
      </c>
      <c r="Q71" s="1615">
        <f ca="1">C76</f>
        <v>0.08</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45717</v>
      </c>
      <c r="D75" s="1568"/>
      <c r="E75" s="1568"/>
      <c r="F75" s="1568"/>
      <c r="K75" s="1586"/>
      <c r="L75" s="1568"/>
      <c r="O75" s="1602" t="s">
        <v>1014</v>
      </c>
      <c r="P75" s="1603" t="s">
        <v>1514</v>
      </c>
      <c r="Q75" s="1604">
        <f ca="1">Q65+Q66</f>
        <v>8844122</v>
      </c>
      <c r="R75" s="1604" t="s">
        <v>1015</v>
      </c>
    </row>
    <row r="76" spans="1:18">
      <c r="B76" s="348" t="s">
        <v>1472</v>
      </c>
      <c r="C76" s="349">
        <f ca="1">INDIRECT("'数据-取费表'!j"&amp;$G$1)</f>
        <v>0.08</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0.93100000000000005</v>
      </c>
    </row>
    <row r="80" spans="1:18">
      <c r="B80" s="346" t="s">
        <v>1476</v>
      </c>
      <c r="C80" s="280">
        <f ca="1">ROUND(C75/C39,3)</f>
        <v>6.9000000000000006E-2</v>
      </c>
    </row>
    <row r="81" spans="2:3">
      <c r="B81" s="276" t="s">
        <v>1477</v>
      </c>
      <c r="C81" s="244"/>
    </row>
    <row r="82" spans="2:3">
      <c r="B82" s="279" t="s">
        <v>1478</v>
      </c>
      <c r="C82" s="281">
        <f ca="1">1-C83</f>
        <v>0.93500000000000005</v>
      </c>
    </row>
    <row r="83" spans="2:3">
      <c r="B83" s="279" t="s">
        <v>1479</v>
      </c>
      <c r="C83" s="280">
        <f ca="1">ROUND(C13/C40,3)</f>
        <v>6.5000000000000002E-2</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78" priority="4">
      <formula>$L$48&gt;$J$51</formula>
    </cfRule>
  </conditionalFormatting>
  <conditionalFormatting sqref="I55 I60">
    <cfRule type="expression" dxfId="177" priority="5">
      <formula>$J$51&gt;$L$48</formula>
    </cfRule>
  </conditionalFormatting>
  <conditionalFormatting sqref="C11">
    <cfRule type="expression" dxfId="176" priority="3">
      <formula>$F$10="自定义"</formula>
    </cfRule>
  </conditionalFormatting>
  <conditionalFormatting sqref="J11">
    <cfRule type="expression" dxfId="175" priority="2">
      <formula>$M$10="自定义"</formula>
    </cfRule>
  </conditionalFormatting>
  <conditionalFormatting sqref="C54">
    <cfRule type="expression" dxfId="174" priority="1">
      <formula>$F$53="自定义"</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D30" activeCellId="1" sqref="H5 D30"/>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6"/>
      <c r="G1" s="1674"/>
      <c r="H1" s="1674"/>
      <c r="I1" s="1674"/>
      <c r="J1" s="1674"/>
      <c r="K1" s="1674"/>
      <c r="L1" s="1674"/>
      <c r="M1" s="1674"/>
      <c r="N1" s="1674"/>
      <c r="O1" s="1674"/>
      <c r="P1" s="1674"/>
      <c r="Q1" s="1674"/>
      <c r="R1" s="1674"/>
      <c r="S1" s="1674"/>
    </row>
    <row r="2" spans="1:22" ht="15.75">
      <c r="A2" s="2056" t="s">
        <v>2148</v>
      </c>
      <c r="B2" s="2057">
        <f ca="1">SUMIF(B6:B13,"&lt;&gt;#ref!",B6:B13)</f>
        <v>884</v>
      </c>
      <c r="C2" s="2058" t="s">
        <v>2340</v>
      </c>
      <c r="D2" s="2059" t="s">
        <v>2341</v>
      </c>
      <c r="E2" s="2833">
        <f>SUM(E6:E13)</f>
        <v>198.07</v>
      </c>
      <c r="F2" s="2936"/>
      <c r="G2" s="1674"/>
      <c r="H2" s="1674"/>
      <c r="I2" s="1674"/>
      <c r="J2" s="1674"/>
      <c r="K2" s="1674"/>
      <c r="L2" s="1674"/>
      <c r="M2" s="1674"/>
      <c r="N2" s="1674"/>
      <c r="O2" s="1674"/>
      <c r="P2" s="1674"/>
      <c r="Q2" s="1674"/>
      <c r="R2" s="1674"/>
      <c r="S2" s="1674"/>
    </row>
    <row r="3" spans="1:22" ht="15.75">
      <c r="A3" s="2056" t="s">
        <v>1360</v>
      </c>
      <c r="B3" s="2827">
        <f ca="1">ROUND(B2*10000/E2,0)</f>
        <v>44631</v>
      </c>
      <c r="C3" s="2058" t="s">
        <v>2348</v>
      </c>
      <c r="D3" s="2938"/>
      <c r="E3" s="2940"/>
      <c r="F3" s="2936"/>
      <c r="G3" s="1674"/>
      <c r="H3" s="1674"/>
      <c r="I3" s="1674"/>
      <c r="J3" s="1674"/>
      <c r="K3" s="1674"/>
      <c r="L3" s="1674"/>
      <c r="M3" s="1674"/>
      <c r="N3" s="1674"/>
      <c r="O3" s="1674"/>
      <c r="P3" s="1674"/>
      <c r="Q3" s="1674"/>
      <c r="R3" s="1674"/>
      <c r="S3" s="1674"/>
    </row>
    <row r="4" spans="1:22" ht="15.75">
      <c r="A4" s="2941"/>
      <c r="B4" s="2938"/>
      <c r="C4" s="2938"/>
      <c r="D4" s="2938"/>
      <c r="E4" s="2940"/>
      <c r="F4" s="2936"/>
      <c r="G4" s="1674"/>
      <c r="H4" s="1674"/>
      <c r="I4" s="1674"/>
      <c r="J4" s="1674"/>
      <c r="K4" s="1674"/>
      <c r="L4" s="1674"/>
      <c r="M4" s="1674"/>
      <c r="N4" s="1674"/>
      <c r="O4" s="1674"/>
      <c r="P4" s="1674"/>
      <c r="Q4" s="1674"/>
      <c r="R4" s="1674"/>
      <c r="S4" s="1674"/>
    </row>
    <row r="5" spans="1:22" ht="15">
      <c r="A5" s="2829" t="s">
        <v>2342</v>
      </c>
      <c r="B5" s="3884" t="s">
        <v>2343</v>
      </c>
      <c r="C5" s="3885"/>
      <c r="D5" s="2937"/>
      <c r="E5" s="2060" t="s">
        <v>2344</v>
      </c>
      <c r="F5" s="2061" t="s">
        <v>2345</v>
      </c>
      <c r="G5" s="1674"/>
      <c r="H5" s="1674"/>
      <c r="I5" s="1674"/>
      <c r="J5" s="1674"/>
      <c r="K5" s="1674"/>
      <c r="L5" s="1674"/>
      <c r="M5" s="1674"/>
      <c r="N5" s="1674"/>
      <c r="O5" s="1674"/>
      <c r="P5" s="1674"/>
      <c r="Q5" s="1674"/>
      <c r="R5" s="1674"/>
      <c r="S5" s="1674"/>
    </row>
    <row r="6" spans="1:22">
      <c r="A6" s="2830" t="str">
        <f>'数据-取费表'!AN6</f>
        <v>收益法 (元)</v>
      </c>
      <c r="B6" s="2828">
        <f ca="1">IF(F6="是",'数据-取费表'!AO6,0)</f>
        <v>884</v>
      </c>
      <c r="C6" s="2058" t="s">
        <v>2340</v>
      </c>
      <c r="D6" s="2938"/>
      <c r="E6" s="2832">
        <f>IF(OR(A6=0,F6="否"),0,'数据-取费表'!K6+'数据-取费表'!S6)</f>
        <v>198.07</v>
      </c>
      <c r="F6" s="2062" t="s">
        <v>2346</v>
      </c>
      <c r="G6" s="1674"/>
      <c r="H6" s="1674"/>
      <c r="I6" s="1674"/>
      <c r="J6" s="1674"/>
      <c r="K6" s="1674"/>
      <c r="L6" s="1674"/>
      <c r="M6" s="1674"/>
      <c r="N6" s="1674"/>
      <c r="O6" s="1674"/>
      <c r="P6" s="1674"/>
      <c r="Q6" s="1674"/>
      <c r="R6" s="1674"/>
      <c r="S6" s="1674"/>
    </row>
    <row r="7" spans="1:22">
      <c r="A7" s="2830">
        <f>'数据-取费表'!AN7</f>
        <v>0</v>
      </c>
      <c r="B7" s="2828" t="e">
        <f ca="1">IF(F7="是",'数据-取费表'!AO7,0)</f>
        <v>#REF!</v>
      </c>
      <c r="C7" s="2058" t="s">
        <v>2340</v>
      </c>
      <c r="D7" s="2938"/>
      <c r="E7" s="2832">
        <f>IF(OR(A7=0,F7="否"),0,'数据-取费表'!K7+'数据-取费表'!S7)</f>
        <v>0</v>
      </c>
      <c r="F7" s="2062" t="s">
        <v>2346</v>
      </c>
      <c r="G7" s="1674"/>
      <c r="H7" s="1674"/>
      <c r="I7" s="1674"/>
      <c r="J7" s="1674"/>
      <c r="K7" s="1674"/>
      <c r="L7" s="1674"/>
      <c r="M7" s="1674"/>
      <c r="N7" s="1674"/>
      <c r="O7" s="1674"/>
      <c r="P7" s="1674"/>
      <c r="Q7" s="1674"/>
      <c r="R7" s="1674"/>
      <c r="S7" s="1674"/>
    </row>
    <row r="8" spans="1:22">
      <c r="A8" s="2830">
        <f>'数据-取费表'!AN8</f>
        <v>0</v>
      </c>
      <c r="B8" s="2828" t="e">
        <f ca="1">IF(F8="是",'数据-取费表'!AO8,0)</f>
        <v>#REF!</v>
      </c>
      <c r="C8" s="2058" t="s">
        <v>2340</v>
      </c>
      <c r="D8" s="2938"/>
      <c r="E8" s="2832">
        <f>IF(OR(A8=0,F8="否"),0,'数据-取费表'!K8+'数据-取费表'!S8)</f>
        <v>0</v>
      </c>
      <c r="F8" s="2062" t="s">
        <v>2346</v>
      </c>
      <c r="G8" s="1674"/>
      <c r="H8" s="1674"/>
      <c r="I8" s="1674"/>
      <c r="J8" s="1674"/>
      <c r="K8" s="1674"/>
      <c r="L8" s="1674"/>
      <c r="M8" s="1674"/>
      <c r="N8" s="1674"/>
      <c r="O8" s="1674"/>
      <c r="P8" s="1674"/>
      <c r="Q8" s="1674"/>
      <c r="R8" s="1674"/>
      <c r="S8" s="1674"/>
    </row>
    <row r="9" spans="1:22">
      <c r="A9" s="2830">
        <f>'数据-取费表'!AN9</f>
        <v>0</v>
      </c>
      <c r="B9" s="2828" t="e">
        <f ca="1">IF(F9="是",'数据-取费表'!AO9,0)</f>
        <v>#REF!</v>
      </c>
      <c r="C9" s="2058" t="s">
        <v>2340</v>
      </c>
      <c r="D9" s="2938"/>
      <c r="E9" s="2832">
        <f>IF(OR(A9=0,F9="否"),0,'数据-取费表'!K9+'数据-取费表'!S9)</f>
        <v>0</v>
      </c>
      <c r="F9" s="2062" t="s">
        <v>2346</v>
      </c>
      <c r="G9" s="1674"/>
      <c r="H9" s="1674"/>
      <c r="I9" s="1674"/>
      <c r="J9" s="1674"/>
      <c r="K9" s="1674"/>
      <c r="L9" s="1674"/>
      <c r="M9" s="1674"/>
      <c r="N9" s="1674"/>
      <c r="O9" s="1674"/>
      <c r="P9" s="1674"/>
      <c r="Q9" s="1674"/>
      <c r="R9" s="1674"/>
      <c r="S9" s="1674"/>
    </row>
    <row r="10" spans="1:22">
      <c r="A10" s="2830">
        <f>'数据-取费表'!AN10</f>
        <v>0</v>
      </c>
      <c r="B10" s="2828" t="e">
        <f ca="1">IF(F10="是",'数据-取费表'!AO10,0)</f>
        <v>#REF!</v>
      </c>
      <c r="C10" s="2058" t="s">
        <v>2340</v>
      </c>
      <c r="D10" s="2938"/>
      <c r="E10" s="2832">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30">
        <f>'数据-取费表'!AN11</f>
        <v>0</v>
      </c>
      <c r="B11" s="2828" t="e">
        <f ca="1">IF(F11="是",'数据-取费表'!AO11,0)</f>
        <v>#REF!</v>
      </c>
      <c r="C11" s="2058" t="s">
        <v>2340</v>
      </c>
      <c r="D11" s="2938"/>
      <c r="E11" s="2832">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30">
        <f>'数据-取费表'!AN12</f>
        <v>0</v>
      </c>
      <c r="B12" s="2828" t="e">
        <f ca="1">IF(F12="是",'数据-取费表'!AO12,0)</f>
        <v>#REF!</v>
      </c>
      <c r="C12" s="2058" t="s">
        <v>2340</v>
      </c>
      <c r="D12" s="2938"/>
      <c r="E12" s="2832">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31">
        <f>'数据-取费表'!AN13</f>
        <v>0</v>
      </c>
      <c r="B13" s="2828" t="e">
        <f ca="1">IF(F13="是",'数据-取费表'!AO13,0)</f>
        <v>#REF!</v>
      </c>
      <c r="C13" s="2063" t="s">
        <v>2340</v>
      </c>
      <c r="D13" s="2939"/>
      <c r="E13" s="2832">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38"/>
  <sheetViews>
    <sheetView topLeftCell="A7" workbookViewId="0">
      <selection activeCell="D30" activeCellId="1" sqref="H5 D30"/>
    </sheetView>
  </sheetViews>
  <sheetFormatPr defaultColWidth="8.875" defaultRowHeight="13.5"/>
  <cols>
    <col min="1" max="1" width="10.5" customWidth="1"/>
    <col min="2" max="2" width="12.875" customWidth="1"/>
    <col min="3" max="3" width="8.625" customWidth="1"/>
  </cols>
  <sheetData>
    <row r="1" spans="1:9" ht="14.25">
      <c r="A1" s="3902" t="s">
        <v>1044</v>
      </c>
      <c r="B1" s="3903"/>
      <c r="C1" s="3904"/>
      <c r="D1" s="3905">
        <f>SUM(I10,I15,I20,I21,I23)</f>
        <v>0</v>
      </c>
      <c r="E1" s="3905"/>
      <c r="F1" s="3905"/>
      <c r="G1" s="3905"/>
      <c r="H1" s="3905"/>
      <c r="I1" s="3906"/>
    </row>
    <row r="2" spans="1:9">
      <c r="A2" s="3892" t="s">
        <v>1045</v>
      </c>
      <c r="B2" s="3893" t="s">
        <v>1046</v>
      </c>
      <c r="C2" s="3893"/>
      <c r="D2" s="1211" t="s">
        <v>1047</v>
      </c>
      <c r="E2" s="1211" t="s">
        <v>1048</v>
      </c>
      <c r="F2" s="1211" t="s">
        <v>1049</v>
      </c>
      <c r="G2" s="1211" t="s">
        <v>1050</v>
      </c>
      <c r="H2" s="1211" t="s">
        <v>1051</v>
      </c>
      <c r="I2" s="1212" t="s">
        <v>1052</v>
      </c>
    </row>
    <row r="3" spans="1:9">
      <c r="A3" s="3892"/>
      <c r="B3" s="3893" t="s">
        <v>1053</v>
      </c>
      <c r="C3" s="3893"/>
      <c r="D3" s="1213"/>
      <c r="E3" s="1211"/>
      <c r="F3" s="1214"/>
      <c r="G3" s="1214"/>
      <c r="H3" s="1215"/>
      <c r="I3" s="1216">
        <f>ROUND(D3*E3*F3*G3*H3/10000,0)</f>
        <v>0</v>
      </c>
    </row>
    <row r="4" spans="1:9">
      <c r="A4" s="3892"/>
      <c r="B4" s="3893" t="s">
        <v>1054</v>
      </c>
      <c r="C4" s="3893"/>
      <c r="D4" s="1213"/>
      <c r="E4" s="1211"/>
      <c r="F4" s="1214"/>
      <c r="G4" s="1214"/>
      <c r="H4" s="1215"/>
      <c r="I4" s="1216">
        <f t="shared" ref="I4:I9" si="0">ROUND(D4*E4*F4*G4*H4/10000,0)</f>
        <v>0</v>
      </c>
    </row>
    <row r="5" spans="1:9">
      <c r="A5" s="3892"/>
      <c r="B5" s="3893" t="s">
        <v>1055</v>
      </c>
      <c r="C5" s="3893"/>
      <c r="D5" s="1213"/>
      <c r="E5" s="1211"/>
      <c r="F5" s="1214"/>
      <c r="G5" s="1214"/>
      <c r="H5" s="1215"/>
      <c r="I5" s="1216">
        <f t="shared" si="0"/>
        <v>0</v>
      </c>
    </row>
    <row r="6" spans="1:9">
      <c r="A6" s="3892"/>
      <c r="B6" s="3893" t="s">
        <v>1056</v>
      </c>
      <c r="C6" s="3893"/>
      <c r="D6" s="1213"/>
      <c r="E6" s="1211"/>
      <c r="F6" s="1214"/>
      <c r="G6" s="1214"/>
      <c r="H6" s="1215"/>
      <c r="I6" s="1216">
        <f t="shared" si="0"/>
        <v>0</v>
      </c>
    </row>
    <row r="7" spans="1:9">
      <c r="A7" s="3892"/>
      <c r="B7" s="3893" t="s">
        <v>1057</v>
      </c>
      <c r="C7" s="3893"/>
      <c r="D7" s="1213"/>
      <c r="E7" s="1211"/>
      <c r="F7" s="1214"/>
      <c r="G7" s="1214"/>
      <c r="H7" s="1215"/>
      <c r="I7" s="1216">
        <f t="shared" si="0"/>
        <v>0</v>
      </c>
    </row>
    <row r="8" spans="1:9">
      <c r="A8" s="3892"/>
      <c r="B8" s="3893" t="s">
        <v>1058</v>
      </c>
      <c r="C8" s="3893"/>
      <c r="D8" s="1213"/>
      <c r="E8" s="1211"/>
      <c r="F8" s="1214"/>
      <c r="G8" s="1214"/>
      <c r="H8" s="1215"/>
      <c r="I8" s="1216">
        <f t="shared" si="0"/>
        <v>0</v>
      </c>
    </row>
    <row r="9" spans="1:9">
      <c r="A9" s="3892"/>
      <c r="B9" s="3893" t="s">
        <v>1059</v>
      </c>
      <c r="C9" s="3893"/>
      <c r="D9" s="1213"/>
      <c r="E9" s="1211"/>
      <c r="F9" s="1214"/>
      <c r="G9" s="1214"/>
      <c r="H9" s="1215"/>
      <c r="I9" s="1216">
        <f t="shared" si="0"/>
        <v>0</v>
      </c>
    </row>
    <row r="10" spans="1:9">
      <c r="A10" s="3892"/>
      <c r="B10" s="3894" t="s">
        <v>1060</v>
      </c>
      <c r="C10" s="3894"/>
      <c r="D10" s="1217"/>
      <c r="E10" s="1217" t="e">
        <f>ROUND(D1*10000/D10/H9,0)</f>
        <v>#DIV/0!</v>
      </c>
      <c r="F10" s="1218"/>
      <c r="G10" s="1218"/>
      <c r="H10" s="1219"/>
      <c r="I10" s="1220">
        <f>SUM(I3:I9)</f>
        <v>0</v>
      </c>
    </row>
    <row r="11" spans="1:9" ht="14.25">
      <c r="A11" s="3892" t="s">
        <v>1061</v>
      </c>
      <c r="B11" s="3893" t="s">
        <v>1062</v>
      </c>
      <c r="C11" s="3893"/>
      <c r="D11" s="1213" t="s">
        <v>1063</v>
      </c>
      <c r="E11" s="1213" t="s">
        <v>1064</v>
      </c>
      <c r="F11" s="1214" t="s">
        <v>1065</v>
      </c>
      <c r="G11" s="1214" t="s">
        <v>1051</v>
      </c>
      <c r="H11" s="1221" t="s">
        <v>1066</v>
      </c>
      <c r="I11" s="1212" t="s">
        <v>1052</v>
      </c>
    </row>
    <row r="12" spans="1:9">
      <c r="A12" s="3892"/>
      <c r="B12" s="3893" t="s">
        <v>1067</v>
      </c>
      <c r="C12" s="3893"/>
      <c r="D12" s="1213"/>
      <c r="E12" s="1213"/>
      <c r="F12" s="1214"/>
      <c r="G12" s="1215"/>
      <c r="H12" s="1222"/>
      <c r="I12" s="1212">
        <f>ROUND(D12*E12*F12*G12/10000,0)</f>
        <v>0</v>
      </c>
    </row>
    <row r="13" spans="1:9">
      <c r="A13" s="3892"/>
      <c r="B13" s="3893" t="s">
        <v>1068</v>
      </c>
      <c r="C13" s="3893"/>
      <c r="D13" s="1213"/>
      <c r="E13" s="1213"/>
      <c r="F13" s="1214"/>
      <c r="G13" s="1215"/>
      <c r="H13" s="1222"/>
      <c r="I13" s="1212">
        <f>ROUND(D13*E13*F13*G13/10000,0)</f>
        <v>0</v>
      </c>
    </row>
    <row r="14" spans="1:9">
      <c r="A14" s="3892"/>
      <c r="B14" s="3893" t="s">
        <v>1069</v>
      </c>
      <c r="C14" s="3893"/>
      <c r="D14" s="1213"/>
      <c r="E14" s="1213"/>
      <c r="F14" s="1214"/>
      <c r="G14" s="1215"/>
      <c r="H14" s="1222"/>
      <c r="I14" s="1212">
        <f>ROUND(D14*E14*F14*G14/10000,0)</f>
        <v>0</v>
      </c>
    </row>
    <row r="15" spans="1:9">
      <c r="A15" s="3892"/>
      <c r="B15" s="3894" t="s">
        <v>1060</v>
      </c>
      <c r="C15" s="3894"/>
      <c r="D15" s="1217"/>
      <c r="E15" s="1217">
        <f>SUM(E12:E14)</f>
        <v>0</v>
      </c>
      <c r="F15" s="1218"/>
      <c r="G15" s="1215"/>
      <c r="H15" s="1222"/>
      <c r="I15" s="1223">
        <f>SUM(I12:I14)</f>
        <v>0</v>
      </c>
    </row>
    <row r="16" spans="1:9" ht="24">
      <c r="A16" s="3892" t="s">
        <v>1070</v>
      </c>
      <c r="B16" s="3893" t="s">
        <v>1071</v>
      </c>
      <c r="C16" s="3893"/>
      <c r="D16" s="1213" t="s">
        <v>1047</v>
      </c>
      <c r="E16" s="1224" t="s">
        <v>1072</v>
      </c>
      <c r="F16" s="1214" t="s">
        <v>1073</v>
      </c>
      <c r="G16" s="1215" t="s">
        <v>1051</v>
      </c>
      <c r="H16" s="1221" t="s">
        <v>1066</v>
      </c>
      <c r="I16" s="1212" t="s">
        <v>1052</v>
      </c>
    </row>
    <row r="17" spans="1:9" ht="14.25">
      <c r="A17" s="3892"/>
      <c r="B17" s="3893" t="s">
        <v>1074</v>
      </c>
      <c r="C17" s="3893"/>
      <c r="D17" s="1213"/>
      <c r="E17" s="1213"/>
      <c r="F17" s="1214"/>
      <c r="G17" s="1215"/>
      <c r="H17" s="1225"/>
      <c r="I17" s="1226">
        <f>ROUND(D17*E17*F17*G17/10000,0)</f>
        <v>0</v>
      </c>
    </row>
    <row r="18" spans="1:9" ht="14.25">
      <c r="A18" s="3892"/>
      <c r="B18" s="3893" t="s">
        <v>1075</v>
      </c>
      <c r="C18" s="3893"/>
      <c r="D18" s="1213"/>
      <c r="E18" s="1213"/>
      <c r="F18" s="1214"/>
      <c r="G18" s="1215"/>
      <c r="H18" s="1225"/>
      <c r="I18" s="1226">
        <f>ROUND(D18*E18*F18*G18/10000,0)</f>
        <v>0</v>
      </c>
    </row>
    <row r="19" spans="1:9" ht="14.25">
      <c r="A19" s="3892"/>
      <c r="B19" s="3893" t="s">
        <v>1076</v>
      </c>
      <c r="C19" s="3893"/>
      <c r="D19" s="1213"/>
      <c r="E19" s="1213"/>
      <c r="F19" s="1214"/>
      <c r="G19" s="1215"/>
      <c r="H19" s="1225"/>
      <c r="I19" s="1226">
        <f>ROUND(D19*E19*F19*G19/10000,0)</f>
        <v>0</v>
      </c>
    </row>
    <row r="20" spans="1:9">
      <c r="A20" s="3892"/>
      <c r="B20" s="3894" t="s">
        <v>1060</v>
      </c>
      <c r="C20" s="3894"/>
      <c r="D20" s="1217">
        <f>SUM(D17:D19)</f>
        <v>0</v>
      </c>
      <c r="E20" s="1217"/>
      <c r="F20" s="1218"/>
      <c r="G20" s="1215"/>
      <c r="H20" s="1222"/>
      <c r="I20" s="1223">
        <f>SUM(I17:I19)</f>
        <v>0</v>
      </c>
    </row>
    <row r="21" spans="1:9">
      <c r="A21" s="3892" t="s">
        <v>1077</v>
      </c>
      <c r="B21" s="3895"/>
      <c r="C21" s="3895"/>
      <c r="D21" s="3895"/>
      <c r="E21" s="3895"/>
      <c r="F21" s="3895"/>
      <c r="G21" s="3895"/>
      <c r="H21" s="1502">
        <v>0.1</v>
      </c>
      <c r="I21" s="1220">
        <f>ROUND(I10*H21,0)</f>
        <v>0</v>
      </c>
    </row>
    <row r="22" spans="1:9" ht="14.25">
      <c r="A22" s="3896" t="s">
        <v>1078</v>
      </c>
      <c r="B22" s="3897"/>
      <c r="C22" s="3898"/>
      <c r="D22" s="1227" t="s">
        <v>1079</v>
      </c>
      <c r="E22" s="1227" t="s">
        <v>1080</v>
      </c>
      <c r="F22" s="1228" t="s">
        <v>1081</v>
      </c>
      <c r="G22" s="1228" t="s">
        <v>1082</v>
      </c>
      <c r="H22" s="1221" t="s">
        <v>1083</v>
      </c>
      <c r="I22" s="1212" t="s">
        <v>1084</v>
      </c>
    </row>
    <row r="23" spans="1:9" ht="14.25" thickBot="1">
      <c r="A23" s="3899"/>
      <c r="B23" s="3900"/>
      <c r="C23" s="3901"/>
      <c r="D23" s="1229"/>
      <c r="E23" s="1229"/>
      <c r="F23" s="1229"/>
      <c r="G23" s="1230"/>
      <c r="H23" s="1231"/>
      <c r="I23" s="1232">
        <f>ROUND(E23*D23*F23*(1-G23)/10000,0)</f>
        <v>0</v>
      </c>
    </row>
    <row r="26" spans="1:9">
      <c r="A26" s="1233" t="s">
        <v>1085</v>
      </c>
      <c r="B26" s="1233"/>
      <c r="C26" s="1233"/>
      <c r="D26" s="1233"/>
      <c r="E26" s="3889">
        <f>C27-C30-C31-C32</f>
        <v>0</v>
      </c>
      <c r="F26" s="3889"/>
      <c r="G26" s="3889"/>
      <c r="H26" s="1499" t="s">
        <v>1306</v>
      </c>
    </row>
    <row r="27" spans="1:9">
      <c r="A27" s="1234">
        <v>1</v>
      </c>
      <c r="B27" s="1235" t="s">
        <v>1086</v>
      </c>
      <c r="C27" s="1235">
        <f>C28+C29</f>
        <v>0</v>
      </c>
      <c r="D27" s="1235"/>
      <c r="E27" s="3890"/>
      <c r="F27" s="3890"/>
      <c r="G27" s="3890"/>
    </row>
    <row r="28" spans="1:9">
      <c r="A28" s="1236" t="s">
        <v>1087</v>
      </c>
      <c r="B28" s="1235" t="s">
        <v>1088</v>
      </c>
      <c r="C28" s="1235"/>
      <c r="D28" s="1235"/>
      <c r="E28" s="3890"/>
      <c r="F28" s="3890"/>
      <c r="G28" s="3890"/>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891"/>
      <c r="F32" s="3891"/>
      <c r="G32" s="3891"/>
    </row>
    <row r="33" spans="1:7" hidden="1">
      <c r="A33" s="3886" t="s">
        <v>1097</v>
      </c>
      <c r="B33" s="3887"/>
      <c r="C33" s="3887"/>
      <c r="D33" s="3888"/>
      <c r="E33" s="3889"/>
      <c r="F33" s="3889"/>
      <c r="G33" s="3889"/>
    </row>
    <row r="34" spans="1:7" hidden="1">
      <c r="A34" s="1238">
        <v>1</v>
      </c>
      <c r="B34" s="1235" t="s">
        <v>1098</v>
      </c>
      <c r="C34" s="1235"/>
      <c r="D34" s="1235"/>
      <c r="E34" s="3890"/>
      <c r="F34" s="3890"/>
      <c r="G34" s="3890"/>
    </row>
    <row r="35" spans="1:7" hidden="1">
      <c r="A35" s="1238">
        <v>2</v>
      </c>
      <c r="B35" s="1235" t="s">
        <v>1099</v>
      </c>
      <c r="C35" s="1235"/>
      <c r="D35" s="1235"/>
      <c r="E35" s="3890"/>
      <c r="F35" s="3890"/>
      <c r="G35" s="3890"/>
    </row>
    <row r="36" spans="1:7" hidden="1">
      <c r="A36" s="1238">
        <v>3</v>
      </c>
      <c r="B36" s="1235" t="s">
        <v>1100</v>
      </c>
      <c r="C36" s="1235"/>
      <c r="D36" s="1235"/>
      <c r="E36" s="3890"/>
      <c r="F36" s="3890"/>
      <c r="G36" s="3890"/>
    </row>
    <row r="37" spans="1:7" hidden="1">
      <c r="A37" s="1238">
        <v>4</v>
      </c>
      <c r="B37" s="1235" t="s">
        <v>1101</v>
      </c>
      <c r="C37" s="1235"/>
      <c r="D37" s="1235"/>
      <c r="E37" s="3890"/>
      <c r="F37" s="3890"/>
      <c r="G37" s="3890"/>
    </row>
    <row r="38" spans="1:7" hidden="1">
      <c r="A38" s="3886" t="s">
        <v>1102</v>
      </c>
      <c r="B38" s="3887"/>
      <c r="C38" s="3887"/>
      <c r="D38" s="3888"/>
      <c r="E38" s="3889"/>
      <c r="F38" s="3889"/>
      <c r="G38" s="38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view="pageBreakPreview" zoomScale="60" zoomScaleNormal="60" workbookViewId="0">
      <selection activeCell="D30" activeCellId="1" sqref="H5 D30"/>
    </sheetView>
  </sheetViews>
  <sheetFormatPr defaultColWidth="9" defaultRowHeight="14.25"/>
  <cols>
    <col min="1" max="1" width="10.5" style="363" customWidth="1"/>
    <col min="2" max="2" width="15.625" style="363" customWidth="1"/>
    <col min="3" max="3" width="15.12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2102"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2349</v>
      </c>
      <c r="B1" s="2064" t="s">
        <v>2350</v>
      </c>
      <c r="C1" s="1406" t="s">
        <v>2351</v>
      </c>
      <c r="D1" s="1393"/>
      <c r="E1" s="2544"/>
      <c r="F1" s="2065" t="s">
        <v>2352</v>
      </c>
      <c r="G1" s="1403" t="s">
        <v>2353</v>
      </c>
      <c r="H1" s="1402"/>
      <c r="I1" s="1402"/>
      <c r="J1" s="1402"/>
      <c r="K1" s="1404"/>
      <c r="L1" s="1405"/>
      <c r="M1" s="1406"/>
      <c r="N1" s="1406"/>
      <c r="O1" s="1406"/>
      <c r="P1" s="2066"/>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7"/>
      <c r="D2" s="1275" t="e">
        <f ca="1">SUMIF(INDIRECT("'"&amp;F2&amp;"'"&amp;"!A:A"),"承租人权益价值",INDIRECT("'"&amp;F2&amp;"'"&amp;"!c:c"))</f>
        <v>#REF!</v>
      </c>
      <c r="E2" s="2068" t="s">
        <v>2354</v>
      </c>
      <c r="F2" s="2069"/>
      <c r="G2" s="1038"/>
      <c r="H2" s="1038"/>
      <c r="I2" s="1038"/>
      <c r="J2" s="1038"/>
      <c r="K2" s="2070"/>
      <c r="L2" s="2942"/>
      <c r="M2" s="2943"/>
      <c r="N2" s="2943"/>
      <c r="O2" s="2943"/>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198.07</v>
      </c>
      <c r="E3" s="1038"/>
      <c r="F3" s="2074"/>
      <c r="G3" s="1038"/>
      <c r="H3" s="1038"/>
      <c r="I3" s="1038"/>
      <c r="J3" s="1038"/>
      <c r="K3" s="2070"/>
      <c r="L3" s="2942"/>
      <c r="M3" s="2943"/>
      <c r="N3" s="2943"/>
      <c r="O3" s="2943"/>
      <c r="P3" s="2071"/>
      <c r="Q3" s="2072"/>
      <c r="R3" s="2072"/>
      <c r="S3" s="2072"/>
      <c r="T3" s="2072"/>
      <c r="U3" s="2072"/>
      <c r="V3" s="2072"/>
      <c r="W3" s="2072"/>
      <c r="X3" s="2072"/>
      <c r="Y3" s="2072"/>
      <c r="Z3" s="2072"/>
      <c r="AA3" s="2072"/>
      <c r="AB3" s="2072"/>
      <c r="AC3" s="1192"/>
    </row>
    <row r="4" spans="1:29" ht="15">
      <c r="A4" s="361" t="s">
        <v>2356</v>
      </c>
      <c r="B4" s="362"/>
      <c r="C4" s="3925" t="s">
        <v>2357</v>
      </c>
      <c r="D4" s="3926"/>
      <c r="E4" s="3927" t="s">
        <v>2358</v>
      </c>
      <c r="F4" s="3928"/>
      <c r="G4" s="3925" t="s">
        <v>2359</v>
      </c>
      <c r="H4" s="3926"/>
      <c r="I4" s="3925" t="s">
        <v>2360</v>
      </c>
      <c r="J4" s="3926"/>
      <c r="K4" s="2075" t="s">
        <v>2361</v>
      </c>
      <c r="L4" s="2944"/>
      <c r="M4" s="2945"/>
      <c r="N4" s="2945"/>
      <c r="O4" s="2945"/>
      <c r="P4" s="3929" t="s">
        <v>2362</v>
      </c>
      <c r="Q4" s="3930"/>
      <c r="R4" s="3935" t="s">
        <v>2358</v>
      </c>
      <c r="S4" s="3936"/>
      <c r="T4" s="3935" t="s">
        <v>2359</v>
      </c>
      <c r="U4" s="3936"/>
      <c r="V4" s="3941" t="s">
        <v>2360</v>
      </c>
      <c r="W4" s="3941"/>
      <c r="X4" s="1539"/>
      <c r="Y4" s="3935" t="s">
        <v>2362</v>
      </c>
      <c r="Z4" s="3936"/>
      <c r="AA4" s="3922" t="s">
        <v>2358</v>
      </c>
      <c r="AB4" s="3922" t="s">
        <v>2359</v>
      </c>
      <c r="AC4" s="3922" t="s">
        <v>2360</v>
      </c>
    </row>
    <row r="5" spans="1:29" ht="15">
      <c r="A5" s="364"/>
      <c r="B5" s="365"/>
      <c r="C5" s="3944" t="s">
        <v>2363</v>
      </c>
      <c r="D5" s="3945"/>
      <c r="E5" s="3951" t="s">
        <v>2364</v>
      </c>
      <c r="F5" s="3952"/>
      <c r="G5" s="3944" t="s">
        <v>2365</v>
      </c>
      <c r="H5" s="3945"/>
      <c r="I5" s="3944" t="s">
        <v>2366</v>
      </c>
      <c r="J5" s="3945"/>
      <c r="K5" s="2076"/>
      <c r="L5" s="2944"/>
      <c r="M5" s="2945"/>
      <c r="N5" s="2945"/>
      <c r="O5" s="2945"/>
      <c r="P5" s="3931"/>
      <c r="Q5" s="3932"/>
      <c r="R5" s="3937"/>
      <c r="S5" s="3938"/>
      <c r="T5" s="3937"/>
      <c r="U5" s="3938"/>
      <c r="V5" s="3941"/>
      <c r="W5" s="3941"/>
      <c r="X5" s="1539"/>
      <c r="Y5" s="3937"/>
      <c r="Z5" s="3938"/>
      <c r="AA5" s="3923"/>
      <c r="AB5" s="3923"/>
      <c r="AC5" s="3923"/>
    </row>
    <row r="6" spans="1:29" ht="15.75" thickBot="1">
      <c r="A6" s="366"/>
      <c r="B6" s="367"/>
      <c r="C6" s="3942" t="s">
        <v>2367</v>
      </c>
      <c r="D6" s="3943"/>
      <c r="E6" s="3949" t="s">
        <v>2367</v>
      </c>
      <c r="F6" s="3950"/>
      <c r="G6" s="3942" t="s">
        <v>2367</v>
      </c>
      <c r="H6" s="3943"/>
      <c r="I6" s="3942" t="s">
        <v>2367</v>
      </c>
      <c r="J6" s="3943"/>
      <c r="K6" s="2076" t="s">
        <v>2368</v>
      </c>
      <c r="L6" s="2944"/>
      <c r="M6" s="2945"/>
      <c r="N6" s="2945"/>
      <c r="O6" s="2945"/>
      <c r="P6" s="3933"/>
      <c r="Q6" s="3934"/>
      <c r="R6" s="3937"/>
      <c r="S6" s="3938"/>
      <c r="T6" s="3939"/>
      <c r="U6" s="3940"/>
      <c r="V6" s="3941"/>
      <c r="W6" s="3941"/>
      <c r="X6" s="1539"/>
      <c r="Y6" s="3939"/>
      <c r="Z6" s="3940"/>
      <c r="AA6" s="3924"/>
      <c r="AB6" s="3924"/>
      <c r="AC6" s="3924"/>
    </row>
    <row r="7" spans="1:29" s="113" customFormat="1" ht="15.75" thickBot="1">
      <c r="A7" s="368" t="s">
        <v>2369</v>
      </c>
      <c r="B7" s="369"/>
      <c r="C7" s="370">
        <f>'数据-取费表'!B2</f>
        <v>44357</v>
      </c>
      <c r="D7" s="371">
        <v>100</v>
      </c>
      <c r="E7" s="372"/>
      <c r="F7" s="373">
        <f>SUMIF(58:58,YEAR(E7)&amp;"-"&amp;MONTH(E7),59:59)</f>
        <v>0</v>
      </c>
      <c r="G7" s="372"/>
      <c r="H7" s="371">
        <f>SUMIF(58:58,YEAR(G7)&amp;"-"&amp;MONTH(G7),59:59)</f>
        <v>0</v>
      </c>
      <c r="I7" s="372"/>
      <c r="J7" s="371">
        <f>SUMIF(58:58,YEAR(I7)&amp;"-"&amp;MONTH(I7),59:59)</f>
        <v>0</v>
      </c>
      <c r="K7" s="2077"/>
      <c r="L7" s="2946"/>
      <c r="M7" s="2947"/>
      <c r="N7" s="2947"/>
      <c r="O7" s="2947"/>
      <c r="P7" s="3946" t="s">
        <v>2370</v>
      </c>
      <c r="Q7" s="3948"/>
      <c r="R7" s="710" t="s">
        <v>23</v>
      </c>
      <c r="S7" s="711">
        <f t="shared" ref="S7:S15" si="0">F7</f>
        <v>0</v>
      </c>
      <c r="T7" s="710" t="s">
        <v>23</v>
      </c>
      <c r="U7" s="711">
        <f t="shared" ref="U7:U15" si="1">H7</f>
        <v>0</v>
      </c>
      <c r="V7" s="710" t="s">
        <v>23</v>
      </c>
      <c r="W7" s="711">
        <f t="shared" ref="W7:W15" si="2">J7</f>
        <v>0</v>
      </c>
      <c r="X7" s="712"/>
      <c r="Y7" s="3946" t="s">
        <v>2370</v>
      </c>
      <c r="Z7" s="3947"/>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6"/>
      <c r="M8" s="2947"/>
      <c r="N8" s="2947"/>
      <c r="O8" s="2947"/>
      <c r="P8" s="3946" t="s">
        <v>2373</v>
      </c>
      <c r="Q8" s="3947"/>
      <c r="R8" s="710" t="s">
        <v>23</v>
      </c>
      <c r="S8" s="711">
        <f t="shared" si="0"/>
        <v>0</v>
      </c>
      <c r="T8" s="710" t="s">
        <v>23</v>
      </c>
      <c r="U8" s="711">
        <f t="shared" si="1"/>
        <v>0</v>
      </c>
      <c r="V8" s="710" t="s">
        <v>23</v>
      </c>
      <c r="W8" s="711">
        <f t="shared" si="2"/>
        <v>0</v>
      </c>
      <c r="X8" s="712"/>
      <c r="Y8" s="3946" t="s">
        <v>2373</v>
      </c>
      <c r="Z8" s="3947"/>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6"/>
      <c r="M9" s="2947"/>
      <c r="N9" s="2947"/>
      <c r="O9" s="2947"/>
      <c r="P9" s="3921"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8"/>
      <c r="M10" s="2949"/>
      <c r="N10" s="2949"/>
      <c r="O10" s="2949"/>
      <c r="P10" s="3921"/>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0"/>
      <c r="M11" s="2945"/>
      <c r="N11" s="2945"/>
      <c r="O11" s="2945"/>
      <c r="P11" s="3921"/>
      <c r="Q11" s="1527" t="str">
        <f t="shared" si="6"/>
        <v>容积率</v>
      </c>
      <c r="R11" s="710" t="s">
        <v>21</v>
      </c>
      <c r="S11" s="711" t="e">
        <f t="shared" si="0"/>
        <v>#N/A</v>
      </c>
      <c r="T11" s="710" t="s">
        <v>21</v>
      </c>
      <c r="U11" s="711" t="e">
        <f t="shared" si="1"/>
        <v>#N/A</v>
      </c>
      <c r="V11" s="710" t="s">
        <v>21</v>
      </c>
      <c r="W11" s="711" t="e">
        <f t="shared" si="2"/>
        <v>#N/A</v>
      </c>
      <c r="X11" s="712"/>
      <c r="Y11" s="3780"/>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6"/>
      <c r="M12" s="2947"/>
      <c r="N12" s="2947"/>
      <c r="O12" s="2947"/>
      <c r="P12" s="3921"/>
      <c r="Q12" s="1527">
        <f t="shared" si="6"/>
        <v>111</v>
      </c>
      <c r="R12" s="710" t="s">
        <v>21</v>
      </c>
      <c r="S12" s="711">
        <f t="shared" si="0"/>
        <v>100</v>
      </c>
      <c r="T12" s="710" t="s">
        <v>21</v>
      </c>
      <c r="U12" s="711">
        <f t="shared" si="1"/>
        <v>100</v>
      </c>
      <c r="V12" s="710" t="s">
        <v>21</v>
      </c>
      <c r="W12" s="711">
        <f t="shared" si="2"/>
        <v>100</v>
      </c>
      <c r="X12" s="712"/>
      <c r="Y12" s="378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51"/>
      <c r="M13" s="2945"/>
      <c r="N13" s="2945"/>
      <c r="O13" s="2945"/>
      <c r="P13" s="3921"/>
      <c r="Q13" s="1527">
        <f t="shared" si="6"/>
        <v>111</v>
      </c>
      <c r="R13" s="710" t="s">
        <v>21</v>
      </c>
      <c r="S13" s="711">
        <f t="shared" si="0"/>
        <v>100</v>
      </c>
      <c r="T13" s="710" t="s">
        <v>21</v>
      </c>
      <c r="U13" s="711">
        <f t="shared" si="1"/>
        <v>100</v>
      </c>
      <c r="V13" s="710" t="s">
        <v>21</v>
      </c>
      <c r="W13" s="711">
        <f t="shared" si="2"/>
        <v>100</v>
      </c>
      <c r="X13" s="712"/>
      <c r="Y13" s="3780"/>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51"/>
      <c r="M14" s="2945"/>
      <c r="N14" s="2945"/>
      <c r="O14" s="2945"/>
      <c r="P14" s="3921"/>
      <c r="Q14" s="1527">
        <f t="shared" si="6"/>
        <v>111</v>
      </c>
      <c r="R14" s="710" t="s">
        <v>21</v>
      </c>
      <c r="S14" s="711">
        <f t="shared" si="0"/>
        <v>100</v>
      </c>
      <c r="T14" s="710" t="s">
        <v>21</v>
      </c>
      <c r="U14" s="711">
        <f t="shared" si="1"/>
        <v>100</v>
      </c>
      <c r="V14" s="710" t="s">
        <v>21</v>
      </c>
      <c r="W14" s="711">
        <f t="shared" si="2"/>
        <v>100</v>
      </c>
      <c r="X14" s="712"/>
      <c r="Y14" s="3780"/>
      <c r="Z14" s="55">
        <f t="shared" si="7"/>
        <v>111</v>
      </c>
      <c r="AA14" s="713">
        <f t="shared" si="3"/>
        <v>1</v>
      </c>
      <c r="AB14" s="713">
        <f t="shared" si="4"/>
        <v>1</v>
      </c>
      <c r="AC14" s="713">
        <f t="shared" si="5"/>
        <v>1</v>
      </c>
    </row>
    <row r="15" spans="1:29" ht="99.75">
      <c r="A15" s="399" t="s">
        <v>2380</v>
      </c>
      <c r="B15" s="65" t="s">
        <v>1943</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1"/>
      <c r="M15" s="2945"/>
      <c r="N15" s="2945"/>
      <c r="O15" s="2945"/>
      <c r="P15" s="3919" t="s">
        <v>2381</v>
      </c>
      <c r="Q15" s="1536" t="str">
        <f t="shared" si="6"/>
        <v>居住社区成熟度</v>
      </c>
      <c r="R15" s="714" t="s">
        <v>21</v>
      </c>
      <c r="S15" s="715">
        <f t="shared" si="0"/>
        <v>100</v>
      </c>
      <c r="T15" s="714" t="s">
        <v>21</v>
      </c>
      <c r="U15" s="715">
        <f t="shared" si="1"/>
        <v>100</v>
      </c>
      <c r="V15" s="714" t="s">
        <v>21</v>
      </c>
      <c r="W15" s="715">
        <f t="shared" si="2"/>
        <v>100</v>
      </c>
      <c r="X15" s="1539"/>
      <c r="Y15" s="3912"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51"/>
      <c r="M16" s="2945"/>
      <c r="N16" s="2945"/>
      <c r="O16" s="2945"/>
      <c r="P16" s="3920"/>
      <c r="Q16" s="1536"/>
      <c r="R16" s="714"/>
      <c r="S16" s="715"/>
      <c r="T16" s="714"/>
      <c r="U16" s="715"/>
      <c r="V16" s="714"/>
      <c r="W16" s="715"/>
      <c r="X16" s="1539"/>
      <c r="Y16" s="3913"/>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1"/>
      <c r="M17" s="2945"/>
      <c r="N17" s="2945"/>
      <c r="O17" s="2945"/>
      <c r="P17" s="3920"/>
      <c r="Q17" s="1536" t="str">
        <f>B17</f>
        <v>交通便捷度</v>
      </c>
      <c r="R17" s="714" t="s">
        <v>21</v>
      </c>
      <c r="S17" s="715">
        <f>F17</f>
        <v>100</v>
      </c>
      <c r="T17" s="714" t="s">
        <v>21</v>
      </c>
      <c r="U17" s="715">
        <f>H17</f>
        <v>100</v>
      </c>
      <c r="V17" s="714" t="s">
        <v>21</v>
      </c>
      <c r="W17" s="715">
        <f>J17</f>
        <v>100</v>
      </c>
      <c r="X17" s="1539"/>
      <c r="Y17" s="3913"/>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51"/>
      <c r="M18" s="2945"/>
      <c r="N18" s="2945"/>
      <c r="O18" s="2945"/>
      <c r="P18" s="3920"/>
      <c r="Q18" s="1536"/>
      <c r="R18" s="714"/>
      <c r="S18" s="715"/>
      <c r="T18" s="714"/>
      <c r="U18" s="715"/>
      <c r="V18" s="714"/>
      <c r="W18" s="715"/>
      <c r="X18" s="1539"/>
      <c r="Y18" s="3913"/>
      <c r="Z18" s="1540"/>
      <c r="AA18" s="1537">
        <v>1</v>
      </c>
      <c r="AB18" s="1537">
        <v>1</v>
      </c>
      <c r="AC18" s="1537">
        <v>1</v>
      </c>
    </row>
    <row r="19" spans="1:29" ht="42.75">
      <c r="A19" s="387"/>
      <c r="B19" s="410" t="s">
        <v>1944</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1"/>
      <c r="M19" s="2945"/>
      <c r="N19" s="2945"/>
      <c r="O19" s="2945"/>
      <c r="P19" s="3920"/>
      <c r="Q19" s="1536" t="str">
        <f>B19</f>
        <v>公共配套设施</v>
      </c>
      <c r="R19" s="714" t="s">
        <v>21</v>
      </c>
      <c r="S19" s="715">
        <f>F19</f>
        <v>100</v>
      </c>
      <c r="T19" s="714" t="s">
        <v>21</v>
      </c>
      <c r="U19" s="715">
        <f>H19</f>
        <v>100</v>
      </c>
      <c r="V19" s="714" t="s">
        <v>21</v>
      </c>
      <c r="W19" s="715">
        <f>J19</f>
        <v>100</v>
      </c>
      <c r="X19" s="1539"/>
      <c r="Y19" s="3913"/>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51"/>
      <c r="M20" s="2945"/>
      <c r="N20" s="2945"/>
      <c r="O20" s="2945"/>
      <c r="P20" s="3920"/>
      <c r="Q20" s="1536"/>
      <c r="R20" s="714"/>
      <c r="S20" s="715"/>
      <c r="T20" s="714"/>
      <c r="U20" s="715"/>
      <c r="V20" s="714"/>
      <c r="W20" s="715"/>
      <c r="X20" s="1539"/>
      <c r="Y20" s="3913"/>
      <c r="Z20" s="1540"/>
      <c r="AA20" s="1537">
        <v>1</v>
      </c>
      <c r="AB20" s="1537">
        <v>1</v>
      </c>
      <c r="AC20" s="1537">
        <v>1</v>
      </c>
    </row>
    <row r="21" spans="1:29" ht="28.5">
      <c r="A21" s="387"/>
      <c r="B21" s="1293" t="s">
        <v>1946</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1"/>
      <c r="M21" s="2945"/>
      <c r="N21" s="2945"/>
      <c r="O21" s="2945"/>
      <c r="P21" s="3920"/>
      <c r="Q21" s="1536" t="str">
        <f>B21</f>
        <v>基础设施水平</v>
      </c>
      <c r="R21" s="714" t="s">
        <v>17</v>
      </c>
      <c r="S21" s="715">
        <f>F21</f>
        <v>100</v>
      </c>
      <c r="T21" s="714" t="s">
        <v>17</v>
      </c>
      <c r="U21" s="715">
        <f>H21</f>
        <v>100</v>
      </c>
      <c r="V21" s="714" t="s">
        <v>17</v>
      </c>
      <c r="W21" s="715">
        <f>J21</f>
        <v>100</v>
      </c>
      <c r="X21" s="1539"/>
      <c r="Y21" s="3913"/>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7"/>
      <c r="G22" s="2090"/>
      <c r="H22" s="407"/>
      <c r="I22" s="406"/>
      <c r="J22" s="407"/>
      <c r="K22" s="2091"/>
      <c r="L22" s="2951"/>
      <c r="M22" s="2945"/>
      <c r="N22" s="2945"/>
      <c r="O22" s="2945"/>
      <c r="P22" s="3920"/>
      <c r="Q22" s="1536"/>
      <c r="R22" s="714"/>
      <c r="S22" s="715"/>
      <c r="T22" s="714"/>
      <c r="U22" s="715"/>
      <c r="V22" s="714"/>
      <c r="W22" s="715"/>
      <c r="X22" s="1539"/>
      <c r="Y22" s="3913"/>
      <c r="Z22" s="1540"/>
      <c r="AA22" s="1537">
        <v>1</v>
      </c>
      <c r="AB22" s="1537">
        <v>1</v>
      </c>
      <c r="AC22" s="1537">
        <v>1</v>
      </c>
    </row>
    <row r="23" spans="1:29" ht="57">
      <c r="A23" s="387"/>
      <c r="B23" s="410" t="s">
        <v>1947</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1"/>
      <c r="M23" s="2945"/>
      <c r="N23" s="2945"/>
      <c r="O23" s="2945"/>
      <c r="P23" s="3920"/>
      <c r="Q23" s="1536" t="str">
        <f>B23</f>
        <v>自然及人文环境</v>
      </c>
      <c r="R23" s="714" t="s">
        <v>21</v>
      </c>
      <c r="S23" s="715">
        <f>F23</f>
        <v>100</v>
      </c>
      <c r="T23" s="714" t="s">
        <v>21</v>
      </c>
      <c r="U23" s="715">
        <f>H23</f>
        <v>100</v>
      </c>
      <c r="V23" s="714" t="s">
        <v>21</v>
      </c>
      <c r="W23" s="715">
        <f>J23</f>
        <v>100</v>
      </c>
      <c r="X23" s="1539"/>
      <c r="Y23" s="3913"/>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51"/>
      <c r="M24" s="2945"/>
      <c r="N24" s="2945"/>
      <c r="O24" s="2945"/>
      <c r="P24" s="3920"/>
      <c r="Q24" s="1536"/>
      <c r="R24" s="714"/>
      <c r="S24" s="715"/>
      <c r="T24" s="714"/>
      <c r="U24" s="715"/>
      <c r="V24" s="714"/>
      <c r="W24" s="715"/>
      <c r="X24" s="1539"/>
      <c r="Y24" s="3913"/>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51"/>
      <c r="M25" s="2945"/>
      <c r="N25" s="2945"/>
      <c r="O25" s="2945"/>
      <c r="P25" s="3920"/>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913"/>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51"/>
      <c r="M26" s="2945"/>
      <c r="N26" s="2945"/>
      <c r="O26" s="2945"/>
      <c r="P26" s="3920"/>
      <c r="Q26" s="1536" t="str">
        <f t="shared" si="11"/>
        <v>朝向</v>
      </c>
      <c r="R26" s="714" t="s">
        <v>21</v>
      </c>
      <c r="S26" s="715">
        <f t="shared" si="12"/>
        <v>100</v>
      </c>
      <c r="T26" s="714" t="s">
        <v>21</v>
      </c>
      <c r="U26" s="715">
        <f t="shared" si="13"/>
        <v>100</v>
      </c>
      <c r="V26" s="714" t="s">
        <v>21</v>
      </c>
      <c r="W26" s="715">
        <f t="shared" si="14"/>
        <v>100</v>
      </c>
      <c r="X26" s="1539"/>
      <c r="Y26" s="3913"/>
      <c r="Z26" s="1540" t="str">
        <f>Q26</f>
        <v>朝向</v>
      </c>
      <c r="AA26" s="1537">
        <f t="shared" si="15"/>
        <v>1</v>
      </c>
      <c r="AB26" s="1537">
        <f t="shared" si="16"/>
        <v>1</v>
      </c>
      <c r="AC26" s="1537">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0"/>
      <c r="L27" s="2946"/>
      <c r="M27" s="2947"/>
      <c r="N27" s="2947"/>
      <c r="O27" s="2947"/>
      <c r="P27" s="3920"/>
      <c r="Q27" s="1527">
        <f t="shared" si="11"/>
        <v>111</v>
      </c>
      <c r="R27" s="710" t="s">
        <v>21</v>
      </c>
      <c r="S27" s="711">
        <f t="shared" si="12"/>
        <v>100</v>
      </c>
      <c r="T27" s="710" t="s">
        <v>21</v>
      </c>
      <c r="U27" s="711">
        <f t="shared" si="13"/>
        <v>100</v>
      </c>
      <c r="V27" s="710" t="s">
        <v>21</v>
      </c>
      <c r="W27" s="711">
        <f t="shared" si="14"/>
        <v>100</v>
      </c>
      <c r="X27" s="712"/>
      <c r="Y27" s="3913"/>
      <c r="Z27" s="55">
        <f>Q27</f>
        <v>111</v>
      </c>
      <c r="AA27" s="1537">
        <f t="shared" si="15"/>
        <v>1</v>
      </c>
      <c r="AB27" s="1537">
        <f t="shared" si="16"/>
        <v>1</v>
      </c>
      <c r="AC27" s="1537">
        <f t="shared" si="17"/>
        <v>1</v>
      </c>
    </row>
    <row r="28" spans="1:29" ht="15">
      <c r="A28" s="387"/>
      <c r="B28" s="1295">
        <v>111</v>
      </c>
      <c r="C28" s="393"/>
      <c r="D28" s="394">
        <v>100</v>
      </c>
      <c r="E28" s="393"/>
      <c r="F28" s="394">
        <f>SUMIF(92:92,E28,93:93)-SUMIF(92:92,C28,93:93)+100</f>
        <v>100</v>
      </c>
      <c r="G28" s="2094"/>
      <c r="H28" s="394">
        <f>SUMIF(92:92,G28,93:93)-SUMIF(92:92,C28,93:93)+100</f>
        <v>100</v>
      </c>
      <c r="I28" s="393"/>
      <c r="J28" s="394">
        <f>SUMIF(92:92,I28,93:93)-SUMIF(92:92,C28,93:93)+100</f>
        <v>100</v>
      </c>
      <c r="K28" s="2080"/>
      <c r="L28" s="2951"/>
      <c r="M28" s="2945"/>
      <c r="N28" s="2945"/>
      <c r="O28" s="2945"/>
      <c r="P28" s="3920"/>
      <c r="Q28" s="1536">
        <f t="shared" si="11"/>
        <v>111</v>
      </c>
      <c r="R28" s="714" t="s">
        <v>21</v>
      </c>
      <c r="S28" s="715">
        <f t="shared" si="12"/>
        <v>100</v>
      </c>
      <c r="T28" s="714" t="s">
        <v>21</v>
      </c>
      <c r="U28" s="715">
        <f t="shared" si="13"/>
        <v>100</v>
      </c>
      <c r="V28" s="714" t="s">
        <v>21</v>
      </c>
      <c r="W28" s="715">
        <f t="shared" si="14"/>
        <v>100</v>
      </c>
      <c r="X28" s="1539"/>
      <c r="Y28" s="3913"/>
      <c r="Z28" s="1540">
        <f t="shared" ref="Z28:Z46" si="18">Q28</f>
        <v>111</v>
      </c>
      <c r="AA28" s="1537">
        <f t="shared" si="15"/>
        <v>1</v>
      </c>
      <c r="AB28" s="1537">
        <f t="shared" si="16"/>
        <v>1</v>
      </c>
      <c r="AC28" s="1537">
        <f t="shared" si="17"/>
        <v>1</v>
      </c>
    </row>
    <row r="29" spans="1:29" ht="15">
      <c r="A29" s="387"/>
      <c r="B29" s="1295">
        <v>111</v>
      </c>
      <c r="C29" s="393"/>
      <c r="D29" s="394">
        <v>100</v>
      </c>
      <c r="E29" s="393"/>
      <c r="F29" s="394">
        <f>SUMIF(94:94,E29,95:95)-SUMIF(94:94,C29,95:95)+100</f>
        <v>100</v>
      </c>
      <c r="G29" s="2094"/>
      <c r="H29" s="394">
        <f>SUMIF(94:94,G29,95:95)-SUMIF(94:94,C29,95:95)+100</f>
        <v>100</v>
      </c>
      <c r="I29" s="393"/>
      <c r="J29" s="394">
        <f>SUMIF(94:94,I29,95:95)-SUMIF(94:94,C29,95:95)+100</f>
        <v>100</v>
      </c>
      <c r="K29" s="2080"/>
      <c r="L29" s="2951"/>
      <c r="M29" s="2945"/>
      <c r="N29" s="2945"/>
      <c r="O29" s="2945"/>
      <c r="P29" s="3920"/>
      <c r="Q29" s="1536">
        <f t="shared" si="11"/>
        <v>111</v>
      </c>
      <c r="R29" s="714" t="s">
        <v>21</v>
      </c>
      <c r="S29" s="715">
        <f t="shared" si="12"/>
        <v>100</v>
      </c>
      <c r="T29" s="714" t="s">
        <v>21</v>
      </c>
      <c r="U29" s="715">
        <f t="shared" si="13"/>
        <v>100</v>
      </c>
      <c r="V29" s="714" t="s">
        <v>21</v>
      </c>
      <c r="W29" s="715">
        <f t="shared" si="14"/>
        <v>100</v>
      </c>
      <c r="X29" s="1539"/>
      <c r="Y29" s="3913"/>
      <c r="Z29" s="1540">
        <f t="shared" si="18"/>
        <v>111</v>
      </c>
      <c r="AA29" s="1537">
        <f t="shared" si="15"/>
        <v>1</v>
      </c>
      <c r="AB29" s="1537">
        <f t="shared" si="16"/>
        <v>1</v>
      </c>
      <c r="AC29" s="1537">
        <f t="shared" si="17"/>
        <v>1</v>
      </c>
    </row>
    <row r="30" spans="1:29" ht="15">
      <c r="A30" s="387"/>
      <c r="B30" s="1295">
        <v>111</v>
      </c>
      <c r="C30" s="393"/>
      <c r="D30" s="394">
        <v>100</v>
      </c>
      <c r="E30" s="393"/>
      <c r="F30" s="394">
        <f>SUMIF(96:96,E30,97:97)-SUMIF(96:96,C30,97:97)+100</f>
        <v>100</v>
      </c>
      <c r="G30" s="2094"/>
      <c r="H30" s="394">
        <f>SUMIF(96:96,G30,97:97)-SUMIF(96:96,C30,97:97)+100</f>
        <v>100</v>
      </c>
      <c r="I30" s="393"/>
      <c r="J30" s="394">
        <f>SUMIF(96:96,I30,97:97)-SUMIF(96:96,C30,97:97)+100</f>
        <v>100</v>
      </c>
      <c r="K30" s="2080"/>
      <c r="L30" s="2951"/>
      <c r="M30" s="2945"/>
      <c r="N30" s="2945"/>
      <c r="O30" s="2945"/>
      <c r="P30" s="3920"/>
      <c r="Q30" s="1536">
        <f t="shared" si="11"/>
        <v>111</v>
      </c>
      <c r="R30" s="714" t="s">
        <v>21</v>
      </c>
      <c r="S30" s="715">
        <f t="shared" si="12"/>
        <v>100</v>
      </c>
      <c r="T30" s="714" t="s">
        <v>21</v>
      </c>
      <c r="U30" s="715">
        <f t="shared" si="13"/>
        <v>100</v>
      </c>
      <c r="V30" s="714" t="s">
        <v>21</v>
      </c>
      <c r="W30" s="715">
        <f t="shared" si="14"/>
        <v>100</v>
      </c>
      <c r="X30" s="1539"/>
      <c r="Y30" s="3913"/>
      <c r="Z30" s="1540">
        <f t="shared" si="18"/>
        <v>111</v>
      </c>
      <c r="AA30" s="1537">
        <f t="shared" si="15"/>
        <v>1</v>
      </c>
      <c r="AB30" s="1537">
        <f t="shared" si="16"/>
        <v>1</v>
      </c>
      <c r="AC30" s="1537">
        <f t="shared" si="17"/>
        <v>1</v>
      </c>
    </row>
    <row r="31" spans="1:29" ht="15.75" thickBot="1">
      <c r="A31" s="395"/>
      <c r="B31" s="1295">
        <v>111</v>
      </c>
      <c r="C31" s="396"/>
      <c r="D31" s="397">
        <v>100</v>
      </c>
      <c r="E31" s="396"/>
      <c r="F31" s="397">
        <f>SUMIF(98:98,E31,99:99)-SUMIF(98:98,C31,99:99)+100</f>
        <v>100</v>
      </c>
      <c r="G31" s="2095"/>
      <c r="H31" s="397">
        <f>SUMIF(98:98,G31,99:99)-SUMIF(98:98,C31,99:99)+100</f>
        <v>100</v>
      </c>
      <c r="I31" s="396"/>
      <c r="J31" s="397">
        <f>SUMIF(98:98,I31,99:99)-SUMIF(98:98,C31,99:99)+100</f>
        <v>100</v>
      </c>
      <c r="K31" s="2080"/>
      <c r="L31" s="2951"/>
      <c r="M31" s="2945"/>
      <c r="N31" s="2945"/>
      <c r="O31" s="2945"/>
      <c r="P31" s="3920"/>
      <c r="Q31" s="1536">
        <f t="shared" si="11"/>
        <v>111</v>
      </c>
      <c r="R31" s="714" t="s">
        <v>21</v>
      </c>
      <c r="S31" s="715">
        <f t="shared" si="12"/>
        <v>100</v>
      </c>
      <c r="T31" s="714" t="s">
        <v>21</v>
      </c>
      <c r="U31" s="715">
        <f t="shared" si="13"/>
        <v>100</v>
      </c>
      <c r="V31" s="714" t="s">
        <v>21</v>
      </c>
      <c r="W31" s="715">
        <f t="shared" si="14"/>
        <v>100</v>
      </c>
      <c r="X31" s="1539"/>
      <c r="Y31" s="3913"/>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51"/>
      <c r="M32" s="2945"/>
      <c r="N32" s="2945"/>
      <c r="O32" s="2945"/>
      <c r="P32" s="3914" t="s">
        <v>2386</v>
      </c>
      <c r="Q32" s="1536" t="str">
        <f t="shared" si="11"/>
        <v>建筑类型</v>
      </c>
      <c r="R32" s="714" t="s">
        <v>21</v>
      </c>
      <c r="S32" s="715">
        <f t="shared" si="12"/>
        <v>100</v>
      </c>
      <c r="T32" s="714" t="s">
        <v>21</v>
      </c>
      <c r="U32" s="715">
        <f t="shared" si="13"/>
        <v>100</v>
      </c>
      <c r="V32" s="714" t="s">
        <v>21</v>
      </c>
      <c r="W32" s="715">
        <f t="shared" si="14"/>
        <v>100</v>
      </c>
      <c r="X32" s="1539"/>
      <c r="Y32" s="3917"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50"/>
      <c r="M33" s="2952"/>
      <c r="N33" s="2952"/>
      <c r="O33" s="2952"/>
      <c r="P33" s="3915"/>
      <c r="Q33" s="716" t="str">
        <f t="shared" si="11"/>
        <v>项目建筑规模</v>
      </c>
      <c r="R33" s="717" t="s">
        <v>21</v>
      </c>
      <c r="S33" s="718" t="e">
        <f t="shared" si="12"/>
        <v>#N/A</v>
      </c>
      <c r="T33" s="717" t="s">
        <v>21</v>
      </c>
      <c r="U33" s="718" t="e">
        <f t="shared" si="13"/>
        <v>#N/A</v>
      </c>
      <c r="V33" s="717" t="s">
        <v>21</v>
      </c>
      <c r="W33" s="718" t="e">
        <f t="shared" si="14"/>
        <v>#N/A</v>
      </c>
      <c r="X33" s="719"/>
      <c r="Y33" s="3917"/>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51"/>
      <c r="M34" s="2945"/>
      <c r="N34" s="2945"/>
      <c r="O34" s="2945"/>
      <c r="P34" s="3915"/>
      <c r="Q34" s="1536" t="str">
        <f t="shared" si="11"/>
        <v>建筑结构</v>
      </c>
      <c r="R34" s="714" t="s">
        <v>21</v>
      </c>
      <c r="S34" s="715">
        <f t="shared" si="12"/>
        <v>100</v>
      </c>
      <c r="T34" s="714" t="s">
        <v>21</v>
      </c>
      <c r="U34" s="715">
        <f t="shared" si="13"/>
        <v>100</v>
      </c>
      <c r="V34" s="714" t="s">
        <v>21</v>
      </c>
      <c r="W34" s="715">
        <f t="shared" si="14"/>
        <v>100</v>
      </c>
      <c r="X34" s="1539"/>
      <c r="Y34" s="3917"/>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51"/>
      <c r="M35" s="2945"/>
      <c r="N35" s="2945"/>
      <c r="O35" s="2945"/>
      <c r="P35" s="3915"/>
      <c r="Q35" s="1536" t="str">
        <f t="shared" si="11"/>
        <v>建筑品质</v>
      </c>
      <c r="R35" s="714" t="s">
        <v>21</v>
      </c>
      <c r="S35" s="715">
        <f t="shared" si="12"/>
        <v>100</v>
      </c>
      <c r="T35" s="714" t="s">
        <v>21</v>
      </c>
      <c r="U35" s="715">
        <f t="shared" si="13"/>
        <v>100</v>
      </c>
      <c r="V35" s="714" t="s">
        <v>21</v>
      </c>
      <c r="W35" s="715">
        <f t="shared" si="14"/>
        <v>100</v>
      </c>
      <c r="X35" s="1539"/>
      <c r="Y35" s="3917"/>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51"/>
      <c r="M36" s="2945"/>
      <c r="N36" s="2945"/>
      <c r="O36" s="2945"/>
      <c r="P36" s="3915"/>
      <c r="Q36" s="1536" t="str">
        <f t="shared" si="11"/>
        <v>公共部分装修</v>
      </c>
      <c r="R36" s="714" t="s">
        <v>21</v>
      </c>
      <c r="S36" s="715">
        <f t="shared" si="12"/>
        <v>100</v>
      </c>
      <c r="T36" s="714" t="s">
        <v>21</v>
      </c>
      <c r="U36" s="715">
        <f t="shared" si="13"/>
        <v>100</v>
      </c>
      <c r="V36" s="714" t="s">
        <v>21</v>
      </c>
      <c r="W36" s="715">
        <f t="shared" si="14"/>
        <v>100</v>
      </c>
      <c r="X36" s="1539"/>
      <c r="Y36" s="3917"/>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6"/>
      <c r="M37" s="2947"/>
      <c r="N37" s="2947"/>
      <c r="O37" s="2947"/>
      <c r="P37" s="3915"/>
      <c r="Q37" s="1527" t="str">
        <f t="shared" si="11"/>
        <v>成新度</v>
      </c>
      <c r="R37" s="710" t="s">
        <v>21</v>
      </c>
      <c r="S37" s="711" t="e">
        <f t="shared" si="12"/>
        <v>#N/A</v>
      </c>
      <c r="T37" s="710" t="s">
        <v>21</v>
      </c>
      <c r="U37" s="711" t="e">
        <f t="shared" si="13"/>
        <v>#N/A</v>
      </c>
      <c r="V37" s="710" t="s">
        <v>21</v>
      </c>
      <c r="W37" s="711" t="e">
        <f t="shared" si="14"/>
        <v>#N/A</v>
      </c>
      <c r="X37" s="712"/>
      <c r="Y37" s="3917"/>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51"/>
      <c r="M38" s="2945"/>
      <c r="N38" s="2945"/>
      <c r="O38" s="2945"/>
      <c r="P38" s="3915" t="s">
        <v>2386</v>
      </c>
      <c r="Q38" s="1536" t="str">
        <f t="shared" si="11"/>
        <v>物业管理</v>
      </c>
      <c r="R38" s="714" t="s">
        <v>21</v>
      </c>
      <c r="S38" s="715">
        <f t="shared" si="12"/>
        <v>100</v>
      </c>
      <c r="T38" s="714" t="s">
        <v>21</v>
      </c>
      <c r="U38" s="715">
        <f t="shared" si="13"/>
        <v>100</v>
      </c>
      <c r="V38" s="714" t="s">
        <v>21</v>
      </c>
      <c r="W38" s="715">
        <f t="shared" si="14"/>
        <v>100</v>
      </c>
      <c r="X38" s="1539"/>
      <c r="Y38" s="3917"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51"/>
      <c r="M39" s="2945"/>
      <c r="N39" s="2945"/>
      <c r="O39" s="2945"/>
      <c r="P39" s="3915"/>
      <c r="Q39" s="1536" t="str">
        <f t="shared" si="11"/>
        <v>市政基础设施</v>
      </c>
      <c r="R39" s="714" t="s">
        <v>21</v>
      </c>
      <c r="S39" s="715">
        <f t="shared" si="12"/>
        <v>100</v>
      </c>
      <c r="T39" s="714" t="s">
        <v>21</v>
      </c>
      <c r="U39" s="715">
        <f t="shared" si="13"/>
        <v>100</v>
      </c>
      <c r="V39" s="714" t="s">
        <v>21</v>
      </c>
      <c r="W39" s="715">
        <f t="shared" si="14"/>
        <v>100</v>
      </c>
      <c r="X39" s="1539"/>
      <c r="Y39" s="3917"/>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51"/>
      <c r="M40" s="2945"/>
      <c r="N40" s="2945"/>
      <c r="O40" s="2945"/>
      <c r="P40" s="3915"/>
      <c r="Q40" s="1536" t="str">
        <f t="shared" si="11"/>
        <v>房型</v>
      </c>
      <c r="R40" s="714" t="s">
        <v>21</v>
      </c>
      <c r="S40" s="715">
        <f t="shared" si="12"/>
        <v>100</v>
      </c>
      <c r="T40" s="714" t="s">
        <v>21</v>
      </c>
      <c r="U40" s="715">
        <f t="shared" si="13"/>
        <v>100</v>
      </c>
      <c r="V40" s="714" t="s">
        <v>21</v>
      </c>
      <c r="W40" s="715">
        <f t="shared" si="14"/>
        <v>100</v>
      </c>
      <c r="X40" s="1539"/>
      <c r="Y40" s="3917"/>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50"/>
      <c r="M41" s="2952"/>
      <c r="N41" s="2952"/>
      <c r="O41" s="2952"/>
      <c r="P41" s="3915"/>
      <c r="Q41" s="716" t="str">
        <f t="shared" si="11"/>
        <v>单套/主力户型建筑面积</v>
      </c>
      <c r="R41" s="717" t="s">
        <v>21</v>
      </c>
      <c r="S41" s="718">
        <f t="shared" si="12"/>
        <v>100</v>
      </c>
      <c r="T41" s="717" t="s">
        <v>21</v>
      </c>
      <c r="U41" s="718">
        <f t="shared" si="13"/>
        <v>100</v>
      </c>
      <c r="V41" s="717" t="s">
        <v>21</v>
      </c>
      <c r="W41" s="718">
        <f t="shared" si="14"/>
        <v>100</v>
      </c>
      <c r="X41" s="719"/>
      <c r="Y41" s="3917"/>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51"/>
      <c r="M42" s="2945"/>
      <c r="N42" s="2945"/>
      <c r="O42" s="2945"/>
      <c r="P42" s="3915"/>
      <c r="Q42" s="1536" t="str">
        <f t="shared" si="11"/>
        <v>内部装修</v>
      </c>
      <c r="R42" s="714" t="s">
        <v>21</v>
      </c>
      <c r="S42" s="715">
        <f t="shared" si="12"/>
        <v>100</v>
      </c>
      <c r="T42" s="714" t="s">
        <v>21</v>
      </c>
      <c r="U42" s="715">
        <f t="shared" si="13"/>
        <v>100</v>
      </c>
      <c r="V42" s="714" t="s">
        <v>21</v>
      </c>
      <c r="W42" s="715">
        <f t="shared" si="14"/>
        <v>100</v>
      </c>
      <c r="X42" s="1539"/>
      <c r="Y42" s="3917"/>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51"/>
      <c r="M43" s="2945"/>
      <c r="N43" s="2945"/>
      <c r="O43" s="2945"/>
      <c r="P43" s="3915"/>
      <c r="Q43" s="1536" t="str">
        <f t="shared" si="11"/>
        <v>内部装修维护情况</v>
      </c>
      <c r="R43" s="714" t="s">
        <v>21</v>
      </c>
      <c r="S43" s="715">
        <f t="shared" si="12"/>
        <v>100</v>
      </c>
      <c r="T43" s="714" t="s">
        <v>21</v>
      </c>
      <c r="U43" s="715">
        <f t="shared" si="13"/>
        <v>100</v>
      </c>
      <c r="V43" s="714" t="s">
        <v>21</v>
      </c>
      <c r="W43" s="715">
        <f t="shared" si="14"/>
        <v>100</v>
      </c>
      <c r="X43" s="1539"/>
      <c r="Y43" s="3917"/>
      <c r="Z43" s="1540" t="str">
        <f t="shared" si="18"/>
        <v>内部装修维护情况</v>
      </c>
      <c r="AA43" s="1537">
        <f t="shared" si="15"/>
        <v>1</v>
      </c>
      <c r="AB43" s="1537">
        <f t="shared" si="16"/>
        <v>1</v>
      </c>
      <c r="AC43" s="1537">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6"/>
      <c r="M44" s="2947"/>
      <c r="N44" s="2947"/>
      <c r="O44" s="2947"/>
      <c r="P44" s="3915"/>
      <c r="Q44" s="1527">
        <f t="shared" si="11"/>
        <v>111</v>
      </c>
      <c r="R44" s="710" t="s">
        <v>21</v>
      </c>
      <c r="S44" s="711">
        <f t="shared" si="12"/>
        <v>100</v>
      </c>
      <c r="T44" s="710" t="s">
        <v>21</v>
      </c>
      <c r="U44" s="711">
        <f t="shared" si="13"/>
        <v>100</v>
      </c>
      <c r="V44" s="710" t="s">
        <v>21</v>
      </c>
      <c r="W44" s="711">
        <f t="shared" si="14"/>
        <v>100</v>
      </c>
      <c r="X44" s="712"/>
      <c r="Y44" s="3917"/>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51"/>
      <c r="M45" s="2945"/>
      <c r="N45" s="2945"/>
      <c r="O45" s="2945"/>
      <c r="P45" s="3915"/>
      <c r="Q45" s="1536">
        <f t="shared" si="11"/>
        <v>111</v>
      </c>
      <c r="R45" s="714" t="s">
        <v>21</v>
      </c>
      <c r="S45" s="715">
        <f t="shared" si="12"/>
        <v>100</v>
      </c>
      <c r="T45" s="714" t="s">
        <v>21</v>
      </c>
      <c r="U45" s="715">
        <f t="shared" si="13"/>
        <v>100</v>
      </c>
      <c r="V45" s="714" t="s">
        <v>21</v>
      </c>
      <c r="W45" s="715">
        <f t="shared" si="14"/>
        <v>100</v>
      </c>
      <c r="X45" s="1539"/>
      <c r="Y45" s="3917"/>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51"/>
      <c r="M46" s="2945"/>
      <c r="N46" s="2945"/>
      <c r="O46" s="2945"/>
      <c r="P46" s="3916"/>
      <c r="Q46" s="1536">
        <f t="shared" si="11"/>
        <v>111</v>
      </c>
      <c r="R46" s="714" t="s">
        <v>20</v>
      </c>
      <c r="S46" s="715">
        <f t="shared" si="12"/>
        <v>100</v>
      </c>
      <c r="T46" s="714" t="s">
        <v>20</v>
      </c>
      <c r="U46" s="715">
        <f t="shared" si="13"/>
        <v>100</v>
      </c>
      <c r="V46" s="714" t="s">
        <v>20</v>
      </c>
      <c r="W46" s="715">
        <f t="shared" si="14"/>
        <v>100</v>
      </c>
      <c r="X46" s="1539"/>
      <c r="Y46" s="3918"/>
      <c r="Z46" s="1540">
        <f t="shared" si="18"/>
        <v>111</v>
      </c>
      <c r="AA46" s="1537">
        <f t="shared" si="15"/>
        <v>1</v>
      </c>
      <c r="AB46" s="1537">
        <f t="shared" si="16"/>
        <v>1</v>
      </c>
      <c r="AC46" s="1537">
        <f t="shared" si="17"/>
        <v>1</v>
      </c>
    </row>
    <row r="47" spans="1:29" ht="15">
      <c r="A47" s="438" t="s">
        <v>2398</v>
      </c>
      <c r="B47" s="439"/>
      <c r="C47" s="1316" t="s">
        <v>19</v>
      </c>
      <c r="D47" s="1317"/>
      <c r="E47" s="1318"/>
      <c r="F47" s="1319"/>
      <c r="G47" s="1320"/>
      <c r="H47" s="1321"/>
      <c r="I47" s="1318"/>
      <c r="J47" s="1321"/>
      <c r="K47" s="2100"/>
      <c r="L47" s="2953"/>
      <c r="M47" s="2954"/>
      <c r="N47" s="2945"/>
      <c r="O47" s="2954"/>
      <c r="P47" s="3910" t="str">
        <f>A47</f>
        <v>成交单价（元/平方米）</v>
      </c>
      <c r="Q47" s="3910"/>
      <c r="R47" s="3911">
        <f>E47</f>
        <v>0</v>
      </c>
      <c r="S47" s="3911"/>
      <c r="T47" s="3911">
        <f>G47</f>
        <v>0</v>
      </c>
      <c r="U47" s="3911"/>
      <c r="V47" s="3911">
        <f>I47</f>
        <v>0</v>
      </c>
      <c r="W47" s="3911"/>
      <c r="X47" s="699"/>
      <c r="Y47" s="721"/>
      <c r="Z47" s="699"/>
      <c r="AA47" s="699"/>
      <c r="AB47" s="699"/>
      <c r="AC47" s="699"/>
    </row>
    <row r="48" spans="1:29" ht="15.75" thickBot="1">
      <c r="A48" s="445" t="s">
        <v>2399</v>
      </c>
      <c r="B48" s="446"/>
      <c r="C48" s="1322" t="e">
        <f>R49</f>
        <v>#DIV/0!</v>
      </c>
      <c r="D48" s="2538" t="s">
        <v>2881</v>
      </c>
      <c r="E48" s="1323" t="e">
        <f>R48</f>
        <v>#DIV/0!</v>
      </c>
      <c r="F48" s="2539"/>
      <c r="G48" s="1322" t="e">
        <f>T48</f>
        <v>#DIV/0!</v>
      </c>
      <c r="H48" s="2539"/>
      <c r="I48" s="1323" t="e">
        <f>V48</f>
        <v>#DIV/0!</v>
      </c>
      <c r="J48" s="2539"/>
      <c r="K48" s="2540">
        <f>F48+H48+J48</f>
        <v>0</v>
      </c>
      <c r="L48" s="2953"/>
      <c r="M48" s="2954"/>
      <c r="N48" s="2954"/>
      <c r="O48" s="2954"/>
      <c r="P48" s="3910" t="str">
        <f>A48</f>
        <v>比较价值（元/平方米）</v>
      </c>
      <c r="Q48" s="3910"/>
      <c r="R48" s="3911" t="e">
        <f>IF(F1="售价",ROUND(PRODUCT(R47,AA7:AA46),0),ROUND(PRODUCT(R47,AA7:AA46),1))</f>
        <v>#DIV/0!</v>
      </c>
      <c r="S48" s="3911"/>
      <c r="T48" s="3911" t="e">
        <f>IF(F1="售价",ROUND(PRODUCT(T47,AB7:AB46),0),ROUND(PRODUCT(T47,AB7:AB46),1))</f>
        <v>#DIV/0!</v>
      </c>
      <c r="U48" s="3911"/>
      <c r="V48" s="3911" t="e">
        <f>IF(F1="售价",ROUND(PRODUCT(V47,AC7:AC46),0),ROUND(PRODUCT(V47,AC7:AC46),1))</f>
        <v>#DIV/0!</v>
      </c>
      <c r="W48" s="3911"/>
      <c r="X48" s="699"/>
      <c r="Y48" s="699"/>
      <c r="Z48" s="699"/>
      <c r="AA48" s="699"/>
      <c r="AB48" s="699"/>
      <c r="AC48" s="699"/>
    </row>
    <row r="49" spans="1:29" ht="15.75" thickBot="1">
      <c r="A49" s="449" t="s">
        <v>2400</v>
      </c>
      <c r="B49" s="450"/>
      <c r="C49" s="1324" t="e">
        <f>R49</f>
        <v>#DIV/0!</v>
      </c>
      <c r="D49" s="1325"/>
      <c r="E49" s="1325"/>
      <c r="F49" s="1325"/>
      <c r="G49" s="1325"/>
      <c r="H49" s="1325"/>
      <c r="I49" s="1325"/>
      <c r="J49" s="1325"/>
      <c r="K49" s="2101"/>
      <c r="L49" s="2953"/>
      <c r="M49" s="2954"/>
      <c r="N49" s="2954"/>
      <c r="O49" s="2954"/>
      <c r="P49" s="3907" t="str">
        <f>A49</f>
        <v>估价对象XX用房的比较价值（楼面单价，元/平方米）</v>
      </c>
      <c r="Q49" s="3908"/>
      <c r="R49" s="3909" t="e">
        <f>IF(F1="售价",ROUND(IF(D48="简单平均",AVERAGE(R48:V48),R48*F48+T48*H48+V48*J48),0),ROUND(IF(D48="简单平均",AVERAGE(R48:V48),R48*F48+T48*H48+V48*J48),1))</f>
        <v>#DIV/0!</v>
      </c>
      <c r="S49" s="3909"/>
      <c r="T49" s="3909"/>
      <c r="U49" s="3909"/>
      <c r="V49" s="3909"/>
      <c r="W49" s="3909"/>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row>
    <row r="51" spans="1:29">
      <c r="A51" s="2954"/>
      <c r="B51" s="2954"/>
      <c r="C51" s="2954"/>
      <c r="D51" s="2954"/>
      <c r="E51" s="2954"/>
      <c r="F51" s="2954"/>
      <c r="G51" s="2954"/>
      <c r="H51" s="2954"/>
      <c r="I51" s="2954"/>
      <c r="J51" s="2954"/>
      <c r="K51" s="2959"/>
      <c r="L51" s="2955"/>
      <c r="M51" s="2954"/>
      <c r="N51" s="2954"/>
      <c r="O51" s="2954"/>
    </row>
    <row r="52" spans="1:29" ht="13.5" customHeight="1">
      <c r="A52" s="2954"/>
      <c r="B52" s="2954"/>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row>
    <row r="53" spans="1:29" ht="13.5" customHeight="1">
      <c r="A53" s="2954"/>
      <c r="B53" s="2954"/>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row>
    <row r="54" spans="1:29" s="459" customFormat="1" ht="13.5" customHeight="1">
      <c r="A54" s="2957"/>
      <c r="B54" s="2957"/>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103"/>
    </row>
    <row r="55" spans="1:29" s="459" customFormat="1">
      <c r="A55" s="2957"/>
      <c r="B55" s="2960"/>
      <c r="C55" s="2961"/>
      <c r="D55" s="2957"/>
      <c r="E55" s="2957"/>
      <c r="F55" s="2957"/>
      <c r="G55" s="2957"/>
      <c r="H55" s="2957"/>
      <c r="I55" s="2957"/>
      <c r="J55" s="2957"/>
      <c r="K55" s="2962"/>
      <c r="L55" s="2956"/>
      <c r="M55" s="2957"/>
      <c r="N55" s="2957"/>
      <c r="O55" s="2957"/>
      <c r="P55" s="2103"/>
    </row>
    <row r="56" spans="1:29">
      <c r="A56" s="2954"/>
      <c r="B56" s="2960"/>
      <c r="C56" s="2961"/>
      <c r="D56" s="2954"/>
      <c r="E56" s="2954"/>
      <c r="F56" s="2954"/>
      <c r="G56" s="2954"/>
      <c r="H56" s="2954"/>
      <c r="I56" s="2954"/>
      <c r="J56" s="2954"/>
      <c r="K56" s="2959"/>
      <c r="L56" s="2955"/>
      <c r="M56" s="2954"/>
      <c r="N56" s="2954"/>
      <c r="O56" s="2954"/>
    </row>
    <row r="57" spans="1:29" ht="21.75" thickBot="1">
      <c r="A57" s="703" t="s">
        <v>2404</v>
      </c>
      <c r="B57" s="699"/>
      <c r="C57" s="704"/>
      <c r="D57" s="704"/>
      <c r="E57" s="704"/>
      <c r="F57" s="705"/>
      <c r="G57" s="705"/>
      <c r="H57" s="704"/>
      <c r="I57" s="704"/>
      <c r="J57" s="704"/>
      <c r="K57" s="1072"/>
      <c r="L57" s="1073"/>
      <c r="M57" s="1071"/>
      <c r="N57" s="1071"/>
      <c r="O57" s="1071"/>
      <c r="P57" s="2104"/>
      <c r="Q57" s="461"/>
    </row>
    <row r="58" spans="1:29" s="465" customFormat="1" ht="15">
      <c r="A58" s="462" t="s">
        <v>2405</v>
      </c>
      <c r="B58" s="463"/>
      <c r="C58" s="1348" t="str">
        <f>YEAR(C7)&amp;"-"&amp;MONTH(C7)</f>
        <v>2021-6</v>
      </c>
      <c r="D58" s="1347">
        <f>EDATE(C58,-1)</f>
        <v>44317</v>
      </c>
      <c r="E58" s="1347">
        <f>EDATE(D58,-1)</f>
        <v>44287</v>
      </c>
      <c r="F58" s="1347">
        <f t="shared" ref="F58:O58" si="19">EDATE(E58,-1)</f>
        <v>44256</v>
      </c>
      <c r="G58" s="1347">
        <f t="shared" si="19"/>
        <v>44228</v>
      </c>
      <c r="H58" s="1347">
        <f t="shared" si="19"/>
        <v>44197</v>
      </c>
      <c r="I58" s="1347">
        <f t="shared" si="19"/>
        <v>44166</v>
      </c>
      <c r="J58" s="1347">
        <f t="shared" si="19"/>
        <v>44136</v>
      </c>
      <c r="K58" s="1347">
        <f t="shared" si="19"/>
        <v>44105</v>
      </c>
      <c r="L58" s="1347">
        <f t="shared" si="19"/>
        <v>44075</v>
      </c>
      <c r="M58" s="1347">
        <f t="shared" si="19"/>
        <v>44044</v>
      </c>
      <c r="N58" s="1347">
        <f t="shared" si="19"/>
        <v>44013</v>
      </c>
      <c r="O58" s="1347">
        <f t="shared" si="19"/>
        <v>43983</v>
      </c>
      <c r="P58" s="1343"/>
    </row>
    <row r="59" spans="1:29" s="113" customFormat="1" ht="15">
      <c r="A59" s="466"/>
      <c r="B59" s="2105"/>
      <c r="C59" s="1345">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3"/>
      <c r="O61" s="1063"/>
      <c r="P61" s="2107"/>
      <c r="Q61" s="461"/>
    </row>
    <row r="62" spans="1:29" s="113" customFormat="1" ht="15.75" thickBot="1">
      <c r="A62" s="478"/>
      <c r="B62" s="467"/>
      <c r="C62" s="468">
        <v>100</v>
      </c>
      <c r="D62" s="469"/>
      <c r="E62" s="469"/>
      <c r="F62" s="469"/>
      <c r="G62" s="469"/>
      <c r="H62" s="469"/>
      <c r="I62" s="469"/>
      <c r="J62" s="469"/>
      <c r="K62" s="469"/>
      <c r="L62" s="469"/>
      <c r="M62" s="471"/>
      <c r="N62" s="1063"/>
      <c r="O62" s="1063"/>
      <c r="P62" s="2106"/>
      <c r="Q62" s="461"/>
    </row>
    <row r="63" spans="1:29">
      <c r="A63" s="484" t="s">
        <v>2409</v>
      </c>
      <c r="B63" s="485" t="s">
        <v>2375</v>
      </c>
      <c r="C63" s="486">
        <f>C9</f>
        <v>0</v>
      </c>
      <c r="D63" s="487"/>
      <c r="E63" s="487"/>
      <c r="F63" s="487"/>
      <c r="G63" s="487"/>
      <c r="H63" s="487"/>
      <c r="I63" s="487"/>
      <c r="J63" s="487"/>
      <c r="K63" s="488"/>
      <c r="L63" s="489"/>
      <c r="M63" s="490"/>
      <c r="N63" s="1064"/>
      <c r="O63" s="1064"/>
      <c r="P63" s="2108"/>
      <c r="Q63" s="461"/>
    </row>
    <row r="64" spans="1:29" ht="15.75" thickBot="1">
      <c r="A64" s="491"/>
      <c r="B64" s="492"/>
      <c r="C64" s="493">
        <v>100</v>
      </c>
      <c r="D64" s="493"/>
      <c r="E64" s="493"/>
      <c r="F64" s="493"/>
      <c r="G64" s="493"/>
      <c r="H64" s="493"/>
      <c r="I64" s="493"/>
      <c r="J64" s="493"/>
      <c r="K64" s="493"/>
      <c r="L64" s="493"/>
      <c r="M64" s="494"/>
      <c r="N64" s="1065"/>
      <c r="O64" s="1065"/>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4"/>
      <c r="O65" s="1064"/>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08"/>
      <c r="Q67" s="461"/>
    </row>
    <row r="68" spans="1:17" ht="15">
      <c r="A68" s="491"/>
      <c r="B68" s="505"/>
      <c r="C68" s="506"/>
      <c r="D68" s="506"/>
      <c r="E68" s="506"/>
      <c r="F68" s="506"/>
      <c r="G68" s="506"/>
      <c r="H68" s="506"/>
      <c r="I68" s="506"/>
      <c r="J68" s="506"/>
      <c r="K68" s="507"/>
      <c r="L68" s="508"/>
      <c r="M68" s="509"/>
      <c r="N68" s="1064"/>
      <c r="O68" s="1064"/>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08"/>
      <c r="Q69" s="461"/>
    </row>
    <row r="70" spans="1:17" s="430" customFormat="1" ht="15.75" thickTop="1">
      <c r="A70" s="510"/>
      <c r="B70" s="495">
        <f>B12</f>
        <v>111</v>
      </c>
      <c r="C70" s="511"/>
      <c r="D70" s="511"/>
      <c r="E70" s="511"/>
      <c r="F70" s="511"/>
      <c r="G70" s="511"/>
      <c r="H70" s="512"/>
      <c r="I70" s="512"/>
      <c r="J70" s="512"/>
      <c r="K70" s="512"/>
      <c r="L70" s="513"/>
      <c r="M70" s="514"/>
      <c r="N70" s="1066"/>
      <c r="O70" s="1066"/>
      <c r="P70" s="2109"/>
      <c r="Q70" s="516"/>
    </row>
    <row r="71" spans="1:17" s="430" customFormat="1" ht="15.75" thickBot="1">
      <c r="A71" s="510"/>
      <c r="B71" s="500"/>
      <c r="C71" s="517"/>
      <c r="D71" s="493"/>
      <c r="E71" s="493"/>
      <c r="F71" s="493"/>
      <c r="G71" s="493"/>
      <c r="H71" s="493"/>
      <c r="I71" s="493"/>
      <c r="J71" s="493"/>
      <c r="K71" s="493"/>
      <c r="L71" s="493"/>
      <c r="M71" s="494"/>
      <c r="N71" s="1065"/>
      <c r="O71" s="1065"/>
      <c r="P71" s="2109"/>
      <c r="Q71" s="516"/>
    </row>
    <row r="72" spans="1:17" s="430" customFormat="1" ht="15.75" thickTop="1">
      <c r="A72" s="510"/>
      <c r="B72" s="495">
        <f>B13</f>
        <v>111</v>
      </c>
      <c r="C72" s="511"/>
      <c r="D72" s="511"/>
      <c r="E72" s="511"/>
      <c r="F72" s="511"/>
      <c r="G72" s="511"/>
      <c r="H72" s="512"/>
      <c r="I72" s="512"/>
      <c r="J72" s="512"/>
      <c r="K72" s="512"/>
      <c r="L72" s="513"/>
      <c r="M72" s="514"/>
      <c r="N72" s="1066"/>
      <c r="O72" s="1066"/>
      <c r="P72" s="2110"/>
      <c r="Q72" s="518"/>
    </row>
    <row r="73" spans="1:17" s="430" customFormat="1" ht="15.75" thickBot="1">
      <c r="A73" s="510"/>
      <c r="B73" s="500"/>
      <c r="C73" s="517"/>
      <c r="D73" s="517"/>
      <c r="E73" s="517"/>
      <c r="F73" s="517"/>
      <c r="G73" s="517"/>
      <c r="H73" s="519"/>
      <c r="I73" s="519"/>
      <c r="J73" s="519"/>
      <c r="K73" s="519"/>
      <c r="L73" s="519"/>
      <c r="M73" s="520"/>
      <c r="N73" s="1066"/>
      <c r="O73" s="1066"/>
      <c r="P73" s="2109"/>
      <c r="Q73" s="516"/>
    </row>
    <row r="74" spans="1:17" s="430" customFormat="1" ht="15.75" thickTop="1">
      <c r="A74" s="510"/>
      <c r="B74" s="503">
        <f>B14</f>
        <v>111</v>
      </c>
      <c r="C74" s="511"/>
      <c r="D74" s="511"/>
      <c r="E74" s="511"/>
      <c r="F74" s="511"/>
      <c r="G74" s="480"/>
      <c r="H74" s="521"/>
      <c r="I74" s="521"/>
      <c r="J74" s="521"/>
      <c r="K74" s="521"/>
      <c r="L74" s="522"/>
      <c r="M74" s="523"/>
      <c r="N74" s="1066"/>
      <c r="O74" s="1066"/>
      <c r="P74" s="2111"/>
      <c r="Q74" s="516"/>
    </row>
    <row r="75" spans="1:17" s="430" customFormat="1" ht="15.75" thickBot="1">
      <c r="A75" s="525"/>
      <c r="B75" s="526"/>
      <c r="C75" s="527"/>
      <c r="D75" s="527"/>
      <c r="E75" s="527"/>
      <c r="F75" s="527"/>
      <c r="G75" s="527"/>
      <c r="H75" s="528"/>
      <c r="I75" s="528"/>
      <c r="J75" s="528"/>
      <c r="K75" s="528"/>
      <c r="L75" s="528"/>
      <c r="M75" s="529"/>
      <c r="N75" s="1066"/>
      <c r="O75" s="1066"/>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4"/>
      <c r="O76" s="1064"/>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4"/>
      <c r="O78" s="1064"/>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4"/>
      <c r="O80" s="1064"/>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08"/>
      <c r="Q81" s="461"/>
    </row>
    <row r="82" spans="1:17" ht="15.75" thickTop="1">
      <c r="A82" s="491"/>
      <c r="B82" s="503" t="s">
        <v>1946</v>
      </c>
      <c r="C82" s="496" t="s">
        <v>2425</v>
      </c>
      <c r="D82" s="496" t="s">
        <v>2426</v>
      </c>
      <c r="E82" s="496" t="s">
        <v>2427</v>
      </c>
      <c r="F82" s="496" t="s">
        <v>2428</v>
      </c>
      <c r="G82" s="496" t="s">
        <v>2429</v>
      </c>
      <c r="H82" s="496"/>
      <c r="I82" s="496"/>
      <c r="J82" s="496"/>
      <c r="K82" s="496"/>
      <c r="L82" s="496"/>
      <c r="M82" s="1291"/>
      <c r="N82" s="1065"/>
      <c r="O82" s="1065"/>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4"/>
      <c r="O84" s="1064"/>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08"/>
      <c r="Q85" s="461"/>
    </row>
    <row r="86" spans="1:17" s="113" customFormat="1" ht="15.75" thickTop="1">
      <c r="A86" s="536"/>
      <c r="B86" s="495" t="s">
        <v>2431</v>
      </c>
      <c r="C86" s="511"/>
      <c r="D86" s="511"/>
      <c r="E86" s="511"/>
      <c r="F86" s="511"/>
      <c r="G86" s="511"/>
      <c r="H86" s="511"/>
      <c r="I86" s="511"/>
      <c r="J86" s="511"/>
      <c r="K86" s="511"/>
      <c r="L86" s="537"/>
      <c r="M86" s="538"/>
      <c r="N86" s="1063"/>
      <c r="O86" s="1063"/>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08"/>
      <c r="Q87" s="461"/>
    </row>
    <row r="88" spans="1:17" s="113" customFormat="1" ht="15.75" thickTop="1">
      <c r="A88" s="536"/>
      <c r="B88" s="495" t="s">
        <v>2432</v>
      </c>
      <c r="C88" s="511"/>
      <c r="D88" s="511"/>
      <c r="E88" s="511"/>
      <c r="F88" s="2113"/>
      <c r="G88" s="511"/>
      <c r="H88" s="511"/>
      <c r="I88" s="511"/>
      <c r="J88" s="511"/>
      <c r="K88" s="511"/>
      <c r="L88" s="511"/>
      <c r="M88" s="538"/>
      <c r="N88" s="1063"/>
      <c r="O88" s="1063"/>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08"/>
      <c r="Q89" s="461"/>
    </row>
    <row r="90" spans="1:17" s="430" customFormat="1" ht="15.75" thickTop="1">
      <c r="A90" s="510"/>
      <c r="B90" s="495">
        <f>B27</f>
        <v>111</v>
      </c>
      <c r="C90" s="511"/>
      <c r="D90" s="511"/>
      <c r="E90" s="511"/>
      <c r="F90" s="511"/>
      <c r="G90" s="511"/>
      <c r="H90" s="512"/>
      <c r="I90" s="512"/>
      <c r="J90" s="512"/>
      <c r="K90" s="512"/>
      <c r="L90" s="513"/>
      <c r="M90" s="514"/>
      <c r="N90" s="1066"/>
      <c r="O90" s="1066"/>
      <c r="P90" s="2109"/>
      <c r="Q90" s="516"/>
    </row>
    <row r="91" spans="1:17" s="430" customFormat="1" ht="15.75" thickBot="1">
      <c r="A91" s="510"/>
      <c r="B91" s="500"/>
      <c r="C91" s="517"/>
      <c r="D91" s="517"/>
      <c r="E91" s="517"/>
      <c r="F91" s="517"/>
      <c r="G91" s="517"/>
      <c r="H91" s="519"/>
      <c r="I91" s="519"/>
      <c r="J91" s="519"/>
      <c r="K91" s="519"/>
      <c r="L91" s="519"/>
      <c r="M91" s="520"/>
      <c r="N91" s="1066"/>
      <c r="O91" s="1066"/>
      <c r="P91" s="2109"/>
      <c r="Q91" s="516"/>
    </row>
    <row r="92" spans="1:17" ht="15.75" thickTop="1">
      <c r="A92" s="491"/>
      <c r="B92" s="495">
        <f>B28</f>
        <v>111</v>
      </c>
      <c r="C92" s="511"/>
      <c r="D92" s="511"/>
      <c r="E92" s="511"/>
      <c r="F92" s="511"/>
      <c r="G92" s="540"/>
      <c r="H92" s="540"/>
      <c r="I92" s="540"/>
      <c r="J92" s="540"/>
      <c r="K92" s="541"/>
      <c r="L92" s="542"/>
      <c r="M92" s="543"/>
      <c r="N92" s="1064"/>
      <c r="O92" s="1064"/>
      <c r="P92" s="2108"/>
      <c r="Q92" s="461"/>
    </row>
    <row r="93" spans="1:17" ht="15.75" thickBot="1">
      <c r="A93" s="491"/>
      <c r="B93" s="500"/>
      <c r="C93" s="517"/>
      <c r="D93" s="493"/>
      <c r="E93" s="493"/>
      <c r="F93" s="493"/>
      <c r="G93" s="493"/>
      <c r="H93" s="493"/>
      <c r="I93" s="493"/>
      <c r="J93" s="493"/>
      <c r="K93" s="493"/>
      <c r="L93" s="493"/>
      <c r="M93" s="494"/>
      <c r="N93" s="1065"/>
      <c r="O93" s="1065"/>
      <c r="P93" s="2108"/>
      <c r="Q93" s="461"/>
    </row>
    <row r="94" spans="1:17" ht="15.75" thickTop="1">
      <c r="A94" s="491"/>
      <c r="B94" s="495">
        <f>B29</f>
        <v>111</v>
      </c>
      <c r="C94" s="511"/>
      <c r="D94" s="511"/>
      <c r="E94" s="511"/>
      <c r="F94" s="511"/>
      <c r="G94" s="540"/>
      <c r="H94" s="540"/>
      <c r="I94" s="540"/>
      <c r="J94" s="540"/>
      <c r="K94" s="541"/>
      <c r="L94" s="542"/>
      <c r="M94" s="543"/>
      <c r="N94" s="1064"/>
      <c r="O94" s="1064"/>
      <c r="P94" s="2108"/>
      <c r="Q94" s="461"/>
    </row>
    <row r="95" spans="1:17" ht="15.75" thickBot="1">
      <c r="A95" s="491"/>
      <c r="B95" s="500"/>
      <c r="C95" s="517"/>
      <c r="D95" s="517"/>
      <c r="E95" s="517"/>
      <c r="F95" s="517"/>
      <c r="G95" s="493"/>
      <c r="H95" s="493"/>
      <c r="I95" s="493"/>
      <c r="J95" s="493"/>
      <c r="K95" s="493"/>
      <c r="L95" s="493"/>
      <c r="M95" s="494"/>
      <c r="N95" s="1065"/>
      <c r="O95" s="1065"/>
      <c r="P95" s="2108"/>
      <c r="Q95" s="461"/>
    </row>
    <row r="96" spans="1:17" ht="15.75" thickTop="1">
      <c r="A96" s="491"/>
      <c r="B96" s="495">
        <f>B30</f>
        <v>111</v>
      </c>
      <c r="C96" s="511"/>
      <c r="D96" s="511"/>
      <c r="E96" s="511"/>
      <c r="F96" s="511"/>
      <c r="G96" s="540"/>
      <c r="H96" s="540"/>
      <c r="I96" s="540"/>
      <c r="J96" s="540"/>
      <c r="K96" s="541"/>
      <c r="L96" s="542"/>
      <c r="M96" s="543"/>
      <c r="N96" s="1064"/>
      <c r="O96" s="1064"/>
      <c r="P96" s="2108"/>
      <c r="Q96" s="461"/>
    </row>
    <row r="97" spans="1:17" ht="15.75" thickBot="1">
      <c r="A97" s="491"/>
      <c r="B97" s="500"/>
      <c r="C97" s="527"/>
      <c r="D97" s="527"/>
      <c r="E97" s="527"/>
      <c r="F97" s="527"/>
      <c r="G97" s="493"/>
      <c r="H97" s="493"/>
      <c r="I97" s="493"/>
      <c r="J97" s="493"/>
      <c r="K97" s="493"/>
      <c r="L97" s="493"/>
      <c r="M97" s="494"/>
      <c r="N97" s="1065"/>
      <c r="O97" s="1065"/>
      <c r="P97" s="2108"/>
      <c r="Q97" s="461"/>
    </row>
    <row r="98" spans="1:17" ht="15.75" thickTop="1">
      <c r="A98" s="491"/>
      <c r="B98" s="503">
        <f>B31</f>
        <v>111</v>
      </c>
      <c r="C98" s="544"/>
      <c r="D98" s="544"/>
      <c r="E98" s="544"/>
      <c r="F98" s="544"/>
      <c r="G98" s="544"/>
      <c r="H98" s="544"/>
      <c r="I98" s="544"/>
      <c r="J98" s="544"/>
      <c r="K98" s="545"/>
      <c r="L98" s="546"/>
      <c r="M98" s="547"/>
      <c r="N98" s="1064"/>
      <c r="O98" s="1064"/>
      <c r="P98" s="2108"/>
      <c r="Q98" s="461"/>
    </row>
    <row r="99" spans="1:17" ht="15.75" thickBot="1">
      <c r="A99" s="2114"/>
      <c r="B99" s="526"/>
      <c r="C99" s="548"/>
      <c r="D99" s="548"/>
      <c r="E99" s="548"/>
      <c r="F99" s="548"/>
      <c r="G99" s="548"/>
      <c r="H99" s="548"/>
      <c r="I99" s="548"/>
      <c r="J99" s="548"/>
      <c r="K99" s="548"/>
      <c r="L99" s="548"/>
      <c r="M99" s="549"/>
      <c r="N99" s="1065"/>
      <c r="O99" s="1065"/>
      <c r="P99" s="2108"/>
      <c r="Q99" s="461"/>
    </row>
    <row r="100" spans="1:17">
      <c r="A100" s="484" t="s">
        <v>2384</v>
      </c>
      <c r="B100" s="485" t="s">
        <v>2433</v>
      </c>
      <c r="C100" s="487"/>
      <c r="D100" s="487"/>
      <c r="E100" s="487"/>
      <c r="F100" s="487"/>
      <c r="G100" s="487"/>
      <c r="H100" s="487"/>
      <c r="I100" s="487"/>
      <c r="J100" s="487"/>
      <c r="K100" s="488"/>
      <c r="L100" s="489"/>
      <c r="M100" s="490"/>
      <c r="N100" s="1064"/>
      <c r="O100" s="1064"/>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08"/>
      <c r="Q102" s="461"/>
    </row>
    <row r="103" spans="1:17" s="430" customFormat="1">
      <c r="A103" s="550"/>
      <c r="B103" s="551"/>
      <c r="C103" s="552"/>
      <c r="D103" s="552"/>
      <c r="E103" s="552"/>
      <c r="F103" s="552"/>
      <c r="G103" s="552"/>
      <c r="H103" s="552"/>
      <c r="I103" s="552"/>
      <c r="J103" s="553"/>
      <c r="K103" s="553"/>
      <c r="L103" s="554"/>
      <c r="M103" s="555"/>
      <c r="N103" s="1066"/>
      <c r="O103" s="1066"/>
      <c r="P103" s="210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09"/>
      <c r="Q104" s="516"/>
    </row>
    <row r="105" spans="1:17" ht="15" thickTop="1">
      <c r="A105" s="556"/>
      <c r="B105" s="495" t="s">
        <v>2435</v>
      </c>
      <c r="C105" s="511"/>
      <c r="D105" s="511"/>
      <c r="E105" s="540"/>
      <c r="F105" s="540"/>
      <c r="G105" s="540"/>
      <c r="H105" s="540"/>
      <c r="I105" s="540"/>
      <c r="J105" s="540"/>
      <c r="K105" s="541"/>
      <c r="L105" s="542"/>
      <c r="M105" s="543"/>
      <c r="N105" s="1064"/>
      <c r="O105" s="1064"/>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08"/>
      <c r="Q106" s="461"/>
    </row>
    <row r="107" spans="1:17" ht="15" thickTop="1">
      <c r="A107" s="556"/>
      <c r="B107" s="495" t="s">
        <v>2436</v>
      </c>
      <c r="C107" s="540"/>
      <c r="D107" s="540"/>
      <c r="E107" s="540"/>
      <c r="F107" s="540"/>
      <c r="G107" s="540"/>
      <c r="H107" s="540"/>
      <c r="I107" s="540"/>
      <c r="J107" s="540"/>
      <c r="K107" s="541"/>
      <c r="L107" s="542"/>
      <c r="M107" s="543"/>
      <c r="N107" s="1064"/>
      <c r="O107" s="1064"/>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08"/>
      <c r="Q108" s="461"/>
    </row>
    <row r="109" spans="1:17" ht="15" thickTop="1">
      <c r="A109" s="556"/>
      <c r="B109" s="495" t="s">
        <v>2437</v>
      </c>
      <c r="C109" s="511"/>
      <c r="D109" s="511"/>
      <c r="E109" s="511"/>
      <c r="F109" s="540"/>
      <c r="G109" s="540"/>
      <c r="H109" s="540"/>
      <c r="I109" s="540"/>
      <c r="J109" s="540"/>
      <c r="K109" s="541"/>
      <c r="L109" s="542"/>
      <c r="M109" s="543"/>
      <c r="N109" s="1064"/>
      <c r="O109" s="1064"/>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09"/>
      <c r="Q113" s="516"/>
    </row>
    <row r="114" spans="1:17" ht="15" thickTop="1">
      <c r="A114" s="556"/>
      <c r="B114" s="495" t="s">
        <v>2438</v>
      </c>
      <c r="C114" s="511"/>
      <c r="D114" s="511"/>
      <c r="E114" s="540"/>
      <c r="F114" s="540"/>
      <c r="G114" s="540"/>
      <c r="H114" s="540"/>
      <c r="I114" s="540"/>
      <c r="J114" s="540"/>
      <c r="K114" s="541"/>
      <c r="L114" s="542"/>
      <c r="M114" s="543"/>
      <c r="N114" s="1064"/>
      <c r="O114" s="1064"/>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08"/>
      <c r="Q115" s="461"/>
    </row>
    <row r="116" spans="1:17" ht="15" thickTop="1">
      <c r="A116" s="556"/>
      <c r="B116" s="495" t="s">
        <v>2439</v>
      </c>
      <c r="C116" s="511"/>
      <c r="D116" s="511"/>
      <c r="E116" s="511"/>
      <c r="F116" s="511"/>
      <c r="G116" s="511"/>
      <c r="H116" s="540"/>
      <c r="I116" s="540"/>
      <c r="J116" s="540"/>
      <c r="K116" s="541"/>
      <c r="L116" s="542"/>
      <c r="M116" s="543"/>
      <c r="N116" s="1064"/>
      <c r="O116" s="1064"/>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08"/>
      <c r="Q117" s="461"/>
    </row>
    <row r="118" spans="1:17" ht="15" thickTop="1">
      <c r="A118" s="556"/>
      <c r="B118" s="495" t="s">
        <v>2440</v>
      </c>
      <c r="C118" s="540"/>
      <c r="D118" s="540"/>
      <c r="E118" s="540"/>
      <c r="F118" s="540"/>
      <c r="G118" s="540"/>
      <c r="H118" s="540"/>
      <c r="I118" s="540"/>
      <c r="J118" s="540"/>
      <c r="K118" s="541"/>
      <c r="L118" s="542"/>
      <c r="M118" s="543"/>
      <c r="N118" s="1064"/>
      <c r="O118" s="1064"/>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08"/>
      <c r="Q119" s="461"/>
    </row>
    <row r="120" spans="1:17" s="430" customFormat="1" ht="28.5" thickTop="1">
      <c r="A120" s="550"/>
      <c r="B120" s="495" t="s">
        <v>2395</v>
      </c>
      <c r="C120" s="511"/>
      <c r="D120" s="511"/>
      <c r="E120" s="511"/>
      <c r="F120" s="511"/>
      <c r="G120" s="511"/>
      <c r="H120" s="511"/>
      <c r="I120" s="511"/>
      <c r="J120" s="511"/>
      <c r="K120" s="511"/>
      <c r="L120" s="537"/>
      <c r="M120" s="538"/>
      <c r="N120" s="1066"/>
      <c r="O120" s="1066"/>
      <c r="P120" s="210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09"/>
      <c r="Q121" s="516"/>
    </row>
    <row r="122" spans="1:17" ht="15" thickTop="1">
      <c r="A122" s="556"/>
      <c r="B122" s="495" t="s">
        <v>2441</v>
      </c>
      <c r="C122" s="511"/>
      <c r="D122" s="511"/>
      <c r="E122" s="511"/>
      <c r="F122" s="540"/>
      <c r="G122" s="540"/>
      <c r="H122" s="540"/>
      <c r="I122" s="540"/>
      <c r="J122" s="540"/>
      <c r="K122" s="541"/>
      <c r="L122" s="542"/>
      <c r="M122" s="543"/>
      <c r="N122" s="1064"/>
      <c r="O122" s="1064"/>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4"/>
      <c r="O124" s="1064"/>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0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0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09"/>
      <c r="Q127" s="516"/>
    </row>
    <row r="128" spans="1:17" ht="15" thickTop="1">
      <c r="A128" s="556"/>
      <c r="B128" s="495">
        <f>B45</f>
        <v>111</v>
      </c>
      <c r="C128" s="511"/>
      <c r="D128" s="511"/>
      <c r="E128" s="511"/>
      <c r="F128" s="511"/>
      <c r="G128" s="540"/>
      <c r="H128" s="540"/>
      <c r="I128" s="540"/>
      <c r="J128" s="540"/>
      <c r="K128" s="541"/>
      <c r="L128" s="542"/>
      <c r="M128" s="543"/>
      <c r="N128" s="1064"/>
      <c r="O128" s="1064"/>
      <c r="P128" s="2108"/>
      <c r="Q128" s="461"/>
    </row>
    <row r="129" spans="1:17" ht="15.75" thickBot="1">
      <c r="A129" s="491"/>
      <c r="B129" s="500"/>
      <c r="C129" s="517"/>
      <c r="D129" s="517"/>
      <c r="E129" s="517"/>
      <c r="F129" s="517"/>
      <c r="G129" s="493"/>
      <c r="H129" s="493"/>
      <c r="I129" s="493"/>
      <c r="J129" s="493"/>
      <c r="K129" s="493"/>
      <c r="L129" s="493"/>
      <c r="M129" s="494"/>
      <c r="N129" s="1065"/>
      <c r="O129" s="1065"/>
      <c r="P129" s="2108"/>
      <c r="Q129" s="461"/>
    </row>
    <row r="130" spans="1:17" ht="15" thickTop="1">
      <c r="A130" s="556"/>
      <c r="B130" s="503">
        <f>B46</f>
        <v>111</v>
      </c>
      <c r="C130" s="511"/>
      <c r="D130" s="511"/>
      <c r="E130" s="511"/>
      <c r="F130" s="511"/>
      <c r="G130" s="544"/>
      <c r="H130" s="544"/>
      <c r="I130" s="544"/>
      <c r="J130" s="544"/>
      <c r="K130" s="480"/>
      <c r="L130" s="481"/>
      <c r="M130" s="547"/>
      <c r="N130" s="1064"/>
      <c r="O130" s="1064"/>
      <c r="P130" s="2108"/>
      <c r="Q130" s="461"/>
    </row>
    <row r="131" spans="1:17" ht="15.75" thickBot="1">
      <c r="A131" s="2114"/>
      <c r="B131" s="526"/>
      <c r="C131" s="527"/>
      <c r="D131" s="527"/>
      <c r="E131" s="527"/>
      <c r="F131" s="527"/>
      <c r="G131" s="548"/>
      <c r="H131" s="548"/>
      <c r="I131" s="548"/>
      <c r="J131" s="548"/>
      <c r="K131" s="548"/>
      <c r="L131" s="548"/>
      <c r="M131" s="549"/>
      <c r="N131" s="1065"/>
      <c r="O131" s="1065"/>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8">
        <v>6</v>
      </c>
      <c r="C139" s="999">
        <v>96</v>
      </c>
      <c r="D139" s="2126" t="s">
        <v>2452</v>
      </c>
      <c r="E139" s="1000">
        <v>100</v>
      </c>
      <c r="F139" s="1001">
        <v>102.5</v>
      </c>
      <c r="G139" s="2126" t="s">
        <v>2452</v>
      </c>
      <c r="H139" s="1002">
        <v>105</v>
      </c>
      <c r="I139" s="2127" t="s">
        <v>2453</v>
      </c>
      <c r="J139" s="999">
        <v>20</v>
      </c>
      <c r="K139" s="1003">
        <f>C145/(J139-2)</f>
        <v>4.0555555555555553E-3</v>
      </c>
    </row>
    <row r="140" spans="1:17" ht="15">
      <c r="B140" s="1004">
        <v>5</v>
      </c>
      <c r="C140" s="1005">
        <v>100</v>
      </c>
      <c r="D140" s="1005"/>
      <c r="E140" s="1006"/>
      <c r="F140" s="1007">
        <v>102</v>
      </c>
      <c r="G140" s="1005"/>
      <c r="H140" s="1008"/>
      <c r="I140" s="2128" t="s">
        <v>2454</v>
      </c>
      <c r="J140" s="277">
        <f>ROUNDUP((J139-1)/2,0)</f>
        <v>10</v>
      </c>
      <c r="K140" s="1009">
        <v>100</v>
      </c>
    </row>
    <row r="141" spans="1:17" ht="15">
      <c r="B141" s="1004">
        <v>4</v>
      </c>
      <c r="C141" s="1005">
        <v>102</v>
      </c>
      <c r="D141" s="1005"/>
      <c r="E141" s="1006"/>
      <c r="F141" s="1007">
        <v>101.5</v>
      </c>
      <c r="G141" s="1005"/>
      <c r="H141" s="1008"/>
      <c r="I141" s="2128" t="s">
        <v>2455</v>
      </c>
      <c r="J141" s="277">
        <v>1</v>
      </c>
      <c r="K141" s="1010">
        <f>ROUND(100+(J141-J140)*K139*100,1)</f>
        <v>96.4</v>
      </c>
    </row>
    <row r="142" spans="1:17" ht="15">
      <c r="B142" s="1004">
        <v>3</v>
      </c>
      <c r="C142" s="1005">
        <v>103</v>
      </c>
      <c r="D142" s="1005"/>
      <c r="E142" s="1006"/>
      <c r="F142" s="1007">
        <v>101</v>
      </c>
      <c r="G142" s="1005"/>
      <c r="H142" s="1008"/>
      <c r="I142" s="2128" t="s">
        <v>2456</v>
      </c>
      <c r="J142" s="277">
        <f>J139</f>
        <v>20</v>
      </c>
      <c r="K142" s="1011">
        <v>95</v>
      </c>
    </row>
    <row r="143" spans="1:17" ht="15">
      <c r="B143" s="1004">
        <v>2</v>
      </c>
      <c r="C143" s="1005">
        <v>100</v>
      </c>
      <c r="D143" s="1005"/>
      <c r="E143" s="1006"/>
      <c r="F143" s="1007">
        <v>100.5</v>
      </c>
      <c r="G143" s="1005"/>
      <c r="H143" s="1008"/>
      <c r="I143" s="2128" t="s">
        <v>2457</v>
      </c>
      <c r="J143" s="1005">
        <v>15</v>
      </c>
      <c r="K143" s="1010">
        <f>ROUND(100+(J143-J140)*K139*100,1)</f>
        <v>102</v>
      </c>
    </row>
    <row r="144" spans="1:17" ht="15">
      <c r="B144" s="1004">
        <v>1</v>
      </c>
      <c r="C144" s="1005">
        <v>98</v>
      </c>
      <c r="D144" s="2129" t="s">
        <v>2458</v>
      </c>
      <c r="E144" s="1006">
        <v>102</v>
      </c>
      <c r="F144" s="1012">
        <v>100</v>
      </c>
      <c r="G144" s="2129" t="s">
        <v>2458</v>
      </c>
      <c r="H144" s="1008">
        <v>105</v>
      </c>
      <c r="I144" s="2128" t="s">
        <v>2457</v>
      </c>
      <c r="J144" s="1005">
        <v>18</v>
      </c>
      <c r="K144" s="1010">
        <f>ROUND(100+(J144-J140)*K139*100,1)</f>
        <v>103.2</v>
      </c>
    </row>
    <row r="145" spans="2:11" ht="15.75" thickBot="1">
      <c r="B145" s="2130" t="s">
        <v>2459</v>
      </c>
      <c r="C145" s="1013">
        <f>ROUND(MAX(C139:C144)/MIN(C139:C144)-1,3)</f>
        <v>7.2999999999999995E-2</v>
      </c>
      <c r="D145" s="1014"/>
      <c r="E145" s="1014"/>
      <c r="F145" s="2131" t="s">
        <v>2460</v>
      </c>
      <c r="G145" s="2132"/>
      <c r="H145" s="2133"/>
      <c r="I145" s="2134" t="s">
        <v>2457</v>
      </c>
      <c r="J145" s="1015">
        <v>8</v>
      </c>
      <c r="K145" s="1016">
        <f>ROUND(100+(J145-J140)*K139*100,1)</f>
        <v>99.2</v>
      </c>
    </row>
    <row r="147" spans="2:11">
      <c r="B147" s="2115" t="s">
        <v>2461</v>
      </c>
    </row>
    <row r="148" spans="2:11">
      <c r="B148" s="2115" t="s">
        <v>2462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73" priority="19" stopIfTrue="1" operator="containsText" text="超过">
      <formula>NOT(ISERROR(SEARCH("超过",F52)))</formula>
    </cfRule>
  </conditionalFormatting>
  <conditionalFormatting sqref="J54">
    <cfRule type="containsText" dxfId="172" priority="18" stopIfTrue="1" operator="containsText" text="超过">
      <formula>NOT(ISERROR(SEARCH("超过",J54)))</formula>
    </cfRule>
  </conditionalFormatting>
  <conditionalFormatting sqref="H54">
    <cfRule type="containsText" dxfId="171" priority="17" stopIfTrue="1" operator="containsText" text="超过">
      <formula>NOT(ISERROR(SEARCH("超过",H54)))</formula>
    </cfRule>
  </conditionalFormatting>
  <conditionalFormatting sqref="F54">
    <cfRule type="containsText" dxfId="170" priority="16" stopIfTrue="1" operator="containsText" text="超过">
      <formula>NOT(ISERROR(SEARCH("超过",F54)))</formula>
    </cfRule>
  </conditionalFormatting>
  <conditionalFormatting sqref="F53 H53 J53">
    <cfRule type="containsText" dxfId="169" priority="15" stopIfTrue="1" operator="containsText" text="超过">
      <formula>NOT(ISERROR(SEARCH("超过",F53)))</formula>
    </cfRule>
  </conditionalFormatting>
  <conditionalFormatting sqref="E52">
    <cfRule type="expression" dxfId="168" priority="14" stopIfTrue="1">
      <formula>$F$52="超过30%"</formula>
    </cfRule>
  </conditionalFormatting>
  <conditionalFormatting sqref="G54">
    <cfRule type="expression" dxfId="167" priority="12" stopIfTrue="1">
      <formula>$H$54="超过30%"</formula>
    </cfRule>
  </conditionalFormatting>
  <conditionalFormatting sqref="E53">
    <cfRule type="expression" dxfId="166" priority="11" stopIfTrue="1">
      <formula>$F$53="超过20%"</formula>
    </cfRule>
  </conditionalFormatting>
  <conditionalFormatting sqref="E54">
    <cfRule type="expression" dxfId="165" priority="10" stopIfTrue="1">
      <formula>$F$54="超过30%"</formula>
    </cfRule>
  </conditionalFormatting>
  <conditionalFormatting sqref="G52">
    <cfRule type="expression" dxfId="164" priority="9" stopIfTrue="1">
      <formula>$H$52="超过30%"</formula>
    </cfRule>
  </conditionalFormatting>
  <conditionalFormatting sqref="G53">
    <cfRule type="expression" dxfId="163" priority="8" stopIfTrue="1">
      <formula>$H$53="超过20%"</formula>
    </cfRule>
  </conditionalFormatting>
  <conditionalFormatting sqref="I52">
    <cfRule type="expression" dxfId="162" priority="7" stopIfTrue="1">
      <formula>$J$52="超过30%"</formula>
    </cfRule>
  </conditionalFormatting>
  <conditionalFormatting sqref="I53">
    <cfRule type="expression" dxfId="161" priority="6" stopIfTrue="1">
      <formula>$J$53="超过20%"</formula>
    </cfRule>
  </conditionalFormatting>
  <conditionalFormatting sqref="I54">
    <cfRule type="expression" dxfId="160" priority="5" stopIfTrue="1">
      <formula>$J$54="超过30%"</formula>
    </cfRule>
  </conditionalFormatting>
  <conditionalFormatting sqref="F48">
    <cfRule type="expression" dxfId="159" priority="4">
      <formula>$D$48="简单平均"</formula>
    </cfRule>
  </conditionalFormatting>
  <conditionalFormatting sqref="H48">
    <cfRule type="expression" dxfId="158" priority="3">
      <formula>$D$48="简单平均"</formula>
    </cfRule>
  </conditionalFormatting>
  <conditionalFormatting sqref="J48">
    <cfRule type="expression" dxfId="157" priority="2">
      <formula>$D$48="简单平均"</formula>
    </cfRule>
  </conditionalFormatting>
  <conditionalFormatting sqref="F7:F46 H7:H46 J7:J46">
    <cfRule type="cellIs" dxfId="156" priority="1" operator="notEqual">
      <formula>100</formula>
    </cfRule>
  </conditionalFormatting>
  <dataValidations count="24">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E20 I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D1" xr:uid="{00000000-0002-0000-1A00-000010000000}">
      <formula1>项目类型</formula1>
    </dataValidation>
    <dataValidation type="list" allowBlank="1" showInputMessage="1" showErrorMessage="1" sqref="C10 E10 G10 I10" xr:uid="{00000000-0002-0000-1A00-000011000000}">
      <formula1>土地年限区间</formula1>
    </dataValidation>
    <dataValidation type="list" allowBlank="1" showInputMessage="1" showErrorMessage="1" sqref="E9 G9 I9" xr:uid="{00000000-0002-0000-1A00-000012000000}">
      <formula1>住宅用途</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view="pageBreakPreview" zoomScale="60" zoomScaleNormal="70" workbookViewId="0">
      <selection activeCell="D30" activeCellId="1" sqref="H5 D30"/>
    </sheetView>
  </sheetViews>
  <sheetFormatPr defaultColWidth="9" defaultRowHeight="14.25"/>
  <cols>
    <col min="1" max="1" width="10.5" style="363" customWidth="1"/>
    <col min="2" max="2" width="15.625" style="363" customWidth="1"/>
    <col min="3" max="3" width="15.12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2102"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2349</v>
      </c>
      <c r="B1" s="2064" t="s">
        <v>2463</v>
      </c>
      <c r="C1" s="1406" t="s">
        <v>2351</v>
      </c>
      <c r="D1" s="1393"/>
      <c r="E1" s="2543"/>
      <c r="F1" s="2065"/>
      <c r="G1" s="1403" t="s">
        <v>2464</v>
      </c>
      <c r="H1" s="1402"/>
      <c r="I1" s="1402"/>
      <c r="J1" s="1402"/>
      <c r="K1" s="1404"/>
      <c r="L1" s="1405"/>
      <c r="M1" s="1406"/>
      <c r="N1" s="1406"/>
      <c r="O1" s="1406"/>
      <c r="P1" s="2135"/>
      <c r="Q1" s="2136"/>
      <c r="R1" s="2136"/>
      <c r="S1" s="2136"/>
      <c r="T1" s="2136"/>
      <c r="U1" s="2136"/>
      <c r="V1" s="2136"/>
      <c r="W1" s="2136"/>
      <c r="X1" s="2136"/>
      <c r="Y1" s="2136"/>
      <c r="Z1" s="2136"/>
      <c r="AA1" s="2136"/>
      <c r="AB1" s="2136"/>
      <c r="AC1" s="2137"/>
    </row>
    <row r="2" spans="1:29" s="358" customFormat="1" ht="28.5" customHeight="1" thickTop="1">
      <c r="A2" s="1389" t="s">
        <v>2148</v>
      </c>
      <c r="B2" s="1326" t="e">
        <f ca="1">IF(C2="——",ROUND(C49*D3/10000,0),ROUND(C49*D3/10000,0)-D2)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2138"/>
      <c r="Q2" s="1043"/>
      <c r="R2" s="1043"/>
      <c r="S2" s="1043"/>
      <c r="T2" s="1043"/>
      <c r="U2" s="1043"/>
      <c r="V2" s="1043"/>
      <c r="W2" s="1043"/>
      <c r="X2" s="1043"/>
      <c r="Y2" s="1043"/>
      <c r="Z2" s="1043"/>
      <c r="AA2" s="1043"/>
      <c r="AB2" s="1043"/>
      <c r="AC2" s="2139"/>
    </row>
    <row r="3" spans="1:29" s="358" customFormat="1" ht="28.5" customHeight="1" thickBot="1">
      <c r="A3" s="209" t="s">
        <v>2150</v>
      </c>
      <c r="B3" s="566" t="e">
        <f ca="1">IF(C2="——",C49,ROUND(B2*10000/D3,0))</f>
        <v>#DIV/0!</v>
      </c>
      <c r="C3" s="360" t="s">
        <v>2465</v>
      </c>
      <c r="D3" s="359">
        <f>IF(D1="",'数据-汇总表'!E3,SUMIF('数据-汇总表'!$C19:$C33,D1,'数据-汇总表'!$E19:$E33))</f>
        <v>198.07</v>
      </c>
      <c r="E3" s="2140"/>
      <c r="F3" s="1040"/>
      <c r="G3" s="1039"/>
      <c r="H3" s="1039"/>
      <c r="I3" s="1039"/>
      <c r="J3" s="1039"/>
      <c r="K3" s="1041"/>
      <c r="L3" s="2963"/>
      <c r="M3" s="2964"/>
      <c r="N3" s="2964"/>
      <c r="O3" s="2964"/>
      <c r="P3" s="2138"/>
      <c r="Q3" s="1043"/>
      <c r="R3" s="1043"/>
      <c r="S3" s="1043"/>
      <c r="T3" s="1043"/>
      <c r="U3" s="1043"/>
      <c r="V3" s="1043"/>
      <c r="W3" s="1043"/>
      <c r="X3" s="1043"/>
      <c r="Y3" s="1043"/>
      <c r="Z3" s="1043"/>
      <c r="AA3" s="1043"/>
      <c r="AB3" s="1043"/>
      <c r="AC3" s="2140"/>
    </row>
    <row r="4" spans="1:29" ht="15">
      <c r="A4" s="361" t="s">
        <v>2466</v>
      </c>
      <c r="B4" s="362"/>
      <c r="C4" s="3925" t="s">
        <v>2467</v>
      </c>
      <c r="D4" s="3926"/>
      <c r="E4" s="3927" t="s">
        <v>2468</v>
      </c>
      <c r="F4" s="3928"/>
      <c r="G4" s="3925" t="s">
        <v>2469</v>
      </c>
      <c r="H4" s="3926"/>
      <c r="I4" s="3925" t="s">
        <v>2470</v>
      </c>
      <c r="J4" s="3926"/>
      <c r="K4" s="567" t="s">
        <v>2471</v>
      </c>
      <c r="L4" s="2944"/>
      <c r="M4" s="2945"/>
      <c r="N4" s="2945"/>
      <c r="O4" s="2945"/>
      <c r="P4" s="3929" t="s">
        <v>2472</v>
      </c>
      <c r="Q4" s="3930"/>
      <c r="R4" s="3935" t="s">
        <v>2468</v>
      </c>
      <c r="S4" s="3936"/>
      <c r="T4" s="3935" t="s">
        <v>2469</v>
      </c>
      <c r="U4" s="3936"/>
      <c r="V4" s="3941" t="s">
        <v>2470</v>
      </c>
      <c r="W4" s="3941"/>
      <c r="X4" s="1539"/>
      <c r="Y4" s="3935" t="s">
        <v>2472</v>
      </c>
      <c r="Z4" s="3936"/>
      <c r="AA4" s="3922" t="s">
        <v>2468</v>
      </c>
      <c r="AB4" s="3941" t="s">
        <v>2469</v>
      </c>
      <c r="AC4" s="3922" t="s">
        <v>2470</v>
      </c>
    </row>
    <row r="5" spans="1:29" ht="15">
      <c r="A5" s="364"/>
      <c r="B5" s="365"/>
      <c r="C5" s="3944" t="s">
        <v>2363</v>
      </c>
      <c r="D5" s="3945"/>
      <c r="E5" s="3951" t="s">
        <v>2364</v>
      </c>
      <c r="F5" s="3952"/>
      <c r="G5" s="3944" t="s">
        <v>2365</v>
      </c>
      <c r="H5" s="3945"/>
      <c r="I5" s="3944" t="s">
        <v>2366</v>
      </c>
      <c r="J5" s="3945"/>
      <c r="K5" s="567"/>
      <c r="L5" s="2944"/>
      <c r="M5" s="2945"/>
      <c r="N5" s="2945"/>
      <c r="O5" s="2945"/>
      <c r="P5" s="3931"/>
      <c r="Q5" s="3932"/>
      <c r="R5" s="3937"/>
      <c r="S5" s="3938"/>
      <c r="T5" s="3937"/>
      <c r="U5" s="3938"/>
      <c r="V5" s="3941"/>
      <c r="W5" s="3941"/>
      <c r="X5" s="1539"/>
      <c r="Y5" s="3937"/>
      <c r="Z5" s="3938"/>
      <c r="AA5" s="3923"/>
      <c r="AB5" s="3941"/>
      <c r="AC5" s="3923"/>
    </row>
    <row r="6" spans="1:29" ht="15.75" thickBot="1">
      <c r="A6" s="366"/>
      <c r="B6" s="367"/>
      <c r="C6" s="3942" t="s">
        <v>2367</v>
      </c>
      <c r="D6" s="3943"/>
      <c r="E6" s="3949" t="s">
        <v>2367</v>
      </c>
      <c r="F6" s="3950"/>
      <c r="G6" s="3942" t="s">
        <v>2367</v>
      </c>
      <c r="H6" s="3943"/>
      <c r="I6" s="3942" t="s">
        <v>2367</v>
      </c>
      <c r="J6" s="3943"/>
      <c r="K6" s="567" t="s">
        <v>2368</v>
      </c>
      <c r="L6" s="2944"/>
      <c r="M6" s="2945"/>
      <c r="N6" s="2945"/>
      <c r="O6" s="2945"/>
      <c r="P6" s="3933"/>
      <c r="Q6" s="3934"/>
      <c r="R6" s="3937"/>
      <c r="S6" s="3938"/>
      <c r="T6" s="3939"/>
      <c r="U6" s="3940"/>
      <c r="V6" s="3941"/>
      <c r="W6" s="3941"/>
      <c r="X6" s="1539"/>
      <c r="Y6" s="3939"/>
      <c r="Z6" s="3940"/>
      <c r="AA6" s="3924"/>
      <c r="AB6" s="3941"/>
      <c r="AC6" s="3924"/>
    </row>
    <row r="7" spans="1:29" s="113" customFormat="1" ht="15.75" thickBot="1">
      <c r="A7" s="368" t="s">
        <v>2369</v>
      </c>
      <c r="B7" s="369"/>
      <c r="C7" s="370">
        <f>'数据-取费表'!B2</f>
        <v>44357</v>
      </c>
      <c r="D7" s="371">
        <v>100</v>
      </c>
      <c r="E7" s="372"/>
      <c r="F7" s="373">
        <f>SUMIF(58:58,YEAR(E7)&amp;"-"&amp;MONTH(E7),59:59)</f>
        <v>0</v>
      </c>
      <c r="G7" s="372"/>
      <c r="H7" s="371">
        <f>SUMIF(58:58,YEAR(G7)&amp;"-"&amp;MONTH(G7),59:59)</f>
        <v>0</v>
      </c>
      <c r="I7" s="372"/>
      <c r="J7" s="371">
        <f>SUMIF(58:58,YEAR(I7)&amp;"-"&amp;MONTH(I7),59:59)</f>
        <v>0</v>
      </c>
      <c r="K7" s="568"/>
      <c r="L7" s="2946"/>
      <c r="M7" s="2947"/>
      <c r="N7" s="2947"/>
      <c r="O7" s="2947"/>
      <c r="P7" s="3946" t="s">
        <v>2370</v>
      </c>
      <c r="Q7" s="3948"/>
      <c r="R7" s="710" t="s">
        <v>17</v>
      </c>
      <c r="S7" s="711">
        <f t="shared" ref="S7:S15" si="0">F7</f>
        <v>0</v>
      </c>
      <c r="T7" s="710" t="s">
        <v>17</v>
      </c>
      <c r="U7" s="711">
        <f t="shared" ref="U7:U15" si="1">H7</f>
        <v>0</v>
      </c>
      <c r="V7" s="710" t="s">
        <v>17</v>
      </c>
      <c r="W7" s="711">
        <f t="shared" ref="W7:W15" si="2">J7</f>
        <v>0</v>
      </c>
      <c r="X7" s="712"/>
      <c r="Y7" s="3946" t="s">
        <v>2370</v>
      </c>
      <c r="Z7" s="3947"/>
      <c r="AA7" s="713" t="e">
        <f>D7/F7</f>
        <v>#DIV/0!</v>
      </c>
      <c r="AB7" s="713" t="e">
        <f>D7/H7</f>
        <v>#DIV/0!</v>
      </c>
      <c r="AC7" s="713" t="e">
        <f>D7/J7</f>
        <v>#DIV/0!</v>
      </c>
    </row>
    <row r="8" spans="1:29" s="113" customFormat="1" ht="15.75" thickBot="1">
      <c r="A8" s="368" t="s">
        <v>2371</v>
      </c>
      <c r="B8" s="369"/>
      <c r="C8" s="374" t="s">
        <v>2473</v>
      </c>
      <c r="D8" s="371">
        <v>100</v>
      </c>
      <c r="E8" s="374"/>
      <c r="F8" s="373">
        <f>SUMIF(61:61,E8,62:62)-SUMIF(61:61,C8,62:62)+100</f>
        <v>0</v>
      </c>
      <c r="G8" s="374"/>
      <c r="H8" s="371">
        <f>SUMIF(61:61,G8,62:62)-SUMIF(61:61,C8,62:62)+100</f>
        <v>0</v>
      </c>
      <c r="I8" s="374"/>
      <c r="J8" s="371">
        <f>SUMIF(61:61,I8,62:62)-SUMIF(61:61,C8,62:62)+100</f>
        <v>0</v>
      </c>
      <c r="K8" s="568"/>
      <c r="L8" s="2946"/>
      <c r="M8" s="2947"/>
      <c r="N8" s="2947"/>
      <c r="O8" s="2947"/>
      <c r="P8" s="3946" t="s">
        <v>2373</v>
      </c>
      <c r="Q8" s="3947"/>
      <c r="R8" s="710" t="s">
        <v>17</v>
      </c>
      <c r="S8" s="711">
        <f t="shared" si="0"/>
        <v>0</v>
      </c>
      <c r="T8" s="710" t="s">
        <v>17</v>
      </c>
      <c r="U8" s="711">
        <f t="shared" si="1"/>
        <v>0</v>
      </c>
      <c r="V8" s="710" t="s">
        <v>17</v>
      </c>
      <c r="W8" s="711">
        <f t="shared" si="2"/>
        <v>0</v>
      </c>
      <c r="X8" s="712"/>
      <c r="Y8" s="3946" t="s">
        <v>2373</v>
      </c>
      <c r="Z8" s="3947"/>
      <c r="AA8" s="713" t="e">
        <f t="shared" ref="AA8:AA46" si="3">D8/F8</f>
        <v>#DIV/0!</v>
      </c>
      <c r="AB8" s="713" t="e">
        <f t="shared" ref="AB8:AB46" si="4">D8/H8</f>
        <v>#DIV/0!</v>
      </c>
      <c r="AC8" s="713" t="e">
        <f t="shared" ref="AC8:AC46" si="5">D8/J8</f>
        <v>#DIV/0!</v>
      </c>
    </row>
    <row r="9" spans="1:29" s="113" customFormat="1">
      <c r="A9" s="375" t="s">
        <v>2374</v>
      </c>
      <c r="B9" s="67" t="s">
        <v>2375</v>
      </c>
      <c r="C9" s="376"/>
      <c r="D9" s="131">
        <v>100</v>
      </c>
      <c r="E9" s="377"/>
      <c r="F9" s="378">
        <f>SUMIF(63:63,E9,64:64)-SUMIF(63:63,C9,64:64)+100</f>
        <v>100</v>
      </c>
      <c r="G9" s="377"/>
      <c r="H9" s="131">
        <f>SUMIF(63:63,G9,64:64)-SUMIF(63:63,C9,64:64)+100</f>
        <v>100</v>
      </c>
      <c r="I9" s="377"/>
      <c r="J9" s="131">
        <f>SUMIF(63:63,I9,64:64)-SUMIF(63:63,C9,64:64)+100</f>
        <v>100</v>
      </c>
      <c r="K9" s="568"/>
      <c r="L9" s="2946"/>
      <c r="M9" s="2947"/>
      <c r="N9" s="2947"/>
      <c r="O9" s="2947"/>
      <c r="P9" s="3921"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569"/>
      <c r="L10" s="2948"/>
      <c r="M10" s="2949"/>
      <c r="N10" s="2949"/>
      <c r="O10" s="2949"/>
      <c r="P10" s="3921"/>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0"/>
      <c r="M11" s="2945"/>
      <c r="N11" s="2945"/>
      <c r="O11" s="2945"/>
      <c r="P11" s="3921"/>
      <c r="Q11" s="1527" t="str">
        <f t="shared" si="6"/>
        <v>容积率</v>
      </c>
      <c r="R11" s="710" t="s">
        <v>17</v>
      </c>
      <c r="S11" s="711" t="e">
        <f t="shared" si="0"/>
        <v>#N/A</v>
      </c>
      <c r="T11" s="710" t="s">
        <v>17</v>
      </c>
      <c r="U11" s="711" t="e">
        <f t="shared" si="1"/>
        <v>#N/A</v>
      </c>
      <c r="V11" s="710" t="s">
        <v>17</v>
      </c>
      <c r="W11" s="711" t="e">
        <f t="shared" si="2"/>
        <v>#N/A</v>
      </c>
      <c r="X11" s="712"/>
      <c r="Y11" s="378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6"/>
      <c r="M12" s="2947"/>
      <c r="N12" s="2947"/>
      <c r="O12" s="2947"/>
      <c r="P12" s="3921"/>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51"/>
      <c r="M13" s="2945"/>
      <c r="N13" s="2945"/>
      <c r="O13" s="2945"/>
      <c r="P13" s="3921"/>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51"/>
      <c r="M14" s="2945"/>
      <c r="N14" s="2945"/>
      <c r="O14" s="2945"/>
      <c r="P14" s="3921"/>
      <c r="Q14" s="1527">
        <f t="shared" si="6"/>
        <v>111</v>
      </c>
      <c r="R14" s="710" t="s">
        <v>17</v>
      </c>
      <c r="S14" s="711">
        <f t="shared" si="0"/>
        <v>100</v>
      </c>
      <c r="T14" s="710" t="s">
        <v>17</v>
      </c>
      <c r="U14" s="711">
        <f t="shared" si="1"/>
        <v>100</v>
      </c>
      <c r="V14" s="710" t="s">
        <v>17</v>
      </c>
      <c r="W14" s="711">
        <f t="shared" si="2"/>
        <v>100</v>
      </c>
      <c r="X14" s="712"/>
      <c r="Y14" s="3780"/>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1"/>
      <c r="M15" s="2945"/>
      <c r="N15" s="2945"/>
      <c r="O15" s="2945"/>
      <c r="P15" s="3919" t="s">
        <v>2381</v>
      </c>
      <c r="Q15" s="1536" t="str">
        <f t="shared" si="6"/>
        <v>商业繁华度</v>
      </c>
      <c r="R15" s="714" t="s">
        <v>17</v>
      </c>
      <c r="S15" s="715">
        <f t="shared" si="0"/>
        <v>100</v>
      </c>
      <c r="T15" s="714" t="s">
        <v>17</v>
      </c>
      <c r="U15" s="715">
        <f t="shared" si="1"/>
        <v>100</v>
      </c>
      <c r="V15" s="714" t="s">
        <v>17</v>
      </c>
      <c r="W15" s="715">
        <f t="shared" si="2"/>
        <v>100</v>
      </c>
      <c r="X15" s="1539"/>
      <c r="Y15" s="3912" t="s">
        <v>2381</v>
      </c>
      <c r="Z15" s="1540" t="str">
        <f t="shared" si="7"/>
        <v>商业繁华度</v>
      </c>
      <c r="AA15" s="1537">
        <f t="shared" si="3"/>
        <v>1</v>
      </c>
      <c r="AB15" s="1537">
        <f t="shared" si="4"/>
        <v>1</v>
      </c>
      <c r="AC15" s="1537">
        <f t="shared" si="5"/>
        <v>1</v>
      </c>
    </row>
    <row r="16" spans="1:29" ht="15">
      <c r="A16" s="387"/>
      <c r="B16" s="405"/>
      <c r="C16" s="406"/>
      <c r="D16" s="407"/>
      <c r="E16" s="406"/>
      <c r="F16" s="408"/>
      <c r="G16" s="406"/>
      <c r="H16" s="409"/>
      <c r="I16" s="406"/>
      <c r="J16" s="407"/>
      <c r="K16" s="572"/>
      <c r="L16" s="2951"/>
      <c r="M16" s="2945"/>
      <c r="N16" s="2945"/>
      <c r="O16" s="2945"/>
      <c r="P16" s="3920"/>
      <c r="Q16" s="1536"/>
      <c r="R16" s="714"/>
      <c r="S16" s="715"/>
      <c r="T16" s="714"/>
      <c r="U16" s="715"/>
      <c r="V16" s="714"/>
      <c r="W16" s="715"/>
      <c r="X16" s="1539"/>
      <c r="Y16" s="3913"/>
      <c r="Z16" s="1540"/>
      <c r="AA16" s="1537">
        <v>1</v>
      </c>
      <c r="AB16" s="1537">
        <v>1</v>
      </c>
      <c r="AC16" s="1537">
        <v>1</v>
      </c>
    </row>
    <row r="17" spans="1:29" ht="85.5">
      <c r="A17" s="387"/>
      <c r="B17" s="410" t="s">
        <v>1945</v>
      </c>
      <c r="C17" s="208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1"/>
      <c r="M17" s="2945"/>
      <c r="N17" s="2945"/>
      <c r="O17" s="2945"/>
      <c r="P17" s="3920"/>
      <c r="Q17" s="1536" t="str">
        <f>B17</f>
        <v>交通便捷度</v>
      </c>
      <c r="R17" s="714" t="s">
        <v>17</v>
      </c>
      <c r="S17" s="715">
        <f>F17</f>
        <v>100</v>
      </c>
      <c r="T17" s="714" t="s">
        <v>17</v>
      </c>
      <c r="U17" s="715">
        <f>H17</f>
        <v>100</v>
      </c>
      <c r="V17" s="714" t="s">
        <v>17</v>
      </c>
      <c r="W17" s="715">
        <f>J17</f>
        <v>100</v>
      </c>
      <c r="X17" s="1539"/>
      <c r="Y17" s="3913"/>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2951"/>
      <c r="M18" s="2945"/>
      <c r="N18" s="2945"/>
      <c r="O18" s="2945"/>
      <c r="P18" s="3920"/>
      <c r="Q18" s="1536"/>
      <c r="R18" s="714"/>
      <c r="S18" s="715"/>
      <c r="T18" s="714"/>
      <c r="U18" s="715"/>
      <c r="V18" s="714"/>
      <c r="W18" s="715"/>
      <c r="X18" s="1539"/>
      <c r="Y18" s="3913"/>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1"/>
      <c r="M19" s="2945"/>
      <c r="N19" s="2945"/>
      <c r="O19" s="2945"/>
      <c r="P19" s="3920"/>
      <c r="Q19" s="1536" t="str">
        <f>B19</f>
        <v>公共配套设施</v>
      </c>
      <c r="R19" s="714" t="s">
        <v>17</v>
      </c>
      <c r="S19" s="715">
        <f>F19</f>
        <v>100</v>
      </c>
      <c r="T19" s="714" t="s">
        <v>17</v>
      </c>
      <c r="U19" s="715">
        <f>H19</f>
        <v>100</v>
      </c>
      <c r="V19" s="714" t="s">
        <v>17</v>
      </c>
      <c r="W19" s="715">
        <f>J19</f>
        <v>100</v>
      </c>
      <c r="X19" s="1539"/>
      <c r="Y19" s="3913"/>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2951"/>
      <c r="M20" s="2945"/>
      <c r="N20" s="2945"/>
      <c r="O20" s="2945"/>
      <c r="P20" s="3920"/>
      <c r="Q20" s="1536"/>
      <c r="R20" s="714"/>
      <c r="S20" s="715"/>
      <c r="T20" s="714"/>
      <c r="U20" s="715"/>
      <c r="V20" s="714"/>
      <c r="W20" s="715"/>
      <c r="X20" s="1539"/>
      <c r="Y20" s="3913"/>
      <c r="Z20" s="1540"/>
      <c r="AA20" s="1537">
        <v>1</v>
      </c>
      <c r="AB20" s="1537">
        <v>1</v>
      </c>
      <c r="AC20" s="1537">
        <v>1</v>
      </c>
    </row>
    <row r="21" spans="1:29" ht="28.5">
      <c r="A21" s="387"/>
      <c r="B21" s="1293"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1"/>
      <c r="M21" s="2945"/>
      <c r="N21" s="2945"/>
      <c r="O21" s="2945"/>
      <c r="P21" s="3920"/>
      <c r="Q21" s="1536" t="str">
        <f>B21</f>
        <v>基础设施水平</v>
      </c>
      <c r="R21" s="714" t="s">
        <v>17</v>
      </c>
      <c r="S21" s="715">
        <f>F21</f>
        <v>100</v>
      </c>
      <c r="T21" s="714" t="s">
        <v>17</v>
      </c>
      <c r="U21" s="715">
        <f>H21</f>
        <v>100</v>
      </c>
      <c r="V21" s="714" t="s">
        <v>17</v>
      </c>
      <c r="W21" s="715">
        <f>J21</f>
        <v>100</v>
      </c>
      <c r="X21" s="1539"/>
      <c r="Y21" s="3913"/>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2951"/>
      <c r="M22" s="2945"/>
      <c r="N22" s="2945"/>
      <c r="O22" s="2945"/>
      <c r="P22" s="3920"/>
      <c r="Q22" s="1536"/>
      <c r="R22" s="714"/>
      <c r="S22" s="715"/>
      <c r="T22" s="714"/>
      <c r="U22" s="715"/>
      <c r="V22" s="714"/>
      <c r="W22" s="715"/>
      <c r="X22" s="1539"/>
      <c r="Y22" s="3913"/>
      <c r="Z22" s="1540"/>
      <c r="AA22" s="1537">
        <v>1</v>
      </c>
      <c r="AB22" s="1537">
        <v>1</v>
      </c>
      <c r="AC22" s="1537">
        <v>1</v>
      </c>
    </row>
    <row r="23" spans="1:29" ht="57">
      <c r="A23" s="387"/>
      <c r="B23" s="410" t="s">
        <v>1947</v>
      </c>
      <c r="C23" s="214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1"/>
      <c r="M23" s="2945"/>
      <c r="N23" s="2945"/>
      <c r="O23" s="2945"/>
      <c r="P23" s="3920"/>
      <c r="Q23" s="1536" t="str">
        <f>B23</f>
        <v>自然及人文环境</v>
      </c>
      <c r="R23" s="714" t="s">
        <v>17</v>
      </c>
      <c r="S23" s="715">
        <f>F23</f>
        <v>100</v>
      </c>
      <c r="T23" s="714" t="s">
        <v>17</v>
      </c>
      <c r="U23" s="715">
        <f>H23</f>
        <v>100</v>
      </c>
      <c r="V23" s="714" t="s">
        <v>17</v>
      </c>
      <c r="W23" s="715">
        <f>J23</f>
        <v>100</v>
      </c>
      <c r="X23" s="1539"/>
      <c r="Y23" s="3913"/>
      <c r="Z23" s="1540" t="str">
        <f>Q23</f>
        <v>自然及人文环境</v>
      </c>
      <c r="AA23" s="1537">
        <f t="shared" si="3"/>
        <v>1</v>
      </c>
      <c r="AB23" s="1537">
        <f t="shared" si="4"/>
        <v>1</v>
      </c>
      <c r="AC23" s="1537">
        <f t="shared" si="5"/>
        <v>1</v>
      </c>
    </row>
    <row r="24" spans="1:29" ht="15">
      <c r="A24" s="387"/>
      <c r="B24" s="415"/>
      <c r="C24" s="406"/>
      <c r="D24" s="407"/>
      <c r="E24" s="2084"/>
      <c r="F24" s="408"/>
      <c r="G24" s="2083"/>
      <c r="H24" s="407"/>
      <c r="I24" s="2084"/>
      <c r="J24" s="407"/>
      <c r="K24" s="572"/>
      <c r="L24" s="2951"/>
      <c r="M24" s="2945"/>
      <c r="N24" s="2945"/>
      <c r="O24" s="2945"/>
      <c r="P24" s="3920"/>
      <c r="Q24" s="1536"/>
      <c r="R24" s="714"/>
      <c r="S24" s="715"/>
      <c r="T24" s="714"/>
      <c r="U24" s="715"/>
      <c r="V24" s="714"/>
      <c r="W24" s="715"/>
      <c r="X24" s="1539"/>
      <c r="Y24" s="3913"/>
      <c r="Z24" s="1540"/>
      <c r="AA24" s="1537">
        <v>1</v>
      </c>
      <c r="AB24" s="1537">
        <v>1</v>
      </c>
      <c r="AC24" s="1537">
        <v>1</v>
      </c>
    </row>
    <row r="25" spans="1:29" ht="15">
      <c r="A25" s="387"/>
      <c r="B25" s="381" t="s">
        <v>2477</v>
      </c>
      <c r="C25" s="573"/>
      <c r="D25" s="394">
        <v>100</v>
      </c>
      <c r="E25" s="573"/>
      <c r="F25" s="420">
        <f>SUMIF(86:86,E25,87:87)-SUMIF(86:86,C25,87:87)+100</f>
        <v>100</v>
      </c>
      <c r="G25" s="573"/>
      <c r="H25" s="394">
        <f>SUMIF(86:86,G25,87:87)-SUMIF(86:86,C25,87:87)+100</f>
        <v>100</v>
      </c>
      <c r="I25" s="573"/>
      <c r="J25" s="394">
        <f>SUMIF(86:86,I25,87:87)-SUMIF(86:86,C25,87:87)+100</f>
        <v>100</v>
      </c>
      <c r="K25" s="569"/>
      <c r="L25" s="2951"/>
      <c r="M25" s="2945"/>
      <c r="N25" s="2945"/>
      <c r="O25" s="2945"/>
      <c r="P25" s="3920"/>
      <c r="Q25" s="1536" t="str">
        <f t="shared" ref="Q25:Q46" si="11">B25</f>
        <v>临街状况</v>
      </c>
      <c r="R25" s="714" t="s">
        <v>17</v>
      </c>
      <c r="S25" s="715">
        <f>F25</f>
        <v>100</v>
      </c>
      <c r="T25" s="714" t="s">
        <v>17</v>
      </c>
      <c r="U25" s="715">
        <f>H25</f>
        <v>100</v>
      </c>
      <c r="V25" s="714" t="s">
        <v>17</v>
      </c>
      <c r="W25" s="715">
        <f>J25</f>
        <v>100</v>
      </c>
      <c r="X25" s="1539"/>
      <c r="Y25" s="3913"/>
      <c r="Z25" s="1540" t="str">
        <f>Q25</f>
        <v>临街状况</v>
      </c>
      <c r="AA25" s="1537">
        <f t="shared" si="3"/>
        <v>1</v>
      </c>
      <c r="AB25" s="1537">
        <f t="shared" si="4"/>
        <v>1</v>
      </c>
      <c r="AC25" s="1537">
        <f t="shared" si="5"/>
        <v>1</v>
      </c>
    </row>
    <row r="26" spans="1:29" ht="15">
      <c r="A26" s="387"/>
      <c r="B26" s="1295" t="s">
        <v>2478</v>
      </c>
      <c r="C26" s="393"/>
      <c r="D26" s="394">
        <v>100</v>
      </c>
      <c r="E26" s="393"/>
      <c r="F26" s="420">
        <f>SUMIF(88:88,E26,89:89)-SUMIF(88:88,C26,89:89)+100</f>
        <v>100</v>
      </c>
      <c r="G26" s="393"/>
      <c r="H26" s="394">
        <f>SUMIF(88:88,G26,89:89)-SUMIF(88:88,C26,89:89)+100</f>
        <v>100</v>
      </c>
      <c r="I26" s="393"/>
      <c r="J26" s="394">
        <f>SUMIF(88:88,I26,89:89)-SUMIF(88:88,C26,89:89)+100</f>
        <v>100</v>
      </c>
      <c r="K26" s="570"/>
      <c r="L26" s="2951"/>
      <c r="M26" s="2945"/>
      <c r="N26" s="2945"/>
      <c r="O26" s="2945"/>
      <c r="P26" s="3920"/>
      <c r="Q26" s="1536" t="str">
        <f t="shared" si="11"/>
        <v>平面位置/可视性</v>
      </c>
      <c r="R26" s="714" t="s">
        <v>17</v>
      </c>
      <c r="S26" s="715">
        <f>F26</f>
        <v>100</v>
      </c>
      <c r="T26" s="714" t="s">
        <v>17</v>
      </c>
      <c r="U26" s="715">
        <f>H26</f>
        <v>100</v>
      </c>
      <c r="V26" s="714" t="s">
        <v>17</v>
      </c>
      <c r="W26" s="715">
        <f>J26</f>
        <v>100</v>
      </c>
      <c r="X26" s="1539"/>
      <c r="Y26" s="3913"/>
      <c r="Z26" s="1540" t="str">
        <f>Q26</f>
        <v>平面位置/可视性</v>
      </c>
      <c r="AA26" s="1537">
        <f t="shared" si="3"/>
        <v>1</v>
      </c>
      <c r="AB26" s="1537">
        <f t="shared" si="4"/>
        <v>1</v>
      </c>
      <c r="AC26" s="1537">
        <f t="shared" si="5"/>
        <v>1</v>
      </c>
    </row>
    <row r="27" spans="1:29" s="113" customFormat="1" ht="15">
      <c r="A27" s="390"/>
      <c r="B27" s="410" t="s">
        <v>2479</v>
      </c>
      <c r="C27" s="2142"/>
      <c r="D27" s="421">
        <v>100</v>
      </c>
      <c r="E27" s="2142"/>
      <c r="F27" s="423">
        <f>SUMIF(90:90,E27,91:91)-SUMIF(90:90,C27,91:91)+100</f>
        <v>100</v>
      </c>
      <c r="G27" s="2142"/>
      <c r="H27" s="421">
        <f>SUMIF(90:90,G27,91:91)-SUMIF(90:90,C27,91:91)+100</f>
        <v>100</v>
      </c>
      <c r="I27" s="2142"/>
      <c r="J27" s="421">
        <f>SUMIF(90:90,I27,91:91)-SUMIF(90:90,C27,91:91)+100</f>
        <v>100</v>
      </c>
      <c r="K27" s="569"/>
      <c r="L27" s="2946"/>
      <c r="M27" s="2947"/>
      <c r="N27" s="2947"/>
      <c r="O27" s="2947"/>
      <c r="P27" s="3920"/>
      <c r="Q27" s="1527" t="str">
        <f t="shared" si="11"/>
        <v>人流量</v>
      </c>
      <c r="R27" s="710" t="s">
        <v>17</v>
      </c>
      <c r="S27" s="711">
        <f>F27</f>
        <v>100</v>
      </c>
      <c r="T27" s="710" t="s">
        <v>17</v>
      </c>
      <c r="U27" s="711">
        <f>H27</f>
        <v>100</v>
      </c>
      <c r="V27" s="710" t="s">
        <v>17</v>
      </c>
      <c r="W27" s="711">
        <f>J27</f>
        <v>100</v>
      </c>
      <c r="X27" s="712"/>
      <c r="Y27" s="3913"/>
      <c r="Z27" s="55" t="str">
        <f>Q27</f>
        <v>人流量</v>
      </c>
      <c r="AA27" s="1537">
        <f>D27/F27</f>
        <v>1</v>
      </c>
      <c r="AB27" s="1537">
        <f>D27/H27</f>
        <v>1</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51"/>
      <c r="M28" s="2945"/>
      <c r="N28" s="2945"/>
      <c r="O28" s="2945"/>
      <c r="P28" s="3920"/>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913"/>
      <c r="Z28" s="1540" t="str">
        <f t="shared" ref="Z28:Z46" si="15">Q28</f>
        <v>楼层</v>
      </c>
      <c r="AA28" s="1537">
        <f t="shared" si="3"/>
        <v>1</v>
      </c>
      <c r="AB28" s="1537">
        <f t="shared" si="4"/>
        <v>1</v>
      </c>
      <c r="AC28" s="1537">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1"/>
      <c r="M29" s="2945"/>
      <c r="N29" s="2945"/>
      <c r="O29" s="2945"/>
      <c r="P29" s="3920"/>
      <c r="Q29" s="1536">
        <f t="shared" si="11"/>
        <v>111</v>
      </c>
      <c r="R29" s="714" t="s">
        <v>17</v>
      </c>
      <c r="S29" s="715">
        <f t="shared" si="12"/>
        <v>100</v>
      </c>
      <c r="T29" s="714" t="s">
        <v>17</v>
      </c>
      <c r="U29" s="715">
        <f t="shared" si="13"/>
        <v>100</v>
      </c>
      <c r="V29" s="714" t="s">
        <v>17</v>
      </c>
      <c r="W29" s="715">
        <f t="shared" si="14"/>
        <v>100</v>
      </c>
      <c r="X29" s="1539"/>
      <c r="Y29" s="3913"/>
      <c r="Z29" s="1540">
        <f t="shared" si="15"/>
        <v>111</v>
      </c>
      <c r="AA29" s="1537">
        <f t="shared" si="3"/>
        <v>1</v>
      </c>
      <c r="AB29" s="1537">
        <f t="shared" si="4"/>
        <v>1</v>
      </c>
      <c r="AC29" s="1537">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1"/>
      <c r="M30" s="2945"/>
      <c r="N30" s="2945"/>
      <c r="O30" s="2945"/>
      <c r="P30" s="3920"/>
      <c r="Q30" s="1536">
        <f t="shared" si="11"/>
        <v>111</v>
      </c>
      <c r="R30" s="714" t="s">
        <v>17</v>
      </c>
      <c r="S30" s="715">
        <f t="shared" si="12"/>
        <v>100</v>
      </c>
      <c r="T30" s="714" t="s">
        <v>17</v>
      </c>
      <c r="U30" s="715">
        <f t="shared" si="13"/>
        <v>100</v>
      </c>
      <c r="V30" s="714" t="s">
        <v>17</v>
      </c>
      <c r="W30" s="715">
        <f t="shared" si="14"/>
        <v>100</v>
      </c>
      <c r="X30" s="1539"/>
      <c r="Y30" s="3913"/>
      <c r="Z30" s="1540">
        <f t="shared" si="15"/>
        <v>111</v>
      </c>
      <c r="AA30" s="1537">
        <f t="shared" si="3"/>
        <v>1</v>
      </c>
      <c r="AB30" s="1537">
        <f t="shared" si="4"/>
        <v>1</v>
      </c>
      <c r="AC30" s="1537">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1"/>
      <c r="M31" s="2945"/>
      <c r="N31" s="2945"/>
      <c r="O31" s="2945"/>
      <c r="P31" s="3920"/>
      <c r="Q31" s="1536">
        <f t="shared" si="11"/>
        <v>111</v>
      </c>
      <c r="R31" s="714" t="s">
        <v>17</v>
      </c>
      <c r="S31" s="715">
        <f t="shared" si="12"/>
        <v>100</v>
      </c>
      <c r="T31" s="714" t="s">
        <v>17</v>
      </c>
      <c r="U31" s="715">
        <f t="shared" si="13"/>
        <v>100</v>
      </c>
      <c r="V31" s="714" t="s">
        <v>17</v>
      </c>
      <c r="W31" s="715">
        <f t="shared" si="14"/>
        <v>100</v>
      </c>
      <c r="X31" s="1539"/>
      <c r="Y31" s="3913"/>
      <c r="Z31" s="1540">
        <f t="shared" si="15"/>
        <v>111</v>
      </c>
      <c r="AA31" s="1537">
        <f t="shared" si="3"/>
        <v>1</v>
      </c>
      <c r="AB31" s="1537">
        <f t="shared" si="4"/>
        <v>1</v>
      </c>
      <c r="AC31" s="1537">
        <f t="shared" si="5"/>
        <v>1</v>
      </c>
    </row>
    <row r="32" spans="1:29" ht="15">
      <c r="A32" s="399" t="s">
        <v>2384</v>
      </c>
      <c r="B32" s="67" t="s">
        <v>2481</v>
      </c>
      <c r="C32" s="2096"/>
      <c r="D32" s="426">
        <v>100</v>
      </c>
      <c r="E32" s="2096"/>
      <c r="F32" s="420">
        <f>SUMIF(100:100,E32,101:101)-SUMIF(100:100,C32,101:101)+100</f>
        <v>100</v>
      </c>
      <c r="G32" s="2096"/>
      <c r="H32" s="394">
        <f>SUMIF(100:100,G32,101:101)-SUMIF(100:100,C32,101:101)+100</f>
        <v>100</v>
      </c>
      <c r="I32" s="2096"/>
      <c r="J32" s="426">
        <f>SUMIF(100:100,I32,101:101)-SUMIF(100:100,C32,101:101)+100</f>
        <v>100</v>
      </c>
      <c r="K32" s="569"/>
      <c r="L32" s="2951"/>
      <c r="M32" s="2945"/>
      <c r="N32" s="2945"/>
      <c r="O32" s="2945"/>
      <c r="P32" s="3914" t="s">
        <v>2386</v>
      </c>
      <c r="Q32" s="1536" t="str">
        <f t="shared" si="11"/>
        <v>商业类型</v>
      </c>
      <c r="R32" s="714" t="s">
        <v>17</v>
      </c>
      <c r="S32" s="715">
        <f t="shared" si="12"/>
        <v>100</v>
      </c>
      <c r="T32" s="714" t="s">
        <v>17</v>
      </c>
      <c r="U32" s="715">
        <f t="shared" si="13"/>
        <v>100</v>
      </c>
      <c r="V32" s="714" t="s">
        <v>17</v>
      </c>
      <c r="W32" s="715">
        <f t="shared" si="14"/>
        <v>100</v>
      </c>
      <c r="X32" s="1539"/>
      <c r="Y32" s="3917" t="s">
        <v>2386</v>
      </c>
      <c r="Z32" s="1540" t="str">
        <f t="shared" si="15"/>
        <v>商业类型</v>
      </c>
      <c r="AA32" s="1537">
        <f t="shared" si="3"/>
        <v>1</v>
      </c>
      <c r="AB32" s="1537">
        <f t="shared" si="4"/>
        <v>1</v>
      </c>
      <c r="AC32" s="1537">
        <f t="shared" si="5"/>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0"/>
      <c r="M33" s="2952"/>
      <c r="N33" s="2952"/>
      <c r="O33" s="2952"/>
      <c r="P33" s="3915"/>
      <c r="Q33" s="716" t="str">
        <f t="shared" si="11"/>
        <v>项目建筑规模</v>
      </c>
      <c r="R33" s="717" t="s">
        <v>17</v>
      </c>
      <c r="S33" s="718" t="e">
        <f t="shared" si="12"/>
        <v>#N/A</v>
      </c>
      <c r="T33" s="717" t="s">
        <v>17</v>
      </c>
      <c r="U33" s="718" t="e">
        <f t="shared" si="13"/>
        <v>#N/A</v>
      </c>
      <c r="V33" s="717" t="s">
        <v>17</v>
      </c>
      <c r="W33" s="718" t="e">
        <f t="shared" si="14"/>
        <v>#N/A</v>
      </c>
      <c r="X33" s="719"/>
      <c r="Y33" s="3917"/>
      <c r="Z33" s="720" t="str">
        <f t="shared" si="15"/>
        <v>项目建筑规模</v>
      </c>
      <c r="AA33" s="1537" t="e">
        <f t="shared" si="3"/>
        <v>#N/A</v>
      </c>
      <c r="AB33" s="1537" t="e">
        <f t="shared" si="4"/>
        <v>#N/A</v>
      </c>
      <c r="AC33" s="1537" t="e">
        <f t="shared" si="5"/>
        <v>#N/A</v>
      </c>
    </row>
    <row r="34" spans="1:29" ht="15">
      <c r="A34" s="431"/>
      <c r="B34" s="381" t="s">
        <v>2388</v>
      </c>
      <c r="C34" s="2098"/>
      <c r="D34" s="394">
        <v>100</v>
      </c>
      <c r="E34" s="2098"/>
      <c r="F34" s="420">
        <f>SUMIF(105:105,E34,106:106)-SUMIF(105:105,C34,106:106)+100</f>
        <v>100</v>
      </c>
      <c r="G34" s="2098"/>
      <c r="H34" s="394">
        <f>SUMIF(105:105,G34,106:106)-SUMIF(105:105,C34,106:106)+100</f>
        <v>100</v>
      </c>
      <c r="I34" s="2098"/>
      <c r="J34" s="394">
        <f>SUMIF(105:105,I34,106:106)-SUMIF(105:105,C34,106:106)+100</f>
        <v>100</v>
      </c>
      <c r="K34" s="569"/>
      <c r="L34" s="2951"/>
      <c r="M34" s="2945"/>
      <c r="N34" s="2945"/>
      <c r="O34" s="2945"/>
      <c r="P34" s="3915"/>
      <c r="Q34" s="1536" t="str">
        <f t="shared" si="11"/>
        <v>建筑结构</v>
      </c>
      <c r="R34" s="714" t="s">
        <v>17</v>
      </c>
      <c r="S34" s="715">
        <f t="shared" si="12"/>
        <v>100</v>
      </c>
      <c r="T34" s="714" t="s">
        <v>17</v>
      </c>
      <c r="U34" s="715">
        <f t="shared" si="13"/>
        <v>100</v>
      </c>
      <c r="V34" s="714" t="s">
        <v>17</v>
      </c>
      <c r="W34" s="715">
        <f t="shared" si="14"/>
        <v>100</v>
      </c>
      <c r="X34" s="1539"/>
      <c r="Y34" s="3917"/>
      <c r="Z34" s="1540" t="str">
        <f t="shared" si="15"/>
        <v>建筑结构</v>
      </c>
      <c r="AA34" s="1537">
        <f t="shared" si="3"/>
        <v>1</v>
      </c>
      <c r="AB34" s="1537">
        <f t="shared" si="4"/>
        <v>1</v>
      </c>
      <c r="AC34" s="1537">
        <f t="shared" si="5"/>
        <v>1</v>
      </c>
    </row>
    <row r="35" spans="1:29" ht="15">
      <c r="A35" s="431"/>
      <c r="B35" s="381" t="s">
        <v>2482</v>
      </c>
      <c r="C35" s="2092"/>
      <c r="D35" s="394">
        <v>100</v>
      </c>
      <c r="E35" s="2092"/>
      <c r="F35" s="420">
        <f>SUMIF(107:107,E35,108:108)-SUMIF(107:107,C35,108:108)+100</f>
        <v>100</v>
      </c>
      <c r="G35" s="2092"/>
      <c r="H35" s="394">
        <f>SUMIF(107:107,G35,108:108)-SUMIF(107:107,C35,108:108)+100</f>
        <v>100</v>
      </c>
      <c r="I35" s="2092"/>
      <c r="J35" s="394">
        <f>SUMIF(107:107,I35,108:108)-SUMIF(107:107,C35,108:108)+100</f>
        <v>100</v>
      </c>
      <c r="K35" s="569"/>
      <c r="L35" s="2951"/>
      <c r="M35" s="2945"/>
      <c r="N35" s="2945"/>
      <c r="O35" s="2945"/>
      <c r="P35" s="3915"/>
      <c r="Q35" s="1536" t="str">
        <f t="shared" si="11"/>
        <v>公共部分装修</v>
      </c>
      <c r="R35" s="714" t="s">
        <v>17</v>
      </c>
      <c r="S35" s="715">
        <f t="shared" si="12"/>
        <v>100</v>
      </c>
      <c r="T35" s="714" t="s">
        <v>17</v>
      </c>
      <c r="U35" s="715">
        <f t="shared" si="13"/>
        <v>100</v>
      </c>
      <c r="V35" s="714" t="s">
        <v>17</v>
      </c>
      <c r="W35" s="715">
        <f t="shared" si="14"/>
        <v>100</v>
      </c>
      <c r="X35" s="1539"/>
      <c r="Y35" s="3917"/>
      <c r="Z35" s="1540" t="str">
        <f t="shared" si="15"/>
        <v>公共部分装修</v>
      </c>
      <c r="AA35" s="1537">
        <f t="shared" si="3"/>
        <v>1</v>
      </c>
      <c r="AB35" s="1537">
        <f t="shared" si="4"/>
        <v>1</v>
      </c>
      <c r="AC35" s="1537">
        <f t="shared" si="5"/>
        <v>1</v>
      </c>
    </row>
    <row r="36" spans="1:29" ht="15">
      <c r="A36" s="431"/>
      <c r="B36" s="381" t="s">
        <v>2483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1"/>
      <c r="M36" s="2945"/>
      <c r="N36" s="2945"/>
      <c r="O36" s="2945"/>
      <c r="P36" s="3915"/>
      <c r="Q36" s="1536" t="str">
        <f t="shared" si="11"/>
        <v>成新度</v>
      </c>
      <c r="R36" s="714" t="s">
        <v>17</v>
      </c>
      <c r="S36" s="715" t="e">
        <f t="shared" si="12"/>
        <v>#N/A</v>
      </c>
      <c r="T36" s="714" t="s">
        <v>17</v>
      </c>
      <c r="U36" s="715" t="e">
        <f t="shared" si="13"/>
        <v>#N/A</v>
      </c>
      <c r="V36" s="714" t="s">
        <v>17</v>
      </c>
      <c r="W36" s="715" t="e">
        <f t="shared" si="14"/>
        <v>#N/A</v>
      </c>
      <c r="X36" s="1539"/>
      <c r="Y36" s="3917"/>
      <c r="Z36" s="1540" t="str">
        <f t="shared" si="15"/>
        <v>成新度</v>
      </c>
      <c r="AA36" s="1537" t="e">
        <f t="shared" si="3"/>
        <v>#N/A</v>
      </c>
      <c r="AB36" s="1537" t="e">
        <f t="shared" si="4"/>
        <v>#N/A</v>
      </c>
      <c r="AC36" s="1537" t="e">
        <f t="shared" si="5"/>
        <v>#N/A</v>
      </c>
    </row>
    <row r="37" spans="1:29" s="113" customFormat="1" ht="15">
      <c r="A37" s="432"/>
      <c r="B37" s="381" t="s">
        <v>2484</v>
      </c>
      <c r="C37" s="2092"/>
      <c r="D37" s="132">
        <v>100</v>
      </c>
      <c r="E37" s="2092"/>
      <c r="F37" s="420">
        <f>SUMIF(112:112,E37,113:113)-SUMIF(112:112,C37,113:113)+100</f>
        <v>100</v>
      </c>
      <c r="G37" s="2092"/>
      <c r="H37" s="394">
        <f>SUMIF(112:112,G37,113:113)-SUMIF(112:112,C37,113:113)+100</f>
        <v>100</v>
      </c>
      <c r="I37" s="2092"/>
      <c r="J37" s="394">
        <f>SUMIF(112:112,I37,113:113)-SUMIF(112:112,C37,113:113)+100</f>
        <v>100</v>
      </c>
      <c r="K37" s="569"/>
      <c r="L37" s="2946"/>
      <c r="M37" s="2947"/>
      <c r="N37" s="2947"/>
      <c r="O37" s="2947"/>
      <c r="P37" s="3915"/>
      <c r="Q37" s="1527" t="str">
        <f t="shared" si="11"/>
        <v>市政基础设施</v>
      </c>
      <c r="R37" s="710" t="s">
        <v>17</v>
      </c>
      <c r="S37" s="711">
        <f t="shared" si="12"/>
        <v>100</v>
      </c>
      <c r="T37" s="710" t="s">
        <v>17</v>
      </c>
      <c r="U37" s="711">
        <f t="shared" si="13"/>
        <v>100</v>
      </c>
      <c r="V37" s="710" t="s">
        <v>17</v>
      </c>
      <c r="W37" s="711">
        <f t="shared" si="14"/>
        <v>100</v>
      </c>
      <c r="X37" s="712"/>
      <c r="Y37" s="3917"/>
      <c r="Z37" s="55" t="str">
        <f t="shared" si="15"/>
        <v>市政基础设施</v>
      </c>
      <c r="AA37" s="713">
        <f t="shared" si="3"/>
        <v>1</v>
      </c>
      <c r="AB37" s="713">
        <f t="shared" si="4"/>
        <v>1</v>
      </c>
      <c r="AC37" s="713">
        <f t="shared" si="5"/>
        <v>1</v>
      </c>
    </row>
    <row r="38" spans="1:29" ht="15">
      <c r="A38" s="431"/>
      <c r="B38" s="381" t="s">
        <v>2485</v>
      </c>
      <c r="C38" s="2092"/>
      <c r="D38" s="394">
        <v>100</v>
      </c>
      <c r="E38" s="2092"/>
      <c r="F38" s="420">
        <f>SUMIF(114:114,E38,115:115)-SUMIF(114:114,C38,115:115)+100</f>
        <v>100</v>
      </c>
      <c r="G38" s="2092"/>
      <c r="H38" s="394">
        <f>SUMIF(114:114,G38,115:115)-SUMIF(114:114,C38,115:115)+100</f>
        <v>100</v>
      </c>
      <c r="I38" s="2092"/>
      <c r="J38" s="394">
        <f>SUMIF(114:114,I38,115:115)-SUMIF(114:114,C38,115:115)+100</f>
        <v>100</v>
      </c>
      <c r="K38" s="569"/>
      <c r="L38" s="2951"/>
      <c r="M38" s="2945"/>
      <c r="N38" s="2945"/>
      <c r="O38" s="2945"/>
      <c r="P38" s="3915" t="s">
        <v>2386</v>
      </c>
      <c r="Q38" s="1536" t="str">
        <f t="shared" si="11"/>
        <v>业态</v>
      </c>
      <c r="R38" s="714" t="s">
        <v>17</v>
      </c>
      <c r="S38" s="715">
        <f t="shared" si="12"/>
        <v>100</v>
      </c>
      <c r="T38" s="714" t="s">
        <v>17</v>
      </c>
      <c r="U38" s="715">
        <f t="shared" si="13"/>
        <v>100</v>
      </c>
      <c r="V38" s="714" t="s">
        <v>17</v>
      </c>
      <c r="W38" s="715">
        <f t="shared" si="14"/>
        <v>100</v>
      </c>
      <c r="X38" s="1539"/>
      <c r="Y38" s="3917" t="s">
        <v>2386</v>
      </c>
      <c r="Z38" s="1540" t="str">
        <f t="shared" si="15"/>
        <v>业态</v>
      </c>
      <c r="AA38" s="1537">
        <f t="shared" si="3"/>
        <v>1</v>
      </c>
      <c r="AB38" s="1537">
        <f t="shared" si="4"/>
        <v>1</v>
      </c>
      <c r="AC38" s="1537">
        <f t="shared" si="5"/>
        <v>1</v>
      </c>
    </row>
    <row r="39" spans="1:29" ht="15">
      <c r="A39" s="431"/>
      <c r="B39" s="381" t="s">
        <v>2486</v>
      </c>
      <c r="C39" s="2092"/>
      <c r="D39" s="394">
        <v>100</v>
      </c>
      <c r="E39" s="2092"/>
      <c r="F39" s="420">
        <f>SUMIF(116:116,E39,117:117)-SUMIF(116:116,C39,117:117)+100</f>
        <v>100</v>
      </c>
      <c r="G39" s="2092"/>
      <c r="H39" s="394">
        <f>SUMIF(116:116,G39,117:117)-SUMIF(116:116,C39,117:117)+100</f>
        <v>100</v>
      </c>
      <c r="I39" s="2092"/>
      <c r="J39" s="394">
        <f>SUMIF(116:116,I39,117:117)-SUMIF(116:116,C39,117:117)+100</f>
        <v>100</v>
      </c>
      <c r="K39" s="569"/>
      <c r="L39" s="2951"/>
      <c r="M39" s="2945"/>
      <c r="N39" s="2945"/>
      <c r="O39" s="2945"/>
      <c r="P39" s="3915"/>
      <c r="Q39" s="1536" t="str">
        <f t="shared" si="11"/>
        <v>层高</v>
      </c>
      <c r="R39" s="714" t="s">
        <v>17</v>
      </c>
      <c r="S39" s="715">
        <f t="shared" si="12"/>
        <v>100</v>
      </c>
      <c r="T39" s="714" t="s">
        <v>17</v>
      </c>
      <c r="U39" s="715">
        <f t="shared" si="13"/>
        <v>100</v>
      </c>
      <c r="V39" s="714" t="s">
        <v>17</v>
      </c>
      <c r="W39" s="715">
        <f t="shared" si="14"/>
        <v>100</v>
      </c>
      <c r="X39" s="1539"/>
      <c r="Y39" s="3917"/>
      <c r="Z39" s="1540" t="str">
        <f t="shared" si="15"/>
        <v>层高</v>
      </c>
      <c r="AA39" s="1537">
        <f t="shared" si="3"/>
        <v>1</v>
      </c>
      <c r="AB39" s="1537">
        <f t="shared" si="4"/>
        <v>1</v>
      </c>
      <c r="AC39" s="1537">
        <f t="shared" si="5"/>
        <v>1</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1"/>
      <c r="M40" s="2945"/>
      <c r="N40" s="2945"/>
      <c r="O40" s="2945"/>
      <c r="P40" s="3915"/>
      <c r="Q40" s="1536" t="str">
        <f t="shared" si="11"/>
        <v>单套建筑面积</v>
      </c>
      <c r="R40" s="714" t="s">
        <v>17</v>
      </c>
      <c r="S40" s="715">
        <f t="shared" si="12"/>
        <v>100</v>
      </c>
      <c r="T40" s="714" t="s">
        <v>17</v>
      </c>
      <c r="U40" s="715">
        <f t="shared" si="13"/>
        <v>100</v>
      </c>
      <c r="V40" s="714" t="s">
        <v>17</v>
      </c>
      <c r="W40" s="715">
        <f t="shared" si="14"/>
        <v>100</v>
      </c>
      <c r="X40" s="1539"/>
      <c r="Y40" s="3917"/>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0"/>
      <c r="M41" s="2952"/>
      <c r="N41" s="2952"/>
      <c r="O41" s="2952"/>
      <c r="P41" s="3915"/>
      <c r="Q41" s="716" t="str">
        <f t="shared" si="11"/>
        <v>进深比</v>
      </c>
      <c r="R41" s="717" t="s">
        <v>17</v>
      </c>
      <c r="S41" s="718">
        <f t="shared" si="12"/>
        <v>100</v>
      </c>
      <c r="T41" s="717" t="s">
        <v>17</v>
      </c>
      <c r="U41" s="718">
        <f t="shared" si="13"/>
        <v>100</v>
      </c>
      <c r="V41" s="717" t="s">
        <v>17</v>
      </c>
      <c r="W41" s="718">
        <f t="shared" si="14"/>
        <v>100</v>
      </c>
      <c r="X41" s="719"/>
      <c r="Y41" s="3917"/>
      <c r="Z41" s="720" t="str">
        <f t="shared" si="15"/>
        <v>进深比</v>
      </c>
      <c r="AA41" s="1537">
        <f t="shared" si="3"/>
        <v>1</v>
      </c>
      <c r="AB41" s="1537">
        <f t="shared" si="4"/>
        <v>1</v>
      </c>
      <c r="AC41" s="1537">
        <f t="shared" si="5"/>
        <v>1</v>
      </c>
    </row>
    <row r="42" spans="1:29" ht="15">
      <c r="A42" s="431"/>
      <c r="B42" s="381" t="s">
        <v>2489</v>
      </c>
      <c r="C42" s="2092"/>
      <c r="D42" s="394">
        <v>100</v>
      </c>
      <c r="E42" s="2092"/>
      <c r="F42" s="420">
        <f>SUMIF(122:122,E42,123:123)-SUMIF(122:122,C42,123:123)+100</f>
        <v>100</v>
      </c>
      <c r="G42" s="2092"/>
      <c r="H42" s="394">
        <f>SUMIF(122:122,G42,123:123)-SUMIF(122:122,C42,123:123)+100</f>
        <v>100</v>
      </c>
      <c r="I42" s="2092"/>
      <c r="J42" s="394">
        <f>SUMIF(122:122,I42,123:123)-SUMIF(122:122,C42,123:123)+100</f>
        <v>100</v>
      </c>
      <c r="K42" s="569"/>
      <c r="L42" s="2951"/>
      <c r="M42" s="2945"/>
      <c r="N42" s="2945"/>
      <c r="O42" s="2945"/>
      <c r="P42" s="3915"/>
      <c r="Q42" s="1536" t="str">
        <f t="shared" si="11"/>
        <v>内部装修</v>
      </c>
      <c r="R42" s="714" t="s">
        <v>17</v>
      </c>
      <c r="S42" s="715">
        <f t="shared" si="12"/>
        <v>100</v>
      </c>
      <c r="T42" s="714" t="s">
        <v>17</v>
      </c>
      <c r="U42" s="715">
        <f t="shared" si="13"/>
        <v>100</v>
      </c>
      <c r="V42" s="714" t="s">
        <v>17</v>
      </c>
      <c r="W42" s="715">
        <f t="shared" si="14"/>
        <v>100</v>
      </c>
      <c r="X42" s="1539"/>
      <c r="Y42" s="3917"/>
      <c r="Z42" s="1540" t="str">
        <f t="shared" si="15"/>
        <v>内部装修</v>
      </c>
      <c r="AA42" s="1537">
        <f t="shared" si="3"/>
        <v>1</v>
      </c>
      <c r="AB42" s="1537">
        <f t="shared" si="4"/>
        <v>1</v>
      </c>
      <c r="AC42" s="1537">
        <f t="shared" si="5"/>
        <v>1</v>
      </c>
    </row>
    <row r="43" spans="1:29" ht="15">
      <c r="A43" s="431"/>
      <c r="B43" s="381" t="s">
        <v>2397</v>
      </c>
      <c r="C43" s="2092"/>
      <c r="D43" s="394">
        <v>100</v>
      </c>
      <c r="E43" s="2092"/>
      <c r="F43" s="420">
        <f>SUMIF(124:124,E43,125:125)-SUMIF(124:124,C43,125:125)+100</f>
        <v>100</v>
      </c>
      <c r="G43" s="2092"/>
      <c r="H43" s="394">
        <f>SUMIF(124:124,G43,125:125)-SUMIF(124:124,C43,125:125)+100</f>
        <v>100</v>
      </c>
      <c r="I43" s="2092"/>
      <c r="J43" s="394">
        <f>SUMIF(124:124,I43,125:125)-SUMIF(124:124,C43,125:125)+100</f>
        <v>100</v>
      </c>
      <c r="K43" s="569"/>
      <c r="L43" s="2951"/>
      <c r="M43" s="2945"/>
      <c r="N43" s="2945"/>
      <c r="O43" s="2945"/>
      <c r="P43" s="3915"/>
      <c r="Q43" s="1536" t="str">
        <f t="shared" si="11"/>
        <v>内部装修维护情况</v>
      </c>
      <c r="R43" s="714" t="s">
        <v>17</v>
      </c>
      <c r="S43" s="715">
        <f t="shared" si="12"/>
        <v>100</v>
      </c>
      <c r="T43" s="714" t="s">
        <v>17</v>
      </c>
      <c r="U43" s="715">
        <f t="shared" si="13"/>
        <v>100</v>
      </c>
      <c r="V43" s="714" t="s">
        <v>17</v>
      </c>
      <c r="W43" s="715">
        <f t="shared" si="14"/>
        <v>100</v>
      </c>
      <c r="X43" s="1539"/>
      <c r="Y43" s="3917"/>
      <c r="Z43" s="1540" t="str">
        <f t="shared" si="15"/>
        <v>内部装修维护情况</v>
      </c>
      <c r="AA43" s="1537">
        <f t="shared" si="3"/>
        <v>1</v>
      </c>
      <c r="AB43" s="1537">
        <f t="shared" si="4"/>
        <v>1</v>
      </c>
      <c r="AC43" s="1537">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6"/>
      <c r="M44" s="2947"/>
      <c r="N44" s="2947"/>
      <c r="O44" s="2947"/>
      <c r="P44" s="3915"/>
      <c r="Q44" s="1527">
        <f t="shared" si="11"/>
        <v>111</v>
      </c>
      <c r="R44" s="710" t="s">
        <v>17</v>
      </c>
      <c r="S44" s="711">
        <f t="shared" si="12"/>
        <v>100</v>
      </c>
      <c r="T44" s="710" t="s">
        <v>17</v>
      </c>
      <c r="U44" s="711">
        <f t="shared" si="13"/>
        <v>100</v>
      </c>
      <c r="V44" s="710" t="s">
        <v>17</v>
      </c>
      <c r="W44" s="711">
        <f t="shared" si="14"/>
        <v>100</v>
      </c>
      <c r="X44" s="712"/>
      <c r="Y44" s="3917"/>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1"/>
      <c r="M45" s="2945"/>
      <c r="N45" s="2945"/>
      <c r="O45" s="2945"/>
      <c r="P45" s="3915"/>
      <c r="Q45" s="1536">
        <f t="shared" si="11"/>
        <v>111</v>
      </c>
      <c r="R45" s="714" t="s">
        <v>17</v>
      </c>
      <c r="S45" s="715">
        <f t="shared" si="12"/>
        <v>100</v>
      </c>
      <c r="T45" s="714" t="s">
        <v>17</v>
      </c>
      <c r="U45" s="715">
        <f t="shared" si="13"/>
        <v>100</v>
      </c>
      <c r="V45" s="714" t="s">
        <v>17</v>
      </c>
      <c r="W45" s="715">
        <f t="shared" si="14"/>
        <v>100</v>
      </c>
      <c r="X45" s="1539"/>
      <c r="Y45" s="3917"/>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1"/>
      <c r="M46" s="2945"/>
      <c r="N46" s="2945"/>
      <c r="O46" s="2945"/>
      <c r="P46" s="3916"/>
      <c r="Q46" s="1536">
        <f t="shared" si="11"/>
        <v>111</v>
      </c>
      <c r="R46" s="714" t="s">
        <v>17</v>
      </c>
      <c r="S46" s="715">
        <f t="shared" si="12"/>
        <v>100</v>
      </c>
      <c r="T46" s="714" t="s">
        <v>17</v>
      </c>
      <c r="U46" s="715">
        <f t="shared" si="13"/>
        <v>100</v>
      </c>
      <c r="V46" s="714" t="s">
        <v>17</v>
      </c>
      <c r="W46" s="715">
        <f t="shared" si="14"/>
        <v>100</v>
      </c>
      <c r="X46" s="1539"/>
      <c r="Y46" s="3918"/>
      <c r="Z46" s="1540">
        <f t="shared" si="15"/>
        <v>111</v>
      </c>
      <c r="AA46" s="1537">
        <f t="shared" si="3"/>
        <v>1</v>
      </c>
      <c r="AB46" s="1537">
        <f t="shared" si="4"/>
        <v>1</v>
      </c>
      <c r="AC46" s="1537">
        <f t="shared" si="5"/>
        <v>1</v>
      </c>
    </row>
    <row r="47" spans="1:29" ht="15">
      <c r="A47" s="438" t="s">
        <v>2398</v>
      </c>
      <c r="B47" s="439"/>
      <c r="C47" s="1316" t="s">
        <v>1</v>
      </c>
      <c r="D47" s="1317"/>
      <c r="E47" s="1318"/>
      <c r="F47" s="1319"/>
      <c r="G47" s="1320"/>
      <c r="H47" s="1321"/>
      <c r="I47" s="1318"/>
      <c r="J47" s="1321"/>
      <c r="K47" s="723"/>
      <c r="L47" s="2953"/>
      <c r="M47" s="2954"/>
      <c r="N47" s="2945"/>
      <c r="O47" s="2954"/>
      <c r="P47" s="3910" t="str">
        <f>A47</f>
        <v>成交单价（元/平方米）</v>
      </c>
      <c r="Q47" s="3910"/>
      <c r="R47" s="3941">
        <f>E47</f>
        <v>0</v>
      </c>
      <c r="S47" s="3941"/>
      <c r="T47" s="3941">
        <f>G47</f>
        <v>0</v>
      </c>
      <c r="U47" s="3941"/>
      <c r="V47" s="3941">
        <f>I47</f>
        <v>0</v>
      </c>
      <c r="W47" s="3941"/>
      <c r="X47" s="699"/>
      <c r="Y47" s="721"/>
      <c r="Z47" s="699"/>
      <c r="AA47" s="699"/>
      <c r="AB47" s="699"/>
      <c r="AC47" s="699"/>
    </row>
    <row r="48" spans="1:29" ht="15.75" thickBot="1">
      <c r="A48" s="445" t="s">
        <v>2490</v>
      </c>
      <c r="B48" s="446"/>
      <c r="C48" s="1322" t="e">
        <f>R49</f>
        <v>#DIV/0!</v>
      </c>
      <c r="D48" s="2538" t="s">
        <v>2881</v>
      </c>
      <c r="E48" s="1323" t="e">
        <f>R48</f>
        <v>#DIV/0!</v>
      </c>
      <c r="F48" s="2539"/>
      <c r="G48" s="1322" t="e">
        <f>T48</f>
        <v>#DIV/0!</v>
      </c>
      <c r="H48" s="2539"/>
      <c r="I48" s="1323" t="e">
        <f>V48</f>
        <v>#DIV/0!</v>
      </c>
      <c r="J48" s="2539"/>
      <c r="K48" s="2541">
        <f>F48+H48+J48</f>
        <v>0</v>
      </c>
      <c r="L48" s="2953"/>
      <c r="M48" s="2954"/>
      <c r="N48" s="2945"/>
      <c r="O48" s="2954"/>
      <c r="P48" s="3910" t="str">
        <f>A48</f>
        <v>比较价值（元/平方米）</v>
      </c>
      <c r="Q48" s="3910"/>
      <c r="R48" s="3911" t="e">
        <f>IF(F1="售价",ROUND(PRODUCT(R47,AA7:AA46),0),ROUND(PRODUCT(R47,AA7:AA46),1))</f>
        <v>#DIV/0!</v>
      </c>
      <c r="S48" s="3911"/>
      <c r="T48" s="3911" t="e">
        <f>IF(F1="售价",ROUND(PRODUCT(T47,AB7:AB46),0),ROUND(PRODUCT(T47,AB7:AB46),1))</f>
        <v>#DIV/0!</v>
      </c>
      <c r="U48" s="3911"/>
      <c r="V48" s="3911" t="e">
        <f>IF(F1="售价",ROUND(PRODUCT(V47,AC7:AC46),0),ROUND(PRODUCT(V47,AC7:AC46),1))</f>
        <v>#DIV/0!</v>
      </c>
      <c r="W48" s="3911"/>
      <c r="X48" s="699"/>
      <c r="Y48" s="699"/>
      <c r="Z48" s="699"/>
      <c r="AA48" s="699"/>
      <c r="AB48" s="699"/>
      <c r="AC48" s="699"/>
    </row>
    <row r="49" spans="1:29" ht="15.75" thickBot="1">
      <c r="A49" s="449" t="s">
        <v>2491</v>
      </c>
      <c r="B49" s="450"/>
      <c r="C49" s="1325" t="e">
        <f>R49</f>
        <v>#DIV/0!</v>
      </c>
      <c r="D49" s="1325"/>
      <c r="E49" s="1325"/>
      <c r="F49" s="1325"/>
      <c r="G49" s="1325"/>
      <c r="H49" s="1325"/>
      <c r="I49" s="1325"/>
      <c r="J49" s="1325"/>
      <c r="K49" s="724"/>
      <c r="L49" s="2953"/>
      <c r="M49" s="2954"/>
      <c r="N49" s="2945"/>
      <c r="O49" s="2954"/>
      <c r="P49" s="3907" t="str">
        <f>A49</f>
        <v>估价对象XX用房的比较价值（楼面单价，元/平方米）</v>
      </c>
      <c r="Q49" s="3908"/>
      <c r="R49" s="3909" t="e">
        <f>IF(F1="售价",ROUND(IF(D48="简单平均",AVERAGE(R48:V48),R48*F48+T48*H48+V48*J48),0),ROUND(IF(D48="简单平均",AVERAGE(R48:V48),R48*F48+T48*H48+V48*J48),1))</f>
        <v>#DIV/0!</v>
      </c>
      <c r="S49" s="3909"/>
      <c r="T49" s="3909"/>
      <c r="U49" s="3909"/>
      <c r="V49" s="3909"/>
      <c r="W49" s="3909"/>
      <c r="X49" s="699"/>
      <c r="Y49" s="699"/>
      <c r="Z49" s="699"/>
      <c r="AA49" s="699"/>
      <c r="AB49" s="699"/>
      <c r="AC49" s="699"/>
    </row>
    <row r="50" spans="1:29">
      <c r="A50" s="2954"/>
      <c r="B50" s="2954"/>
      <c r="C50" s="2954"/>
      <c r="D50" s="2954"/>
      <c r="E50" s="2954"/>
      <c r="F50" s="2954"/>
      <c r="G50" s="2958"/>
      <c r="H50" s="2954"/>
      <c r="I50" s="2954"/>
      <c r="J50" s="2954"/>
      <c r="K50" s="2959"/>
      <c r="L50" s="2955"/>
      <c r="M50" s="2954"/>
      <c r="N50" s="2954"/>
      <c r="O50" s="2954"/>
      <c r="P50" s="2965"/>
      <c r="Q50" s="2954"/>
      <c r="R50" s="2954"/>
      <c r="S50" s="2954"/>
      <c r="T50" s="2954"/>
      <c r="U50" s="2954"/>
      <c r="V50" s="2954"/>
      <c r="W50" s="2954"/>
      <c r="X50" s="2954"/>
      <c r="Y50" s="2954"/>
      <c r="Z50" s="2954"/>
      <c r="AA50" s="2954"/>
      <c r="AB50" s="2954"/>
      <c r="AC50" s="2954"/>
    </row>
    <row r="51" spans="1:29">
      <c r="A51" s="2954"/>
      <c r="B51" s="2954"/>
      <c r="C51" s="2954"/>
      <c r="D51" s="2954"/>
      <c r="E51" s="2954"/>
      <c r="F51" s="2954"/>
      <c r="G51" s="2954"/>
      <c r="H51" s="2954"/>
      <c r="I51" s="2954"/>
      <c r="J51" s="2954"/>
      <c r="K51" s="2959"/>
      <c r="L51" s="2955"/>
      <c r="M51" s="2954"/>
      <c r="N51" s="2954"/>
      <c r="O51" s="2954"/>
      <c r="P51" s="2965"/>
      <c r="Q51" s="2954"/>
      <c r="R51" s="2954"/>
      <c r="S51" s="2954"/>
      <c r="T51" s="2954"/>
      <c r="U51" s="2954"/>
      <c r="V51" s="2954"/>
      <c r="W51" s="2954"/>
      <c r="X51" s="2954"/>
      <c r="Y51" s="2954"/>
      <c r="Z51" s="2954"/>
      <c r="AA51" s="2954"/>
      <c r="AB51" s="2954"/>
      <c r="AC51" s="2954"/>
    </row>
    <row r="52" spans="1:29" ht="13.5" customHeight="1">
      <c r="A52" s="2954"/>
      <c r="B52" s="2954"/>
      <c r="C52" s="454" t="s">
        <v>2492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9"/>
      <c r="L52" s="2955"/>
      <c r="M52" s="2954"/>
      <c r="N52" s="2954"/>
      <c r="O52" s="2954"/>
      <c r="P52" s="2965"/>
      <c r="Q52" s="2954"/>
      <c r="R52" s="2954"/>
      <c r="S52" s="2954"/>
      <c r="T52" s="2954"/>
      <c r="U52" s="2954"/>
      <c r="V52" s="2954"/>
      <c r="W52" s="2954"/>
      <c r="X52" s="2954"/>
      <c r="Y52" s="2954"/>
      <c r="Z52" s="2954"/>
      <c r="AA52" s="2954"/>
      <c r="AB52" s="2954"/>
      <c r="AC52" s="2954"/>
    </row>
    <row r="53" spans="1:29" ht="13.5" customHeight="1">
      <c r="A53" s="2954"/>
      <c r="B53" s="2954"/>
      <c r="C53" s="454" t="s">
        <v>2493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9"/>
      <c r="L53" s="2955"/>
      <c r="M53" s="2954"/>
      <c r="N53" s="2954"/>
      <c r="O53" s="2954"/>
      <c r="P53" s="2965"/>
      <c r="Q53" s="2954"/>
      <c r="R53" s="2954"/>
      <c r="S53" s="2954"/>
      <c r="T53" s="2954"/>
      <c r="U53" s="2954"/>
      <c r="V53" s="2954"/>
      <c r="W53" s="2954"/>
      <c r="X53" s="2954"/>
      <c r="Y53" s="2954"/>
      <c r="Z53" s="2954"/>
      <c r="AA53" s="2954"/>
      <c r="AB53" s="2954"/>
      <c r="AC53" s="2954"/>
    </row>
    <row r="54" spans="1:29" s="459" customFormat="1" ht="13.5" customHeight="1">
      <c r="A54" s="2957"/>
      <c r="B54" s="2957"/>
      <c r="C54" s="454" t="s">
        <v>2494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2"/>
      <c r="L54" s="2956"/>
      <c r="M54" s="2957"/>
      <c r="N54" s="2957"/>
      <c r="O54" s="2957"/>
      <c r="P54" s="2966"/>
      <c r="Q54" s="2957"/>
      <c r="R54" s="2957"/>
      <c r="S54" s="2957"/>
      <c r="T54" s="2957"/>
      <c r="U54" s="2957"/>
      <c r="V54" s="2957"/>
      <c r="W54" s="2957"/>
      <c r="X54" s="2957"/>
      <c r="Y54" s="2957"/>
      <c r="Z54" s="2957"/>
      <c r="AA54" s="2957"/>
      <c r="AB54" s="2957"/>
      <c r="AC54" s="2957"/>
    </row>
    <row r="55" spans="1:29" s="459" customFormat="1">
      <c r="A55" s="2957"/>
      <c r="B55" s="2960"/>
      <c r="C55" s="2961"/>
      <c r="D55" s="2957"/>
      <c r="E55" s="2957"/>
      <c r="F55" s="2957"/>
      <c r="G55" s="2957"/>
      <c r="H55" s="2957"/>
      <c r="I55" s="2957"/>
      <c r="J55" s="2957"/>
      <c r="K55" s="2962"/>
      <c r="L55" s="2956"/>
      <c r="M55" s="2957"/>
      <c r="N55" s="2957"/>
      <c r="O55" s="2957"/>
      <c r="P55" s="2966"/>
      <c r="Q55" s="2957"/>
      <c r="R55" s="2957"/>
      <c r="S55" s="2957"/>
      <c r="T55" s="2957"/>
      <c r="U55" s="2957"/>
      <c r="V55" s="2957"/>
      <c r="W55" s="2957"/>
      <c r="X55" s="2957"/>
      <c r="Y55" s="2957"/>
      <c r="Z55" s="2957"/>
      <c r="AA55" s="2957"/>
      <c r="AB55" s="2957"/>
      <c r="AC55" s="2957"/>
    </row>
    <row r="56" spans="1:29">
      <c r="A56" s="2954"/>
      <c r="B56" s="2960"/>
      <c r="C56" s="2961"/>
      <c r="D56" s="2954"/>
      <c r="E56" s="2954"/>
      <c r="F56" s="2954"/>
      <c r="G56" s="2954"/>
      <c r="H56" s="2954"/>
      <c r="I56" s="2954"/>
      <c r="J56" s="2954"/>
      <c r="K56" s="2959"/>
      <c r="L56" s="2955"/>
      <c r="M56" s="2954"/>
      <c r="N56" s="2954"/>
      <c r="O56" s="2954"/>
      <c r="P56" s="2965"/>
      <c r="Q56" s="2954"/>
      <c r="R56" s="2954"/>
      <c r="S56" s="2954"/>
      <c r="T56" s="2954"/>
      <c r="U56" s="2954"/>
      <c r="V56" s="2954"/>
      <c r="W56" s="2954"/>
      <c r="X56" s="2954"/>
      <c r="Y56" s="2954"/>
      <c r="Z56" s="2954"/>
      <c r="AA56" s="2954"/>
      <c r="AB56" s="2954"/>
      <c r="AC56" s="2954"/>
    </row>
    <row r="57" spans="1:29" ht="21.75" thickBot="1">
      <c r="A57" s="703" t="s">
        <v>2495</v>
      </c>
      <c r="B57" s="699"/>
      <c r="C57" s="704"/>
      <c r="D57" s="704"/>
      <c r="E57" s="704"/>
      <c r="F57" s="705"/>
      <c r="G57" s="705"/>
      <c r="H57" s="704"/>
      <c r="I57" s="704"/>
      <c r="J57" s="704"/>
      <c r="K57" s="706"/>
      <c r="L57" s="1073"/>
      <c r="M57" s="1071"/>
      <c r="N57" s="1071"/>
      <c r="O57" s="1071"/>
      <c r="P57" s="2967"/>
      <c r="Q57" s="2968"/>
      <c r="R57" s="2954"/>
      <c r="S57" s="2954"/>
      <c r="T57" s="2954"/>
      <c r="U57" s="2954"/>
      <c r="V57" s="2954"/>
      <c r="W57" s="2954"/>
      <c r="X57" s="2954"/>
      <c r="Y57" s="2954"/>
      <c r="Z57" s="2954"/>
      <c r="AA57" s="2954"/>
      <c r="AB57" s="2954"/>
      <c r="AC57" s="2954"/>
    </row>
    <row r="58" spans="1:29" s="465" customFormat="1" ht="15">
      <c r="A58" s="462" t="s">
        <v>2369</v>
      </c>
      <c r="B58" s="463"/>
      <c r="C58" s="1346" t="str">
        <f>YEAR(C7)&amp;"-"&amp;MONTH(C7)</f>
        <v>2021-6</v>
      </c>
      <c r="D58" s="1347">
        <f>EDATE(C58,-1)</f>
        <v>44317</v>
      </c>
      <c r="E58" s="1347">
        <f t="shared" ref="E58:N58" si="16">EDATE(D58,-1)</f>
        <v>44287</v>
      </c>
      <c r="F58" s="1347">
        <f t="shared" si="16"/>
        <v>44256</v>
      </c>
      <c r="G58" s="1347">
        <f t="shared" si="16"/>
        <v>44228</v>
      </c>
      <c r="H58" s="1347">
        <f t="shared" si="16"/>
        <v>44197</v>
      </c>
      <c r="I58" s="1347">
        <f t="shared" si="16"/>
        <v>44166</v>
      </c>
      <c r="J58" s="1347">
        <f t="shared" si="16"/>
        <v>44136</v>
      </c>
      <c r="K58" s="1347">
        <f t="shared" si="16"/>
        <v>44105</v>
      </c>
      <c r="L58" s="1347">
        <f t="shared" si="16"/>
        <v>44075</v>
      </c>
      <c r="M58" s="1347">
        <f t="shared" si="16"/>
        <v>44044</v>
      </c>
      <c r="N58" s="1347">
        <f t="shared" si="16"/>
        <v>44013</v>
      </c>
      <c r="O58" s="1347">
        <f>EDATE(N58,-1)</f>
        <v>43983</v>
      </c>
      <c r="P58" s="2969"/>
      <c r="Q58" s="2970"/>
      <c r="R58" s="2970"/>
      <c r="S58" s="2970"/>
      <c r="T58" s="2970"/>
      <c r="U58" s="2970"/>
      <c r="V58" s="2970"/>
      <c r="W58" s="2970"/>
      <c r="X58" s="2970"/>
      <c r="Y58" s="2970"/>
      <c r="Z58" s="2970"/>
      <c r="AA58" s="2970"/>
      <c r="AB58" s="2970"/>
      <c r="AC58" s="2970"/>
    </row>
    <row r="59" spans="1:29" s="113" customFormat="1" ht="15">
      <c r="A59" s="466"/>
      <c r="B59" s="467"/>
      <c r="C59" s="1345">
        <v>100</v>
      </c>
      <c r="D59" s="469"/>
      <c r="E59" s="469"/>
      <c r="F59" s="469"/>
      <c r="G59" s="469"/>
      <c r="H59" s="469"/>
      <c r="I59" s="469"/>
      <c r="J59" s="469"/>
      <c r="K59" s="469"/>
      <c r="L59" s="469"/>
      <c r="M59" s="470"/>
      <c r="N59" s="469"/>
      <c r="O59" s="470"/>
      <c r="P59" s="2971"/>
      <c r="Q59" s="2888"/>
      <c r="R59" s="2888"/>
      <c r="S59" s="2888"/>
      <c r="T59" s="2888"/>
      <c r="U59" s="2888"/>
      <c r="V59" s="2888"/>
      <c r="W59" s="2888"/>
      <c r="X59" s="2888"/>
      <c r="Y59" s="2888"/>
      <c r="Z59" s="2888"/>
      <c r="AA59" s="2888"/>
      <c r="AB59" s="2888"/>
      <c r="AC59" s="2888"/>
    </row>
    <row r="60" spans="1:29" s="113" customFormat="1" ht="15.75" thickBot="1">
      <c r="A60" s="472" t="s">
        <v>2406</v>
      </c>
      <c r="B60" s="473"/>
      <c r="C60" s="474"/>
      <c r="D60" s="475"/>
      <c r="E60" s="475"/>
      <c r="F60" s="475"/>
      <c r="G60" s="475"/>
      <c r="H60" s="475"/>
      <c r="I60" s="475"/>
      <c r="J60" s="475"/>
      <c r="K60" s="475"/>
      <c r="L60" s="475"/>
      <c r="M60" s="476"/>
      <c r="N60" s="475"/>
      <c r="O60" s="476"/>
      <c r="P60" s="2971"/>
      <c r="Q60" s="2968"/>
      <c r="R60" s="2888"/>
      <c r="S60" s="2888"/>
      <c r="T60" s="2888"/>
      <c r="U60" s="2888"/>
      <c r="V60" s="2888"/>
      <c r="W60" s="2888"/>
      <c r="X60" s="2888"/>
      <c r="Y60" s="2888"/>
      <c r="Z60" s="2888"/>
      <c r="AA60" s="2888"/>
      <c r="AB60" s="2888"/>
      <c r="AC60" s="2888"/>
    </row>
    <row r="61" spans="1:29" s="113" customFormat="1" ht="15">
      <c r="A61" s="478" t="s">
        <v>2371</v>
      </c>
      <c r="B61" s="467"/>
      <c r="C61" s="479" t="s">
        <v>2473</v>
      </c>
      <c r="D61" s="480"/>
      <c r="E61" s="480"/>
      <c r="F61" s="480"/>
      <c r="G61" s="480"/>
      <c r="H61" s="480"/>
      <c r="I61" s="480"/>
      <c r="J61" s="480"/>
      <c r="K61" s="480"/>
      <c r="L61" s="481"/>
      <c r="M61" s="482"/>
      <c r="N61" s="2981"/>
      <c r="O61" s="2981"/>
      <c r="P61" s="2972"/>
      <c r="Q61" s="2968"/>
      <c r="R61" s="2888"/>
      <c r="S61" s="2888"/>
      <c r="T61" s="2888"/>
      <c r="U61" s="2888"/>
      <c r="V61" s="2888"/>
      <c r="W61" s="2888"/>
      <c r="X61" s="2888"/>
      <c r="Y61" s="2888"/>
      <c r="Z61" s="2888"/>
      <c r="AA61" s="2888"/>
      <c r="AB61" s="2888"/>
      <c r="AC61" s="2888"/>
    </row>
    <row r="62" spans="1:29" s="113" customFormat="1" ht="15.75" thickBot="1">
      <c r="A62" s="478"/>
      <c r="B62" s="467"/>
      <c r="C62" s="468">
        <v>100</v>
      </c>
      <c r="D62" s="469"/>
      <c r="E62" s="469"/>
      <c r="F62" s="469"/>
      <c r="G62" s="469"/>
      <c r="H62" s="469"/>
      <c r="I62" s="469"/>
      <c r="J62" s="469"/>
      <c r="K62" s="469"/>
      <c r="L62" s="469"/>
      <c r="M62" s="471"/>
      <c r="N62" s="2981"/>
      <c r="O62" s="2981"/>
      <c r="P62" s="2971"/>
      <c r="Q62" s="2968"/>
      <c r="R62" s="2888"/>
      <c r="S62" s="2888"/>
      <c r="T62" s="2888"/>
      <c r="U62" s="2888"/>
      <c r="V62" s="2888"/>
      <c r="W62" s="2888"/>
      <c r="X62" s="2888"/>
      <c r="Y62" s="2888"/>
      <c r="Z62" s="2888"/>
      <c r="AA62" s="2888"/>
      <c r="AB62" s="2888"/>
      <c r="AC62" s="2888"/>
    </row>
    <row r="63" spans="1:29">
      <c r="A63" s="484" t="s">
        <v>2409</v>
      </c>
      <c r="B63" s="485" t="s">
        <v>2375</v>
      </c>
      <c r="C63" s="486">
        <f>C9</f>
        <v>0</v>
      </c>
      <c r="D63" s="487"/>
      <c r="E63" s="487"/>
      <c r="F63" s="487"/>
      <c r="G63" s="487"/>
      <c r="H63" s="487"/>
      <c r="I63" s="487"/>
      <c r="J63" s="487"/>
      <c r="K63" s="488"/>
      <c r="L63" s="489"/>
      <c r="M63" s="490"/>
      <c r="N63" s="2982"/>
      <c r="O63" s="2982"/>
      <c r="P63" s="2973"/>
      <c r="Q63" s="2968"/>
      <c r="R63" s="2954"/>
      <c r="S63" s="2954"/>
      <c r="T63" s="2954"/>
      <c r="U63" s="2954"/>
      <c r="V63" s="2954"/>
      <c r="W63" s="2954"/>
      <c r="X63" s="2954"/>
      <c r="Y63" s="2954"/>
      <c r="Z63" s="2954"/>
      <c r="AA63" s="2954"/>
      <c r="AB63" s="2954"/>
      <c r="AC63" s="2954"/>
    </row>
    <row r="64" spans="1:29" ht="15.75" thickBot="1">
      <c r="A64" s="491"/>
      <c r="B64" s="492"/>
      <c r="C64" s="493">
        <v>100</v>
      </c>
      <c r="D64" s="493"/>
      <c r="E64" s="493"/>
      <c r="F64" s="493"/>
      <c r="G64" s="493"/>
      <c r="H64" s="493"/>
      <c r="I64" s="493"/>
      <c r="J64" s="493"/>
      <c r="K64" s="493"/>
      <c r="L64" s="493"/>
      <c r="M64" s="494"/>
      <c r="N64" s="2983"/>
      <c r="O64" s="2983"/>
      <c r="P64" s="2973"/>
      <c r="Q64" s="2968"/>
      <c r="R64" s="2954"/>
      <c r="S64" s="2954"/>
      <c r="T64" s="2954"/>
      <c r="U64" s="2954"/>
      <c r="V64" s="2954"/>
      <c r="W64" s="2954"/>
      <c r="X64" s="2954"/>
      <c r="Y64" s="2954"/>
      <c r="Z64" s="2954"/>
      <c r="AA64" s="2954"/>
      <c r="AB64" s="2954"/>
      <c r="AC64" s="2954"/>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82"/>
      <c r="O65" s="2982"/>
      <c r="P65" s="2973"/>
      <c r="Q65" s="2968"/>
      <c r="R65" s="2954"/>
      <c r="S65" s="2954"/>
      <c r="T65" s="2954"/>
      <c r="U65" s="2954"/>
      <c r="V65" s="2954"/>
      <c r="W65" s="2954"/>
      <c r="X65" s="2954"/>
      <c r="Y65" s="2954"/>
      <c r="Z65" s="2954"/>
      <c r="AA65" s="2954"/>
      <c r="AB65" s="2954"/>
      <c r="AC65" s="295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3"/>
      <c r="O66" s="2983"/>
      <c r="P66" s="2973"/>
      <c r="Q66" s="2968"/>
      <c r="R66" s="2954"/>
      <c r="S66" s="2954"/>
      <c r="T66" s="2954"/>
      <c r="U66" s="2954"/>
      <c r="V66" s="2954"/>
      <c r="W66" s="2954"/>
      <c r="X66" s="2954"/>
      <c r="Y66" s="2954"/>
      <c r="Z66" s="2954"/>
      <c r="AA66" s="2954"/>
      <c r="AB66" s="2954"/>
      <c r="AC66" s="2954"/>
    </row>
    <row r="67" spans="1:29" ht="15.75" thickTop="1">
      <c r="A67" s="491"/>
      <c r="B67" s="503" t="s">
        <v>2379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3"/>
      <c r="O67" s="2983"/>
      <c r="P67" s="2973"/>
      <c r="Q67" s="2968"/>
      <c r="R67" s="2954"/>
      <c r="S67" s="2954"/>
      <c r="T67" s="2954"/>
      <c r="U67" s="2954"/>
      <c r="V67" s="2954"/>
      <c r="W67" s="2954"/>
      <c r="X67" s="2954"/>
      <c r="Y67" s="2954"/>
      <c r="Z67" s="2954"/>
      <c r="AA67" s="2954"/>
      <c r="AB67" s="2954"/>
      <c r="AC67" s="2954"/>
    </row>
    <row r="68" spans="1:29" ht="15">
      <c r="A68" s="491"/>
      <c r="B68" s="505"/>
      <c r="C68" s="506"/>
      <c r="D68" s="506"/>
      <c r="E68" s="506"/>
      <c r="F68" s="506"/>
      <c r="G68" s="506"/>
      <c r="H68" s="506"/>
      <c r="I68" s="506"/>
      <c r="J68" s="506"/>
      <c r="K68" s="507"/>
      <c r="L68" s="508"/>
      <c r="M68" s="509"/>
      <c r="N68" s="2982"/>
      <c r="O68" s="2982"/>
      <c r="P68" s="2973"/>
      <c r="Q68" s="2968"/>
      <c r="R68" s="2954"/>
      <c r="S68" s="2954"/>
      <c r="T68" s="2954"/>
      <c r="U68" s="2954"/>
      <c r="V68" s="2954"/>
      <c r="W68" s="2954"/>
      <c r="X68" s="2954"/>
      <c r="Y68" s="2954"/>
      <c r="Z68" s="2954"/>
      <c r="AA68" s="2954"/>
      <c r="AB68" s="2954"/>
      <c r="AC68" s="295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3"/>
      <c r="O69" s="2983"/>
      <c r="P69" s="2973"/>
      <c r="Q69" s="2968"/>
      <c r="R69" s="2954"/>
      <c r="S69" s="2954"/>
      <c r="T69" s="2954"/>
      <c r="U69" s="2954"/>
      <c r="V69" s="2954"/>
      <c r="W69" s="2954"/>
      <c r="X69" s="2954"/>
      <c r="Y69" s="2954"/>
      <c r="Z69" s="2954"/>
      <c r="AA69" s="2954"/>
      <c r="AB69" s="2954"/>
      <c r="AC69" s="2954"/>
    </row>
    <row r="70" spans="1:29" s="430" customFormat="1" ht="15.75" thickTop="1">
      <c r="A70" s="510"/>
      <c r="B70" s="495">
        <f>B12</f>
        <v>111</v>
      </c>
      <c r="C70" s="511"/>
      <c r="D70" s="511"/>
      <c r="E70" s="511"/>
      <c r="F70" s="511"/>
      <c r="G70" s="511"/>
      <c r="H70" s="512"/>
      <c r="I70" s="512"/>
      <c r="J70" s="512"/>
      <c r="K70" s="512"/>
      <c r="L70" s="513"/>
      <c r="M70" s="514"/>
      <c r="N70" s="2984"/>
      <c r="O70" s="2984"/>
      <c r="P70" s="2974"/>
      <c r="Q70" s="2975"/>
      <c r="R70" s="2976"/>
      <c r="S70" s="2976"/>
      <c r="T70" s="2976"/>
      <c r="U70" s="2976"/>
      <c r="V70" s="2976"/>
      <c r="W70" s="2976"/>
      <c r="X70" s="2976"/>
      <c r="Y70" s="2976"/>
      <c r="Z70" s="2976"/>
      <c r="AA70" s="2976"/>
      <c r="AB70" s="2976"/>
      <c r="AC70" s="2976"/>
    </row>
    <row r="71" spans="1:29" s="430" customFormat="1" ht="15.75" thickBot="1">
      <c r="A71" s="510"/>
      <c r="B71" s="500"/>
      <c r="C71" s="517"/>
      <c r="D71" s="493"/>
      <c r="E71" s="493"/>
      <c r="F71" s="493"/>
      <c r="G71" s="493"/>
      <c r="H71" s="493"/>
      <c r="I71" s="493"/>
      <c r="J71" s="493"/>
      <c r="K71" s="493"/>
      <c r="L71" s="493"/>
      <c r="M71" s="494"/>
      <c r="N71" s="2983"/>
      <c r="O71" s="2983"/>
      <c r="P71" s="2974"/>
      <c r="Q71" s="2975"/>
      <c r="R71" s="2976"/>
      <c r="S71" s="2976"/>
      <c r="T71" s="2976"/>
      <c r="U71" s="2976"/>
      <c r="V71" s="2976"/>
      <c r="W71" s="2976"/>
      <c r="X71" s="2976"/>
      <c r="Y71" s="2976"/>
      <c r="Z71" s="2976"/>
      <c r="AA71" s="2976"/>
      <c r="AB71" s="2976"/>
      <c r="AC71" s="2976"/>
    </row>
    <row r="72" spans="1:29" s="430" customFormat="1" ht="15.75" thickTop="1">
      <c r="A72" s="510"/>
      <c r="B72" s="495">
        <f>B13</f>
        <v>111</v>
      </c>
      <c r="C72" s="511"/>
      <c r="D72" s="511"/>
      <c r="E72" s="511"/>
      <c r="F72" s="511"/>
      <c r="G72" s="511"/>
      <c r="H72" s="512"/>
      <c r="I72" s="512"/>
      <c r="J72" s="512"/>
      <c r="K72" s="512"/>
      <c r="L72" s="513"/>
      <c r="M72" s="514"/>
      <c r="N72" s="2984"/>
      <c r="O72" s="2984"/>
      <c r="P72" s="2977"/>
      <c r="Q72" s="2978"/>
      <c r="R72" s="2976"/>
      <c r="S72" s="2976"/>
      <c r="T72" s="2976"/>
      <c r="U72" s="2976"/>
      <c r="V72" s="2976"/>
      <c r="W72" s="2976"/>
      <c r="X72" s="2976"/>
      <c r="Y72" s="2976"/>
      <c r="Z72" s="2976"/>
      <c r="AA72" s="2976"/>
      <c r="AB72" s="2976"/>
      <c r="AC72" s="2976"/>
    </row>
    <row r="73" spans="1:29" s="430" customFormat="1" ht="15.75" thickBot="1">
      <c r="A73" s="510"/>
      <c r="B73" s="500"/>
      <c r="C73" s="517"/>
      <c r="D73" s="493"/>
      <c r="E73" s="493"/>
      <c r="F73" s="493"/>
      <c r="G73" s="517"/>
      <c r="H73" s="519"/>
      <c r="I73" s="519"/>
      <c r="J73" s="519"/>
      <c r="K73" s="519"/>
      <c r="L73" s="519"/>
      <c r="M73" s="520"/>
      <c r="N73" s="2984"/>
      <c r="O73" s="2984"/>
      <c r="P73" s="2974"/>
      <c r="Q73" s="2975"/>
      <c r="R73" s="2976"/>
      <c r="S73" s="2976"/>
      <c r="T73" s="2976"/>
      <c r="U73" s="2976"/>
      <c r="V73" s="2976"/>
      <c r="W73" s="2976"/>
      <c r="X73" s="2976"/>
      <c r="Y73" s="2976"/>
      <c r="Z73" s="2976"/>
      <c r="AA73" s="2976"/>
      <c r="AB73" s="2976"/>
      <c r="AC73" s="2976"/>
    </row>
    <row r="74" spans="1:29" s="430" customFormat="1" ht="15.75" thickTop="1">
      <c r="A74" s="510"/>
      <c r="B74" s="503">
        <f>B14</f>
        <v>111</v>
      </c>
      <c r="C74" s="511"/>
      <c r="D74" s="511"/>
      <c r="E74" s="511"/>
      <c r="F74" s="511"/>
      <c r="G74" s="480"/>
      <c r="H74" s="521"/>
      <c r="I74" s="521"/>
      <c r="J74" s="521"/>
      <c r="K74" s="521"/>
      <c r="L74" s="522"/>
      <c r="M74" s="523"/>
      <c r="N74" s="2984"/>
      <c r="O74" s="2984"/>
      <c r="P74" s="2979"/>
      <c r="Q74" s="2975"/>
      <c r="R74" s="2976"/>
      <c r="S74" s="2976"/>
      <c r="T74" s="2976"/>
      <c r="U74" s="2976"/>
      <c r="V74" s="2976"/>
      <c r="W74" s="2976"/>
      <c r="X74" s="2976"/>
      <c r="Y74" s="2976"/>
      <c r="Z74" s="2976"/>
      <c r="AA74" s="2976"/>
      <c r="AB74" s="2976"/>
      <c r="AC74" s="2976"/>
    </row>
    <row r="75" spans="1:29" s="430" customFormat="1" ht="15.75" thickBot="1">
      <c r="A75" s="525"/>
      <c r="B75" s="526"/>
      <c r="C75" s="527"/>
      <c r="D75" s="527"/>
      <c r="E75" s="527"/>
      <c r="F75" s="527"/>
      <c r="G75" s="527"/>
      <c r="H75" s="528"/>
      <c r="I75" s="528"/>
      <c r="J75" s="528"/>
      <c r="K75" s="528"/>
      <c r="L75" s="528"/>
      <c r="M75" s="529"/>
      <c r="N75" s="2984"/>
      <c r="O75" s="2984"/>
      <c r="P75" s="2974"/>
      <c r="Q75" s="2975"/>
      <c r="R75" s="2976"/>
      <c r="S75" s="2976"/>
      <c r="T75" s="2976"/>
      <c r="U75" s="2976"/>
      <c r="V75" s="2976"/>
      <c r="W75" s="2976"/>
      <c r="X75" s="2976"/>
      <c r="Y75" s="2976"/>
      <c r="Z75" s="2976"/>
      <c r="AA75" s="2976"/>
      <c r="AB75" s="2976"/>
      <c r="AC75" s="2976"/>
    </row>
    <row r="76" spans="1:29">
      <c r="A76" s="484" t="s">
        <v>2380</v>
      </c>
      <c r="B76" s="485" t="s">
        <v>2417</v>
      </c>
      <c r="C76" s="530" t="s">
        <v>2418</v>
      </c>
      <c r="D76" s="530" t="s">
        <v>2419</v>
      </c>
      <c r="E76" s="530" t="s">
        <v>2420</v>
      </c>
      <c r="F76" s="530" t="s">
        <v>2421</v>
      </c>
      <c r="G76" s="530" t="s">
        <v>2422</v>
      </c>
      <c r="H76" s="486"/>
      <c r="I76" s="486"/>
      <c r="J76" s="486"/>
      <c r="K76" s="531"/>
      <c r="L76" s="532"/>
      <c r="M76" s="533"/>
      <c r="N76" s="2982"/>
      <c r="O76" s="2982"/>
      <c r="P76" s="2980"/>
      <c r="Q76" s="2968"/>
      <c r="R76" s="2954"/>
      <c r="S76" s="2954"/>
      <c r="T76" s="2954"/>
      <c r="U76" s="2954"/>
      <c r="V76" s="2954"/>
      <c r="W76" s="2954"/>
      <c r="X76" s="2954"/>
      <c r="Y76" s="2954"/>
      <c r="Z76" s="2954"/>
      <c r="AA76" s="2954"/>
      <c r="AB76" s="2954"/>
      <c r="AC76" s="295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3"/>
      <c r="O77" s="2983"/>
      <c r="P77" s="2973"/>
      <c r="Q77" s="2968"/>
      <c r="R77" s="2954"/>
      <c r="S77" s="2954"/>
      <c r="T77" s="2954"/>
      <c r="U77" s="2954"/>
      <c r="V77" s="2954"/>
      <c r="W77" s="2954"/>
      <c r="X77" s="2954"/>
      <c r="Y77" s="2954"/>
      <c r="Z77" s="2954"/>
      <c r="AA77" s="2954"/>
      <c r="AB77" s="2954"/>
      <c r="AC77" s="2954"/>
    </row>
    <row r="78" spans="1:29" ht="15.75" thickTop="1">
      <c r="A78" s="491"/>
      <c r="B78" s="495" t="s">
        <v>2423</v>
      </c>
      <c r="C78" s="535" t="s">
        <v>2418</v>
      </c>
      <c r="D78" s="535" t="s">
        <v>2419</v>
      </c>
      <c r="E78" s="535" t="s">
        <v>2420</v>
      </c>
      <c r="F78" s="535" t="s">
        <v>2421</v>
      </c>
      <c r="G78" s="535" t="s">
        <v>2422</v>
      </c>
      <c r="H78" s="496"/>
      <c r="I78" s="496"/>
      <c r="J78" s="496"/>
      <c r="K78" s="497"/>
      <c r="L78" s="498"/>
      <c r="M78" s="499"/>
      <c r="N78" s="2982"/>
      <c r="O78" s="2982"/>
      <c r="P78" s="2973"/>
      <c r="Q78" s="2968"/>
      <c r="R78" s="2954"/>
      <c r="S78" s="2954"/>
      <c r="T78" s="2954"/>
      <c r="U78" s="2954"/>
      <c r="V78" s="2954"/>
      <c r="W78" s="2954"/>
      <c r="X78" s="2954"/>
      <c r="Y78" s="2954"/>
      <c r="Z78" s="2954"/>
      <c r="AA78" s="2954"/>
      <c r="AB78" s="2954"/>
      <c r="AC78" s="295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3"/>
      <c r="O79" s="2983"/>
      <c r="P79" s="2973"/>
      <c r="Q79" s="2968"/>
      <c r="R79" s="2954"/>
      <c r="S79" s="2954"/>
      <c r="T79" s="2954"/>
      <c r="U79" s="2954"/>
      <c r="V79" s="2954"/>
      <c r="W79" s="2954"/>
      <c r="X79" s="2954"/>
      <c r="Y79" s="2954"/>
      <c r="Z79" s="2954"/>
      <c r="AA79" s="2954"/>
      <c r="AB79" s="2954"/>
      <c r="AC79" s="2954"/>
    </row>
    <row r="80" spans="1:29" ht="15.75" thickTop="1">
      <c r="A80" s="491"/>
      <c r="B80" s="495" t="s">
        <v>2424</v>
      </c>
      <c r="C80" s="535" t="s">
        <v>2418</v>
      </c>
      <c r="D80" s="535" t="s">
        <v>2419</v>
      </c>
      <c r="E80" s="535" t="s">
        <v>2420</v>
      </c>
      <c r="F80" s="535" t="s">
        <v>2421</v>
      </c>
      <c r="G80" s="535" t="s">
        <v>2422</v>
      </c>
      <c r="H80" s="496"/>
      <c r="I80" s="496"/>
      <c r="J80" s="496"/>
      <c r="K80" s="497"/>
      <c r="L80" s="498"/>
      <c r="M80" s="499"/>
      <c r="N80" s="2982"/>
      <c r="O80" s="2982"/>
      <c r="P80" s="2973"/>
      <c r="Q80" s="2968"/>
      <c r="R80" s="2954"/>
      <c r="S80" s="2954"/>
      <c r="T80" s="2954"/>
      <c r="U80" s="2954"/>
      <c r="V80" s="2954"/>
      <c r="W80" s="2954"/>
      <c r="X80" s="2954"/>
      <c r="Y80" s="2954"/>
      <c r="Z80" s="2954"/>
      <c r="AA80" s="2954"/>
      <c r="AB80" s="2954"/>
      <c r="AC80" s="295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3"/>
      <c r="O81" s="2983"/>
      <c r="P81" s="2973"/>
      <c r="Q81" s="2968"/>
      <c r="R81" s="2954"/>
      <c r="S81" s="2954"/>
      <c r="T81" s="2954"/>
      <c r="U81" s="2954"/>
      <c r="V81" s="2954"/>
      <c r="W81" s="2954"/>
      <c r="X81" s="2954"/>
      <c r="Y81" s="2954"/>
      <c r="Z81" s="2954"/>
      <c r="AA81" s="2954"/>
      <c r="AB81" s="2954"/>
      <c r="AC81" s="2954"/>
    </row>
    <row r="82" spans="1:29" ht="15.75" thickTop="1">
      <c r="A82" s="491"/>
      <c r="B82" s="503" t="s">
        <v>2476</v>
      </c>
      <c r="C82" s="616" t="s">
        <v>2496</v>
      </c>
      <c r="D82" s="616" t="s">
        <v>2497</v>
      </c>
      <c r="E82" s="616" t="s">
        <v>2498</v>
      </c>
      <c r="F82" s="616" t="s">
        <v>2499</v>
      </c>
      <c r="G82" s="616" t="s">
        <v>2500</v>
      </c>
      <c r="H82" s="496"/>
      <c r="I82" s="496"/>
      <c r="J82" s="496"/>
      <c r="K82" s="496"/>
      <c r="L82" s="496"/>
      <c r="M82" s="1291"/>
      <c r="N82" s="2983"/>
      <c r="O82" s="2983"/>
      <c r="P82" s="2973"/>
      <c r="Q82" s="2968"/>
      <c r="R82" s="2954"/>
      <c r="S82" s="2954"/>
      <c r="T82" s="2954"/>
      <c r="U82" s="2954"/>
      <c r="V82" s="2954"/>
      <c r="W82" s="2954"/>
      <c r="X82" s="2954"/>
      <c r="Y82" s="2954"/>
      <c r="Z82" s="2954"/>
      <c r="AA82" s="2954"/>
      <c r="AB82" s="2954"/>
      <c r="AC82" s="295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3"/>
      <c r="O83" s="2983"/>
      <c r="P83" s="2973"/>
      <c r="Q83" s="2968"/>
      <c r="R83" s="2954"/>
      <c r="S83" s="2954"/>
      <c r="T83" s="2954"/>
      <c r="U83" s="2954"/>
      <c r="V83" s="2954"/>
      <c r="W83" s="2954"/>
      <c r="X83" s="2954"/>
      <c r="Y83" s="2954"/>
      <c r="Z83" s="2954"/>
      <c r="AA83" s="2954"/>
      <c r="AB83" s="2954"/>
      <c r="AC83" s="2954"/>
    </row>
    <row r="84" spans="1:29" ht="15.75" thickTop="1">
      <c r="A84" s="491"/>
      <c r="B84" s="495" t="s">
        <v>2430</v>
      </c>
      <c r="C84" s="535" t="s">
        <v>2418</v>
      </c>
      <c r="D84" s="535" t="s">
        <v>2419</v>
      </c>
      <c r="E84" s="535" t="s">
        <v>2420</v>
      </c>
      <c r="F84" s="535" t="s">
        <v>2421</v>
      </c>
      <c r="G84" s="535" t="s">
        <v>2422</v>
      </c>
      <c r="H84" s="496"/>
      <c r="I84" s="496"/>
      <c r="J84" s="496"/>
      <c r="K84" s="497"/>
      <c r="L84" s="498"/>
      <c r="M84" s="499"/>
      <c r="N84" s="2982"/>
      <c r="O84" s="2982"/>
      <c r="P84" s="2973"/>
      <c r="Q84" s="2968"/>
      <c r="R84" s="2954"/>
      <c r="S84" s="2954"/>
      <c r="T84" s="2954"/>
      <c r="U84" s="2954"/>
      <c r="V84" s="2954"/>
      <c r="W84" s="2954"/>
      <c r="X84" s="2954"/>
      <c r="Y84" s="2954"/>
      <c r="Z84" s="2954"/>
      <c r="AA84" s="2954"/>
      <c r="AB84" s="2954"/>
      <c r="AC84" s="295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3"/>
      <c r="O85" s="2983"/>
      <c r="P85" s="2973"/>
      <c r="Q85" s="2968"/>
      <c r="R85" s="2954"/>
      <c r="S85" s="2954"/>
      <c r="T85" s="2954"/>
      <c r="U85" s="2954"/>
      <c r="V85" s="2954"/>
      <c r="W85" s="2954"/>
      <c r="X85" s="2954"/>
      <c r="Y85" s="2954"/>
      <c r="Z85" s="2954"/>
      <c r="AA85" s="2954"/>
      <c r="AB85" s="2954"/>
      <c r="AC85" s="2954"/>
    </row>
    <row r="86" spans="1:29" s="113" customFormat="1" ht="15.75" thickTop="1">
      <c r="A86" s="536"/>
      <c r="B86" s="495" t="s">
        <v>2501</v>
      </c>
      <c r="C86" s="511"/>
      <c r="D86" s="511"/>
      <c r="E86" s="511"/>
      <c r="F86" s="511"/>
      <c r="G86" s="511"/>
      <c r="H86" s="511"/>
      <c r="I86" s="511"/>
      <c r="J86" s="511"/>
      <c r="K86" s="511"/>
      <c r="L86" s="537"/>
      <c r="M86" s="538"/>
      <c r="N86" s="2981"/>
      <c r="O86" s="2981"/>
      <c r="P86" s="2973"/>
      <c r="Q86" s="2968"/>
      <c r="R86" s="2888"/>
      <c r="S86" s="2888"/>
      <c r="T86" s="2888"/>
      <c r="U86" s="2888"/>
      <c r="V86" s="2888"/>
      <c r="W86" s="2888"/>
      <c r="X86" s="2888"/>
      <c r="Y86" s="2888"/>
      <c r="Z86" s="2888"/>
      <c r="AA86" s="2888"/>
      <c r="AB86" s="2888"/>
      <c r="AC86" s="288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3"/>
      <c r="O87" s="2983"/>
      <c r="P87" s="2973"/>
      <c r="Q87" s="2968"/>
      <c r="R87" s="2888"/>
      <c r="S87" s="2888"/>
      <c r="T87" s="2888"/>
      <c r="U87" s="2888"/>
      <c r="V87" s="2888"/>
      <c r="W87" s="2888"/>
      <c r="X87" s="2888"/>
      <c r="Y87" s="2888"/>
      <c r="Z87" s="2888"/>
      <c r="AA87" s="2888"/>
      <c r="AB87" s="2888"/>
      <c r="AC87" s="2888"/>
    </row>
    <row r="88" spans="1:29" s="113" customFormat="1" ht="15.75" thickTop="1">
      <c r="A88" s="536"/>
      <c r="B88" s="495" t="str">
        <f>B26</f>
        <v>平面位置/可视性</v>
      </c>
      <c r="C88" s="511"/>
      <c r="D88" s="511"/>
      <c r="E88" s="511"/>
      <c r="F88" s="2113"/>
      <c r="G88" s="511"/>
      <c r="H88" s="511"/>
      <c r="I88" s="511"/>
      <c r="J88" s="511"/>
      <c r="K88" s="511"/>
      <c r="L88" s="511"/>
      <c r="M88" s="538"/>
      <c r="N88" s="2981"/>
      <c r="O88" s="2981"/>
      <c r="P88" s="2973"/>
      <c r="Q88" s="2968"/>
      <c r="R88" s="2888"/>
      <c r="S88" s="2888"/>
      <c r="T88" s="2888"/>
      <c r="U88" s="2888"/>
      <c r="V88" s="2888"/>
      <c r="W88" s="2888"/>
      <c r="X88" s="2888"/>
      <c r="Y88" s="2888"/>
      <c r="Z88" s="2888"/>
      <c r="AA88" s="2888"/>
      <c r="AB88" s="2888"/>
      <c r="AC88" s="2888"/>
    </row>
    <row r="89" spans="1:29" s="113" customFormat="1" ht="15.75" thickBot="1">
      <c r="A89" s="536"/>
      <c r="B89" s="500"/>
      <c r="C89" s="517"/>
      <c r="D89" s="493"/>
      <c r="E89" s="493"/>
      <c r="F89" s="493"/>
      <c r="G89" s="493"/>
      <c r="H89" s="493"/>
      <c r="I89" s="493"/>
      <c r="J89" s="493"/>
      <c r="K89" s="493"/>
      <c r="L89" s="493"/>
      <c r="M89" s="493"/>
      <c r="N89" s="2983"/>
      <c r="O89" s="2983"/>
      <c r="P89" s="2973"/>
      <c r="Q89" s="2968"/>
      <c r="R89" s="2888"/>
      <c r="S89" s="2888"/>
      <c r="T89" s="2888"/>
      <c r="U89" s="2888"/>
      <c r="V89" s="2888"/>
      <c r="W89" s="2888"/>
      <c r="X89" s="2888"/>
      <c r="Y89" s="2888"/>
      <c r="Z89" s="2888"/>
      <c r="AA89" s="2888"/>
      <c r="AB89" s="2888"/>
      <c r="AC89" s="2888"/>
    </row>
    <row r="90" spans="1:29" s="430" customFormat="1" ht="15.75" thickTop="1">
      <c r="A90" s="510"/>
      <c r="B90" s="495" t="str">
        <f>B27</f>
        <v>人流量</v>
      </c>
      <c r="C90" s="511"/>
      <c r="D90" s="511"/>
      <c r="E90" s="511"/>
      <c r="F90" s="511"/>
      <c r="G90" s="511"/>
      <c r="H90" s="512"/>
      <c r="I90" s="512"/>
      <c r="J90" s="512"/>
      <c r="K90" s="512"/>
      <c r="L90" s="513"/>
      <c r="M90" s="514"/>
      <c r="N90" s="2984"/>
      <c r="O90" s="2984"/>
      <c r="P90" s="2974"/>
      <c r="Q90" s="2975"/>
      <c r="R90" s="2976"/>
      <c r="S90" s="2976"/>
      <c r="T90" s="2976"/>
      <c r="U90" s="2976"/>
      <c r="V90" s="2976"/>
      <c r="W90" s="2976"/>
      <c r="X90" s="2976"/>
      <c r="Y90" s="2976"/>
      <c r="Z90" s="2976"/>
      <c r="AA90" s="2976"/>
      <c r="AB90" s="2976"/>
      <c r="AC90" s="297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4"/>
      <c r="O91" s="2984"/>
      <c r="P91" s="2974"/>
      <c r="Q91" s="2975"/>
      <c r="R91" s="2976"/>
      <c r="S91" s="2976"/>
      <c r="T91" s="2976"/>
      <c r="U91" s="2976"/>
      <c r="V91" s="2976"/>
      <c r="W91" s="2976"/>
      <c r="X91" s="2976"/>
      <c r="Y91" s="2976"/>
      <c r="Z91" s="2976"/>
      <c r="AA91" s="2976"/>
      <c r="AB91" s="2976"/>
      <c r="AC91" s="2976"/>
    </row>
    <row r="92" spans="1:29" ht="15.75" thickTop="1">
      <c r="A92" s="491"/>
      <c r="B92" s="495" t="str">
        <f>B28</f>
        <v>楼层</v>
      </c>
      <c r="C92" s="511"/>
      <c r="D92" s="511"/>
      <c r="E92" s="511"/>
      <c r="F92" s="511"/>
      <c r="G92" s="511"/>
      <c r="H92" s="511"/>
      <c r="I92" s="511"/>
      <c r="J92" s="511"/>
      <c r="K92" s="511"/>
      <c r="L92" s="537"/>
      <c r="M92" s="538"/>
      <c r="N92" s="2982"/>
      <c r="O92" s="2982"/>
      <c r="P92" s="2973"/>
      <c r="Q92" s="2968"/>
      <c r="R92" s="2954"/>
      <c r="S92" s="2954"/>
      <c r="T92" s="2954"/>
      <c r="U92" s="2954"/>
      <c r="V92" s="2954"/>
      <c r="W92" s="2954"/>
      <c r="X92" s="2954"/>
      <c r="Y92" s="2954"/>
      <c r="Z92" s="2954"/>
      <c r="AA92" s="2954"/>
      <c r="AB92" s="2954"/>
      <c r="AC92" s="2954"/>
    </row>
    <row r="93" spans="1:29" ht="15.75" thickBot="1">
      <c r="A93" s="491"/>
      <c r="B93" s="500"/>
      <c r="C93" s="493"/>
      <c r="D93" s="493"/>
      <c r="E93" s="493"/>
      <c r="F93" s="493"/>
      <c r="G93" s="493"/>
      <c r="H93" s="493"/>
      <c r="I93" s="493"/>
      <c r="J93" s="493"/>
      <c r="K93" s="493"/>
      <c r="L93" s="493"/>
      <c r="M93" s="494"/>
      <c r="N93" s="2983"/>
      <c r="O93" s="2983"/>
      <c r="P93" s="2973"/>
      <c r="Q93" s="2968"/>
      <c r="R93" s="2954"/>
      <c r="S93" s="2954"/>
      <c r="T93" s="2954"/>
      <c r="U93" s="2954"/>
      <c r="V93" s="2954"/>
      <c r="W93" s="2954"/>
      <c r="X93" s="2954"/>
      <c r="Y93" s="2954"/>
      <c r="Z93" s="2954"/>
      <c r="AA93" s="2954"/>
      <c r="AB93" s="2954"/>
      <c r="AC93" s="2954"/>
    </row>
    <row r="94" spans="1:29" ht="15.75" thickTop="1">
      <c r="A94" s="491"/>
      <c r="B94" s="495">
        <f>B29</f>
        <v>111</v>
      </c>
      <c r="C94" s="511"/>
      <c r="D94" s="511"/>
      <c r="E94" s="511"/>
      <c r="F94" s="511"/>
      <c r="G94" s="540"/>
      <c r="H94" s="540"/>
      <c r="I94" s="540"/>
      <c r="J94" s="540"/>
      <c r="K94" s="541"/>
      <c r="L94" s="542"/>
      <c r="M94" s="543"/>
      <c r="N94" s="2982"/>
      <c r="O94" s="2982"/>
      <c r="P94" s="2973"/>
      <c r="Q94" s="2968"/>
      <c r="R94" s="2954"/>
      <c r="S94" s="2954"/>
      <c r="T94" s="2954"/>
      <c r="U94" s="2954"/>
      <c r="V94" s="2954"/>
      <c r="W94" s="2954"/>
      <c r="X94" s="2954"/>
      <c r="Y94" s="2954"/>
      <c r="Z94" s="2954"/>
      <c r="AA94" s="2954"/>
      <c r="AB94" s="2954"/>
      <c r="AC94" s="2954"/>
    </row>
    <row r="95" spans="1:29" ht="15.75" thickBot="1">
      <c r="A95" s="491"/>
      <c r="B95" s="500"/>
      <c r="C95" s="517"/>
      <c r="D95" s="493"/>
      <c r="E95" s="493"/>
      <c r="F95" s="493"/>
      <c r="G95" s="493"/>
      <c r="H95" s="493"/>
      <c r="I95" s="493"/>
      <c r="J95" s="493"/>
      <c r="K95" s="493"/>
      <c r="L95" s="493"/>
      <c r="M95" s="494"/>
      <c r="N95" s="2983"/>
      <c r="O95" s="2983"/>
      <c r="P95" s="2973"/>
      <c r="Q95" s="2968"/>
      <c r="R95" s="2954"/>
      <c r="S95" s="2954"/>
      <c r="T95" s="2954"/>
      <c r="U95" s="2954"/>
      <c r="V95" s="2954"/>
      <c r="W95" s="2954"/>
      <c r="X95" s="2954"/>
      <c r="Y95" s="2954"/>
      <c r="Z95" s="2954"/>
      <c r="AA95" s="2954"/>
      <c r="AB95" s="2954"/>
      <c r="AC95" s="2954"/>
    </row>
    <row r="96" spans="1:29" ht="15.75" thickTop="1">
      <c r="A96" s="491"/>
      <c r="B96" s="495">
        <f>B30</f>
        <v>111</v>
      </c>
      <c r="C96" s="511"/>
      <c r="D96" s="511"/>
      <c r="E96" s="511"/>
      <c r="F96" s="511"/>
      <c r="G96" s="540"/>
      <c r="H96" s="540"/>
      <c r="I96" s="540"/>
      <c r="J96" s="540"/>
      <c r="K96" s="541"/>
      <c r="L96" s="542"/>
      <c r="M96" s="543"/>
      <c r="N96" s="2982"/>
      <c r="O96" s="2982"/>
      <c r="P96" s="2973"/>
      <c r="Q96" s="2968"/>
      <c r="R96" s="2954"/>
      <c r="S96" s="2954"/>
      <c r="T96" s="2954"/>
      <c r="U96" s="2954"/>
      <c r="V96" s="2954"/>
      <c r="W96" s="2954"/>
      <c r="X96" s="2954"/>
      <c r="Y96" s="2954"/>
      <c r="Z96" s="2954"/>
      <c r="AA96" s="2954"/>
      <c r="AB96" s="2954"/>
      <c r="AC96" s="2954"/>
    </row>
    <row r="97" spans="1:29" ht="15.75" thickBot="1">
      <c r="A97" s="491"/>
      <c r="B97" s="500"/>
      <c r="C97" s="517"/>
      <c r="D97" s="493"/>
      <c r="E97" s="493"/>
      <c r="F97" s="493"/>
      <c r="G97" s="493"/>
      <c r="H97" s="493"/>
      <c r="I97" s="493"/>
      <c r="J97" s="493"/>
      <c r="K97" s="493"/>
      <c r="L97" s="493"/>
      <c r="M97" s="494"/>
      <c r="N97" s="2983"/>
      <c r="O97" s="2983"/>
      <c r="P97" s="2973"/>
      <c r="Q97" s="2968"/>
      <c r="R97" s="2954"/>
      <c r="S97" s="2954"/>
      <c r="T97" s="2954"/>
      <c r="U97" s="2954"/>
      <c r="V97" s="2954"/>
      <c r="W97" s="2954"/>
      <c r="X97" s="2954"/>
      <c r="Y97" s="2954"/>
      <c r="Z97" s="2954"/>
      <c r="AA97" s="2954"/>
      <c r="AB97" s="2954"/>
      <c r="AC97" s="2954"/>
    </row>
    <row r="98" spans="1:29" ht="15.75" thickTop="1">
      <c r="A98" s="491"/>
      <c r="B98" s="503">
        <f>B31</f>
        <v>111</v>
      </c>
      <c r="C98" s="511"/>
      <c r="D98" s="511"/>
      <c r="E98" s="511"/>
      <c r="F98" s="511"/>
      <c r="G98" s="544"/>
      <c r="H98" s="544"/>
      <c r="I98" s="544"/>
      <c r="J98" s="544"/>
      <c r="K98" s="545"/>
      <c r="L98" s="546"/>
      <c r="M98" s="547"/>
      <c r="N98" s="2982"/>
      <c r="O98" s="2982"/>
      <c r="P98" s="2973"/>
      <c r="Q98" s="2968"/>
      <c r="R98" s="2954"/>
      <c r="S98" s="2954"/>
      <c r="T98" s="2954"/>
      <c r="U98" s="2954"/>
      <c r="V98" s="2954"/>
      <c r="W98" s="2954"/>
      <c r="X98" s="2954"/>
      <c r="Y98" s="2954"/>
      <c r="Z98" s="2954"/>
      <c r="AA98" s="2954"/>
      <c r="AB98" s="2954"/>
      <c r="AC98" s="2954"/>
    </row>
    <row r="99" spans="1:29" ht="15.75" thickBot="1">
      <c r="A99" s="2114"/>
      <c r="B99" s="526"/>
      <c r="C99" s="527"/>
      <c r="D99" s="527"/>
      <c r="E99" s="527"/>
      <c r="F99" s="527"/>
      <c r="G99" s="548"/>
      <c r="H99" s="548"/>
      <c r="I99" s="548"/>
      <c r="J99" s="548"/>
      <c r="K99" s="548"/>
      <c r="L99" s="548"/>
      <c r="M99" s="549"/>
      <c r="N99" s="2983"/>
      <c r="O99" s="2983"/>
      <c r="P99" s="2973"/>
      <c r="Q99" s="2968"/>
      <c r="R99" s="2954"/>
      <c r="S99" s="2954"/>
      <c r="T99" s="2954"/>
      <c r="U99" s="2954"/>
      <c r="V99" s="2954"/>
      <c r="W99" s="2954"/>
      <c r="X99" s="2954"/>
      <c r="Y99" s="2954"/>
      <c r="Z99" s="2954"/>
      <c r="AA99" s="2954"/>
      <c r="AB99" s="2954"/>
      <c r="AC99" s="2954"/>
    </row>
    <row r="100" spans="1:29">
      <c r="A100" s="484" t="s">
        <v>2384</v>
      </c>
      <c r="B100" s="485" t="s">
        <v>2502</v>
      </c>
      <c r="C100" s="487"/>
      <c r="D100" s="487"/>
      <c r="E100" s="487"/>
      <c r="F100" s="487"/>
      <c r="G100" s="487"/>
      <c r="H100" s="487"/>
      <c r="I100" s="487"/>
      <c r="J100" s="487"/>
      <c r="K100" s="488"/>
      <c r="L100" s="489"/>
      <c r="M100" s="490"/>
      <c r="N100" s="2982"/>
      <c r="O100" s="2982"/>
      <c r="P100" s="2973"/>
      <c r="Q100" s="2968"/>
      <c r="R100" s="2954"/>
      <c r="S100" s="2954"/>
      <c r="T100" s="2954"/>
      <c r="U100" s="2954"/>
      <c r="V100" s="2954"/>
      <c r="W100" s="2954"/>
      <c r="X100" s="2954"/>
      <c r="Y100" s="2954"/>
      <c r="Z100" s="2954"/>
      <c r="AA100" s="2954"/>
      <c r="AB100" s="2954"/>
      <c r="AC100" s="295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3"/>
      <c r="O101" s="2983"/>
      <c r="P101" s="2973"/>
      <c r="Q101" s="2968"/>
      <c r="R101" s="2954"/>
      <c r="S101" s="2954"/>
      <c r="T101" s="2954"/>
      <c r="U101" s="2954"/>
      <c r="V101" s="2954"/>
      <c r="W101" s="2954"/>
      <c r="X101" s="2954"/>
      <c r="Y101" s="2954"/>
      <c r="Z101" s="2954"/>
      <c r="AA101" s="2954"/>
      <c r="AB101" s="2954"/>
      <c r="AC101" s="2954"/>
    </row>
    <row r="102" spans="1:29" ht="15.75" thickTop="1">
      <c r="A102" s="491"/>
      <c r="B102" s="495" t="s">
        <v>2434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1"/>
      <c r="O102" s="2981"/>
      <c r="P102" s="2973"/>
      <c r="Q102" s="2968"/>
      <c r="R102" s="2954"/>
      <c r="S102" s="2954"/>
      <c r="T102" s="2954"/>
      <c r="U102" s="2954"/>
      <c r="V102" s="2954"/>
      <c r="W102" s="2954"/>
      <c r="X102" s="2954"/>
      <c r="Y102" s="2954"/>
      <c r="Z102" s="2954"/>
      <c r="AA102" s="2954"/>
      <c r="AB102" s="2954"/>
      <c r="AC102" s="2954"/>
    </row>
    <row r="103" spans="1:29" s="430" customFormat="1">
      <c r="A103" s="550"/>
      <c r="B103" s="551"/>
      <c r="C103" s="552"/>
      <c r="D103" s="552"/>
      <c r="E103" s="552"/>
      <c r="F103" s="552"/>
      <c r="G103" s="552"/>
      <c r="H103" s="552"/>
      <c r="I103" s="552"/>
      <c r="J103" s="553"/>
      <c r="K103" s="553"/>
      <c r="L103" s="554"/>
      <c r="M103" s="555"/>
      <c r="N103" s="2984"/>
      <c r="O103" s="2984"/>
      <c r="P103" s="2974"/>
      <c r="Q103" s="2975"/>
      <c r="R103" s="2976"/>
      <c r="S103" s="2976"/>
      <c r="T103" s="2976"/>
      <c r="U103" s="2976"/>
      <c r="V103" s="2976"/>
      <c r="W103" s="2976"/>
      <c r="X103" s="2976"/>
      <c r="Y103" s="2976"/>
      <c r="Z103" s="2976"/>
      <c r="AA103" s="2976"/>
      <c r="AB103" s="2976"/>
      <c r="AC103" s="2976"/>
    </row>
    <row r="104" spans="1:29" s="430" customFormat="1" ht="15.75" thickBot="1">
      <c r="A104" s="510"/>
      <c r="B104" s="500"/>
      <c r="C104" s="517"/>
      <c r="D104" s="493"/>
      <c r="E104" s="493"/>
      <c r="F104" s="493"/>
      <c r="G104" s="493"/>
      <c r="H104" s="493"/>
      <c r="I104" s="493"/>
      <c r="J104" s="493"/>
      <c r="K104" s="493"/>
      <c r="L104" s="493"/>
      <c r="M104" s="494"/>
      <c r="N104" s="2983"/>
      <c r="O104" s="2983"/>
      <c r="P104" s="2974"/>
      <c r="Q104" s="2975"/>
      <c r="R104" s="2976"/>
      <c r="S104" s="2976"/>
      <c r="T104" s="2976"/>
      <c r="U104" s="2976"/>
      <c r="V104" s="2976"/>
      <c r="W104" s="2976"/>
      <c r="X104" s="2976"/>
      <c r="Y104" s="2976"/>
      <c r="Z104" s="2976"/>
      <c r="AA104" s="2976"/>
      <c r="AB104" s="2976"/>
      <c r="AC104" s="2976"/>
    </row>
    <row r="105" spans="1:29" ht="15" thickTop="1">
      <c r="A105" s="556"/>
      <c r="B105" s="495" t="s">
        <v>2435</v>
      </c>
      <c r="C105" s="511"/>
      <c r="D105" s="511"/>
      <c r="E105" s="540"/>
      <c r="F105" s="540"/>
      <c r="G105" s="540"/>
      <c r="H105" s="540"/>
      <c r="I105" s="540"/>
      <c r="J105" s="540"/>
      <c r="K105" s="541"/>
      <c r="L105" s="542"/>
      <c r="M105" s="543"/>
      <c r="N105" s="2982"/>
      <c r="O105" s="2982"/>
      <c r="P105" s="2973"/>
      <c r="Q105" s="2968"/>
      <c r="R105" s="2954"/>
      <c r="S105" s="2954"/>
      <c r="T105" s="2954"/>
      <c r="U105" s="2954"/>
      <c r="V105" s="2954"/>
      <c r="W105" s="2954"/>
      <c r="X105" s="2954"/>
      <c r="Y105" s="2954"/>
      <c r="Z105" s="2954"/>
      <c r="AA105" s="2954"/>
      <c r="AB105" s="2954"/>
      <c r="AC105" s="295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3"/>
      <c r="O106" s="2983"/>
      <c r="P106" s="2973"/>
      <c r="Q106" s="2968"/>
      <c r="R106" s="2954"/>
      <c r="S106" s="2954"/>
      <c r="T106" s="2954"/>
      <c r="U106" s="2954"/>
      <c r="V106" s="2954"/>
      <c r="W106" s="2954"/>
      <c r="X106" s="2954"/>
      <c r="Y106" s="2954"/>
      <c r="Z106" s="2954"/>
      <c r="AA106" s="2954"/>
      <c r="AB106" s="2954"/>
      <c r="AC106" s="2954"/>
    </row>
    <row r="107" spans="1:29" ht="15" thickTop="1">
      <c r="A107" s="556"/>
      <c r="B107" s="495" t="s">
        <v>2437</v>
      </c>
      <c r="C107" s="511"/>
      <c r="D107" s="511"/>
      <c r="E107" s="511"/>
      <c r="F107" s="540"/>
      <c r="G107" s="540"/>
      <c r="H107" s="540"/>
      <c r="I107" s="540"/>
      <c r="J107" s="540"/>
      <c r="K107" s="541"/>
      <c r="L107" s="542"/>
      <c r="M107" s="543"/>
      <c r="N107" s="2982"/>
      <c r="O107" s="2982"/>
      <c r="P107" s="2973"/>
      <c r="Q107" s="2968"/>
      <c r="R107" s="2954"/>
      <c r="S107" s="2954"/>
      <c r="T107" s="2954"/>
      <c r="U107" s="2954"/>
      <c r="V107" s="2954"/>
      <c r="W107" s="2954"/>
      <c r="X107" s="2954"/>
      <c r="Y107" s="2954"/>
      <c r="Z107" s="2954"/>
      <c r="AA107" s="2954"/>
      <c r="AB107" s="2954"/>
      <c r="AC107" s="295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3"/>
      <c r="O108" s="2983"/>
      <c r="P108" s="2973"/>
      <c r="Q108" s="2968"/>
      <c r="R108" s="2954"/>
      <c r="S108" s="2954"/>
      <c r="T108" s="2954"/>
      <c r="U108" s="2954"/>
      <c r="V108" s="2954"/>
      <c r="W108" s="2954"/>
      <c r="X108" s="2954"/>
      <c r="Y108" s="2954"/>
      <c r="Z108" s="2954"/>
      <c r="AA108" s="2954"/>
      <c r="AB108" s="2954"/>
      <c r="AC108" s="2954"/>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2"/>
      <c r="O109" s="2982"/>
      <c r="P109" s="2973"/>
      <c r="Q109" s="2968"/>
      <c r="R109" s="2954"/>
      <c r="S109" s="2954"/>
      <c r="T109" s="2954"/>
      <c r="U109" s="2954"/>
      <c r="V109" s="2954"/>
      <c r="W109" s="2954"/>
      <c r="X109" s="2954"/>
      <c r="Y109" s="2954"/>
      <c r="Z109" s="2954"/>
      <c r="AA109" s="2954"/>
      <c r="AB109" s="2954"/>
      <c r="AC109" s="2954"/>
    </row>
    <row r="110" spans="1:29">
      <c r="A110" s="556"/>
      <c r="B110" s="503"/>
      <c r="C110" s="560">
        <v>0.5</v>
      </c>
      <c r="D110" s="560">
        <v>0.6</v>
      </c>
      <c r="E110" s="560">
        <v>0.7</v>
      </c>
      <c r="F110" s="560">
        <v>0.8</v>
      </c>
      <c r="G110" s="560">
        <v>0.9</v>
      </c>
      <c r="H110" s="560">
        <v>1.0001</v>
      </c>
      <c r="I110" s="579"/>
      <c r="J110" s="579"/>
      <c r="K110" s="580"/>
      <c r="L110" s="581"/>
      <c r="M110" s="582"/>
      <c r="N110" s="2982"/>
      <c r="O110" s="2982"/>
      <c r="P110" s="2973"/>
      <c r="Q110" s="2968"/>
      <c r="R110" s="2954"/>
      <c r="S110" s="2954"/>
      <c r="T110" s="2954"/>
      <c r="U110" s="2954"/>
      <c r="V110" s="2954"/>
      <c r="W110" s="2954"/>
      <c r="X110" s="2954"/>
      <c r="Y110" s="2954"/>
      <c r="Z110" s="2954"/>
      <c r="AA110" s="2954"/>
      <c r="AB110" s="2954"/>
      <c r="AC110" s="295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3"/>
      <c r="O111" s="2983"/>
      <c r="P111" s="2973"/>
      <c r="Q111" s="2968"/>
      <c r="R111" s="2954"/>
      <c r="S111" s="2954"/>
      <c r="T111" s="2954"/>
      <c r="U111" s="2954"/>
      <c r="V111" s="2954"/>
      <c r="W111" s="2954"/>
      <c r="X111" s="2954"/>
      <c r="Y111" s="2954"/>
      <c r="Z111" s="2954"/>
      <c r="AA111" s="2954"/>
      <c r="AB111" s="2954"/>
      <c r="AC111" s="2954"/>
    </row>
    <row r="112" spans="1:29" s="430" customFormat="1" ht="15" thickTop="1">
      <c r="A112" s="550"/>
      <c r="B112" s="495" t="s">
        <v>2439</v>
      </c>
      <c r="C112" s="511"/>
      <c r="D112" s="511"/>
      <c r="E112" s="511"/>
      <c r="F112" s="511"/>
      <c r="G112" s="511"/>
      <c r="H112" s="540"/>
      <c r="I112" s="540"/>
      <c r="J112" s="540"/>
      <c r="K112" s="541"/>
      <c r="L112" s="542"/>
      <c r="M112" s="543"/>
      <c r="N112" s="2984"/>
      <c r="O112" s="2984"/>
      <c r="P112" s="2974"/>
      <c r="Q112" s="2975"/>
      <c r="R112" s="2976"/>
      <c r="S112" s="2976"/>
      <c r="T112" s="2976"/>
      <c r="U112" s="2976"/>
      <c r="V112" s="2976"/>
      <c r="W112" s="2976"/>
      <c r="X112" s="2976"/>
      <c r="Y112" s="2976"/>
      <c r="Z112" s="2976"/>
      <c r="AA112" s="2976"/>
      <c r="AB112" s="2976"/>
      <c r="AC112" s="297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4"/>
      <c r="O113" s="2984"/>
      <c r="P113" s="2974"/>
      <c r="Q113" s="2975"/>
      <c r="R113" s="2976"/>
      <c r="S113" s="2976"/>
      <c r="T113" s="2976"/>
      <c r="U113" s="2976"/>
      <c r="V113" s="2976"/>
      <c r="W113" s="2976"/>
      <c r="X113" s="2976"/>
      <c r="Y113" s="2976"/>
      <c r="Z113" s="2976"/>
      <c r="AA113" s="2976"/>
      <c r="AB113" s="2976"/>
      <c r="AC113" s="2976"/>
    </row>
    <row r="114" spans="1:29" ht="15" thickTop="1">
      <c r="A114" s="556"/>
      <c r="B114" s="495" t="s">
        <v>2503</v>
      </c>
      <c r="C114" s="511"/>
      <c r="D114" s="511"/>
      <c r="E114" s="540"/>
      <c r="F114" s="540"/>
      <c r="G114" s="540"/>
      <c r="H114" s="540"/>
      <c r="I114" s="540"/>
      <c r="J114" s="540"/>
      <c r="K114" s="541"/>
      <c r="L114" s="542"/>
      <c r="M114" s="543"/>
      <c r="N114" s="2982"/>
      <c r="O114" s="2982"/>
      <c r="P114" s="2973"/>
      <c r="Q114" s="2968"/>
      <c r="R114" s="2954"/>
      <c r="S114" s="2954"/>
      <c r="T114" s="2954"/>
      <c r="U114" s="2954"/>
      <c r="V114" s="2954"/>
      <c r="W114" s="2954"/>
      <c r="X114" s="2954"/>
      <c r="Y114" s="2954"/>
      <c r="Z114" s="2954"/>
      <c r="AA114" s="2954"/>
      <c r="AB114" s="2954"/>
      <c r="AC114" s="295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2973"/>
      <c r="Q115" s="2968"/>
      <c r="R115" s="2954"/>
      <c r="S115" s="2954"/>
      <c r="T115" s="2954"/>
      <c r="U115" s="2954"/>
      <c r="V115" s="2954"/>
      <c r="W115" s="2954"/>
      <c r="X115" s="2954"/>
      <c r="Y115" s="2954"/>
      <c r="Z115" s="2954"/>
      <c r="AA115" s="2954"/>
      <c r="AB115" s="2954"/>
      <c r="AC115" s="2954"/>
    </row>
    <row r="116" spans="1:29" ht="15" thickTop="1">
      <c r="A116" s="556"/>
      <c r="B116" s="495" t="s">
        <v>2504</v>
      </c>
      <c r="C116" s="511"/>
      <c r="D116" s="511"/>
      <c r="E116" s="511"/>
      <c r="F116" s="511"/>
      <c r="G116" s="511"/>
      <c r="H116" s="540"/>
      <c r="I116" s="540"/>
      <c r="J116" s="540"/>
      <c r="K116" s="541"/>
      <c r="L116" s="542"/>
      <c r="M116" s="543"/>
      <c r="N116" s="2982"/>
      <c r="O116" s="2982"/>
      <c r="P116" s="2973"/>
      <c r="Q116" s="2968"/>
      <c r="R116" s="2954"/>
      <c r="S116" s="2954"/>
      <c r="T116" s="2954"/>
      <c r="U116" s="2954"/>
      <c r="V116" s="2954"/>
      <c r="W116" s="2954"/>
      <c r="X116" s="2954"/>
      <c r="Y116" s="2954"/>
      <c r="Z116" s="2954"/>
      <c r="AA116" s="2954"/>
      <c r="AB116" s="2954"/>
      <c r="AC116" s="295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3"/>
      <c r="O117" s="2983"/>
      <c r="P117" s="2973"/>
      <c r="Q117" s="2968"/>
      <c r="R117" s="2954"/>
      <c r="S117" s="2954"/>
      <c r="T117" s="2954"/>
      <c r="U117" s="2954"/>
      <c r="V117" s="2954"/>
      <c r="W117" s="2954"/>
      <c r="X117" s="2954"/>
      <c r="Y117" s="2954"/>
      <c r="Z117" s="2954"/>
      <c r="AA117" s="2954"/>
      <c r="AB117" s="2954"/>
      <c r="AC117" s="2954"/>
    </row>
    <row r="118" spans="1:29" ht="15" thickTop="1">
      <c r="A118" s="556"/>
      <c r="B118" s="495" t="s">
        <v>2505</v>
      </c>
      <c r="C118" s="583"/>
      <c r="D118" s="583"/>
      <c r="E118" s="583"/>
      <c r="F118" s="583"/>
      <c r="G118" s="583"/>
      <c r="H118" s="512"/>
      <c r="I118" s="512"/>
      <c r="J118" s="512"/>
      <c r="K118" s="512"/>
      <c r="L118" s="513"/>
      <c r="M118" s="514"/>
      <c r="N118" s="2982"/>
      <c r="O118" s="2982"/>
      <c r="P118" s="2973"/>
      <c r="Q118" s="2968"/>
      <c r="R118" s="2954"/>
      <c r="S118" s="2954"/>
      <c r="T118" s="2954"/>
      <c r="U118" s="2954"/>
      <c r="V118" s="2954"/>
      <c r="W118" s="2954"/>
      <c r="X118" s="2954"/>
      <c r="Y118" s="2954"/>
      <c r="Z118" s="2954"/>
      <c r="AA118" s="2954"/>
      <c r="AB118" s="2954"/>
      <c r="AC118" s="2954"/>
    </row>
    <row r="119" spans="1:29" ht="15.75" thickBot="1">
      <c r="A119" s="491"/>
      <c r="B119" s="500"/>
      <c r="C119" s="517"/>
      <c r="D119" s="493"/>
      <c r="E119" s="493"/>
      <c r="F119" s="493"/>
      <c r="G119" s="493"/>
      <c r="H119" s="493"/>
      <c r="I119" s="493"/>
      <c r="J119" s="493"/>
      <c r="K119" s="493"/>
      <c r="L119" s="493"/>
      <c r="M119" s="494"/>
      <c r="N119" s="2983"/>
      <c r="O119" s="2983"/>
      <c r="P119" s="2973"/>
      <c r="Q119" s="2968"/>
      <c r="R119" s="2954"/>
      <c r="S119" s="2954"/>
      <c r="T119" s="2954"/>
      <c r="U119" s="2954"/>
      <c r="V119" s="2954"/>
      <c r="W119" s="2954"/>
      <c r="X119" s="2954"/>
      <c r="Y119" s="2954"/>
      <c r="Z119" s="2954"/>
      <c r="AA119" s="2954"/>
      <c r="AB119" s="2954"/>
      <c r="AC119" s="2954"/>
    </row>
    <row r="120" spans="1:29" s="430" customFormat="1" ht="15" thickTop="1">
      <c r="A120" s="550"/>
      <c r="B120" s="495" t="s">
        <v>2506</v>
      </c>
      <c r="C120" s="540"/>
      <c r="D120" s="540"/>
      <c r="E120" s="540"/>
      <c r="F120" s="540"/>
      <c r="G120" s="512"/>
      <c r="H120" s="512"/>
      <c r="I120" s="512"/>
      <c r="J120" s="512"/>
      <c r="K120" s="512"/>
      <c r="L120" s="513"/>
      <c r="M120" s="514"/>
      <c r="N120" s="2984"/>
      <c r="O120" s="2984"/>
      <c r="P120" s="2974"/>
      <c r="Q120" s="2975"/>
      <c r="R120" s="2976"/>
      <c r="S120" s="2976"/>
      <c r="T120" s="2976"/>
      <c r="U120" s="2976"/>
      <c r="V120" s="2976"/>
      <c r="W120" s="2976"/>
      <c r="X120" s="2976"/>
      <c r="Y120" s="2976"/>
      <c r="Z120" s="2976"/>
      <c r="AA120" s="2976"/>
      <c r="AB120" s="2976"/>
      <c r="AC120" s="297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4"/>
      <c r="O121" s="2984"/>
      <c r="P121" s="2974"/>
      <c r="Q121" s="2975"/>
      <c r="R121" s="2976"/>
      <c r="S121" s="2976"/>
      <c r="T121" s="2976"/>
      <c r="U121" s="2976"/>
      <c r="V121" s="2976"/>
      <c r="W121" s="2976"/>
      <c r="X121" s="2976"/>
      <c r="Y121" s="2976"/>
      <c r="Z121" s="2976"/>
      <c r="AA121" s="2976"/>
      <c r="AB121" s="2976"/>
      <c r="AC121" s="2976"/>
    </row>
    <row r="122" spans="1:29" ht="15" thickTop="1">
      <c r="A122" s="556"/>
      <c r="B122" s="495" t="s">
        <v>2441</v>
      </c>
      <c r="C122" s="511"/>
      <c r="D122" s="511"/>
      <c r="E122" s="511"/>
      <c r="F122" s="540"/>
      <c r="G122" s="540"/>
      <c r="H122" s="540"/>
      <c r="I122" s="540"/>
      <c r="J122" s="540"/>
      <c r="K122" s="541"/>
      <c r="L122" s="542"/>
      <c r="M122" s="543"/>
      <c r="N122" s="2982"/>
      <c r="O122" s="2982"/>
      <c r="P122" s="2973"/>
      <c r="Q122" s="2968"/>
      <c r="R122" s="2954"/>
      <c r="S122" s="2954"/>
      <c r="T122" s="2954"/>
      <c r="U122" s="2954"/>
      <c r="V122" s="2954"/>
      <c r="W122" s="2954"/>
      <c r="X122" s="2954"/>
      <c r="Y122" s="2954"/>
      <c r="Z122" s="2954"/>
      <c r="AA122" s="2954"/>
      <c r="AB122" s="2954"/>
      <c r="AC122" s="295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3"/>
      <c r="O123" s="2983"/>
      <c r="P123" s="2973"/>
      <c r="Q123" s="2968"/>
      <c r="R123" s="2954"/>
      <c r="S123" s="2954"/>
      <c r="T123" s="2954"/>
      <c r="U123" s="2954"/>
      <c r="V123" s="2954"/>
      <c r="W123" s="2954"/>
      <c r="X123" s="2954"/>
      <c r="Y123" s="2954"/>
      <c r="Z123" s="2954"/>
      <c r="AA123" s="2954"/>
      <c r="AB123" s="2954"/>
      <c r="AC123" s="2954"/>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82"/>
      <c r="O124" s="2982"/>
      <c r="P124" s="2974"/>
      <c r="Q124" s="2968"/>
      <c r="R124" s="2954"/>
      <c r="S124" s="2954"/>
      <c r="T124" s="2954"/>
      <c r="U124" s="2954"/>
      <c r="V124" s="2954"/>
      <c r="W124" s="2954"/>
      <c r="X124" s="2954"/>
      <c r="Y124" s="2954"/>
      <c r="Z124" s="2954"/>
      <c r="AA124" s="2954"/>
      <c r="AB124" s="2954"/>
      <c r="AC124" s="295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3"/>
      <c r="O125" s="2983"/>
      <c r="P125" s="2973"/>
      <c r="Q125" s="2968"/>
      <c r="R125" s="2954"/>
      <c r="S125" s="2954"/>
      <c r="T125" s="2954"/>
      <c r="U125" s="2954"/>
      <c r="V125" s="2954"/>
      <c r="W125" s="2954"/>
      <c r="X125" s="2954"/>
      <c r="Y125" s="2954"/>
      <c r="Z125" s="2954"/>
      <c r="AA125" s="2954"/>
      <c r="AB125" s="2954"/>
      <c r="AC125" s="2954"/>
    </row>
    <row r="126" spans="1:29" s="430" customFormat="1" ht="15" thickTop="1">
      <c r="A126" s="550"/>
      <c r="B126" s="495">
        <f>B44</f>
        <v>111</v>
      </c>
      <c r="C126" s="511"/>
      <c r="D126" s="511"/>
      <c r="E126" s="511"/>
      <c r="F126" s="511"/>
      <c r="G126" s="511"/>
      <c r="H126" s="512"/>
      <c r="I126" s="512"/>
      <c r="J126" s="512"/>
      <c r="K126" s="512"/>
      <c r="L126" s="513"/>
      <c r="M126" s="514"/>
      <c r="N126" s="2984"/>
      <c r="O126" s="2984"/>
      <c r="P126" s="2974"/>
      <c r="Q126" s="2975"/>
      <c r="R126" s="2976"/>
      <c r="S126" s="2976"/>
      <c r="T126" s="2976"/>
      <c r="U126" s="2976"/>
      <c r="V126" s="2976"/>
      <c r="W126" s="2976"/>
      <c r="X126" s="2976"/>
      <c r="Y126" s="2976"/>
      <c r="Z126" s="2976"/>
      <c r="AA126" s="2976"/>
      <c r="AB126" s="2976"/>
      <c r="AC126" s="2976"/>
    </row>
    <row r="127" spans="1:29" s="430" customFormat="1" ht="15.75" thickBot="1">
      <c r="A127" s="510"/>
      <c r="B127" s="500"/>
      <c r="C127" s="517"/>
      <c r="D127" s="493"/>
      <c r="E127" s="493"/>
      <c r="F127" s="493"/>
      <c r="G127" s="517"/>
      <c r="H127" s="519"/>
      <c r="I127" s="519"/>
      <c r="J127" s="519"/>
      <c r="K127" s="519"/>
      <c r="L127" s="519"/>
      <c r="M127" s="520"/>
      <c r="N127" s="2984"/>
      <c r="O127" s="2984"/>
      <c r="P127" s="2974"/>
      <c r="Q127" s="2975"/>
      <c r="R127" s="2976"/>
      <c r="S127" s="2976"/>
      <c r="T127" s="2976"/>
      <c r="U127" s="2976"/>
      <c r="V127" s="2976"/>
      <c r="W127" s="2976"/>
      <c r="X127" s="2976"/>
      <c r="Y127" s="2976"/>
      <c r="Z127" s="2976"/>
      <c r="AA127" s="2976"/>
      <c r="AB127" s="2976"/>
      <c r="AC127" s="2976"/>
    </row>
    <row r="128" spans="1:29" ht="15" thickTop="1">
      <c r="A128" s="556"/>
      <c r="B128" s="495">
        <f>B45</f>
        <v>111</v>
      </c>
      <c r="C128" s="511"/>
      <c r="D128" s="511"/>
      <c r="E128" s="511"/>
      <c r="F128" s="511"/>
      <c r="G128" s="540"/>
      <c r="H128" s="540"/>
      <c r="I128" s="540"/>
      <c r="J128" s="540"/>
      <c r="K128" s="541"/>
      <c r="L128" s="542"/>
      <c r="M128" s="543"/>
      <c r="N128" s="2982"/>
      <c r="O128" s="2982"/>
      <c r="P128" s="2973"/>
      <c r="Q128" s="2968"/>
      <c r="R128" s="2954"/>
      <c r="S128" s="2954"/>
      <c r="T128" s="2954"/>
      <c r="U128" s="2954"/>
      <c r="V128" s="2954"/>
      <c r="W128" s="2954"/>
      <c r="X128" s="2954"/>
      <c r="Y128" s="2954"/>
      <c r="Z128" s="2954"/>
      <c r="AA128" s="2954"/>
      <c r="AB128" s="2954"/>
      <c r="AC128" s="2954"/>
    </row>
    <row r="129" spans="1:29" ht="15.75" thickBot="1">
      <c r="A129" s="491"/>
      <c r="B129" s="500"/>
      <c r="C129" s="517"/>
      <c r="D129" s="493"/>
      <c r="E129" s="493"/>
      <c r="F129" s="493"/>
      <c r="G129" s="493"/>
      <c r="H129" s="493"/>
      <c r="I129" s="493"/>
      <c r="J129" s="493"/>
      <c r="K129" s="493"/>
      <c r="L129" s="493"/>
      <c r="M129" s="494"/>
      <c r="N129" s="2983"/>
      <c r="O129" s="2983"/>
      <c r="P129" s="2973"/>
      <c r="Q129" s="2968"/>
      <c r="R129" s="2954"/>
      <c r="S129" s="2954"/>
      <c r="T129" s="2954"/>
      <c r="U129" s="2954"/>
      <c r="V129" s="2954"/>
      <c r="W129" s="2954"/>
      <c r="X129" s="2954"/>
      <c r="Y129" s="2954"/>
      <c r="Z129" s="2954"/>
      <c r="AA129" s="2954"/>
      <c r="AB129" s="2954"/>
      <c r="AC129" s="2954"/>
    </row>
    <row r="130" spans="1:29" ht="15" thickTop="1">
      <c r="A130" s="556"/>
      <c r="B130" s="503">
        <f>B46</f>
        <v>111</v>
      </c>
      <c r="C130" s="511"/>
      <c r="D130" s="511"/>
      <c r="E130" s="511"/>
      <c r="F130" s="511"/>
      <c r="G130" s="544"/>
      <c r="H130" s="544"/>
      <c r="I130" s="544"/>
      <c r="J130" s="544"/>
      <c r="K130" s="480"/>
      <c r="L130" s="481"/>
      <c r="M130" s="547"/>
      <c r="N130" s="2982"/>
      <c r="O130" s="2982"/>
      <c r="P130" s="2973"/>
      <c r="Q130" s="2968"/>
      <c r="R130" s="2954"/>
      <c r="S130" s="2954"/>
      <c r="T130" s="2954"/>
      <c r="U130" s="2954"/>
      <c r="V130" s="2954"/>
      <c r="W130" s="2954"/>
      <c r="X130" s="2954"/>
      <c r="Y130" s="2954"/>
      <c r="Z130" s="2954"/>
      <c r="AA130" s="2954"/>
      <c r="AB130" s="2954"/>
      <c r="AC130" s="2954"/>
    </row>
    <row r="131" spans="1:29" ht="15.75" thickBot="1">
      <c r="A131" s="2114"/>
      <c r="B131" s="526"/>
      <c r="C131" s="527"/>
      <c r="D131" s="527"/>
      <c r="E131" s="527"/>
      <c r="F131" s="527"/>
      <c r="G131" s="548"/>
      <c r="H131" s="548"/>
      <c r="I131" s="548"/>
      <c r="J131" s="548"/>
      <c r="K131" s="548"/>
      <c r="L131" s="548"/>
      <c r="M131" s="549"/>
      <c r="N131" s="2983"/>
      <c r="O131" s="2983"/>
      <c r="P131" s="2973"/>
      <c r="Q131" s="2968"/>
      <c r="R131" s="2954"/>
      <c r="S131" s="2954"/>
      <c r="T131" s="2954"/>
      <c r="U131" s="2954"/>
      <c r="V131" s="2954"/>
      <c r="W131" s="2954"/>
      <c r="X131" s="2954"/>
      <c r="Y131" s="2954"/>
      <c r="Z131" s="2954"/>
      <c r="AA131" s="2954"/>
      <c r="AB131" s="2954"/>
      <c r="AC131"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55" priority="21" stopIfTrue="1" operator="containsText" text="超过">
      <formula>NOT(ISERROR(SEARCH("超过",F52)))</formula>
    </cfRule>
  </conditionalFormatting>
  <conditionalFormatting sqref="H54">
    <cfRule type="containsText" dxfId="154" priority="19" stopIfTrue="1" operator="containsText" text="超过">
      <formula>NOT(ISERROR(SEARCH("超过",H54)))</formula>
    </cfRule>
  </conditionalFormatting>
  <conditionalFormatting sqref="F54">
    <cfRule type="containsText" dxfId="153" priority="18" stopIfTrue="1" operator="containsText" text="超过">
      <formula>NOT(ISERROR(SEARCH("超过",F54)))</formula>
    </cfRule>
  </conditionalFormatting>
  <conditionalFormatting sqref="F53 H53">
    <cfRule type="containsText" dxfId="152" priority="17" stopIfTrue="1" operator="containsText" text="超过">
      <formula>NOT(ISERROR(SEARCH("超过",F53)))</formula>
    </cfRule>
  </conditionalFormatting>
  <conditionalFormatting sqref="E52">
    <cfRule type="expression" dxfId="151" priority="16" stopIfTrue="1">
      <formula>$F$52="超过30%"</formula>
    </cfRule>
  </conditionalFormatting>
  <conditionalFormatting sqref="E53">
    <cfRule type="expression" dxfId="150" priority="15" stopIfTrue="1">
      <formula>$F$53="超过20%"</formula>
    </cfRule>
  </conditionalFormatting>
  <conditionalFormatting sqref="E54">
    <cfRule type="expression" dxfId="149" priority="14" stopIfTrue="1">
      <formula>$F$54="超过30%"</formula>
    </cfRule>
  </conditionalFormatting>
  <conditionalFormatting sqref="G54">
    <cfRule type="expression" dxfId="148" priority="13" stopIfTrue="1">
      <formula>$H$54="超过30%"</formula>
    </cfRule>
  </conditionalFormatting>
  <conditionalFormatting sqref="G52">
    <cfRule type="expression" dxfId="147" priority="12" stopIfTrue="1">
      <formula>$H$52="超过30%"</formula>
    </cfRule>
  </conditionalFormatting>
  <conditionalFormatting sqref="G53">
    <cfRule type="expression" dxfId="146" priority="11" stopIfTrue="1">
      <formula>$H$53="超过20%"</formula>
    </cfRule>
  </conditionalFormatting>
  <conditionalFormatting sqref="J52">
    <cfRule type="containsText" dxfId="145" priority="10" stopIfTrue="1" operator="containsText" text="超过">
      <formula>NOT(ISERROR(SEARCH("超过",J52)))</formula>
    </cfRule>
  </conditionalFormatting>
  <conditionalFormatting sqref="J54">
    <cfRule type="containsText" dxfId="144" priority="9" stopIfTrue="1" operator="containsText" text="超过">
      <formula>NOT(ISERROR(SEARCH("超过",J54)))</formula>
    </cfRule>
  </conditionalFormatting>
  <conditionalFormatting sqref="J53">
    <cfRule type="containsText" dxfId="143" priority="8" stopIfTrue="1" operator="containsText" text="超过">
      <formula>NOT(ISERROR(SEARCH("超过",J53)))</formula>
    </cfRule>
  </conditionalFormatting>
  <conditionalFormatting sqref="I52">
    <cfRule type="expression" dxfId="142" priority="7" stopIfTrue="1">
      <formula>$J$52="超过30%"</formula>
    </cfRule>
  </conditionalFormatting>
  <conditionalFormatting sqref="I53">
    <cfRule type="expression" dxfId="141" priority="6" stopIfTrue="1">
      <formula>$J$53="超过20%"</formula>
    </cfRule>
  </conditionalFormatting>
  <conditionalFormatting sqref="I54">
    <cfRule type="expression" dxfId="140" priority="5"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5">
    <dataValidation type="list" allowBlank="1" showInputMessage="1" showErrorMessage="1" sqref="C10 E10 G10 I10" xr:uid="{00000000-0002-0000-1B00-000000000000}">
      <formula1>土地年限区间</formula1>
    </dataValidation>
    <dataValidation type="list" allowBlank="1" showInputMessage="1" showErrorMessage="1" sqref="D1" xr:uid="{00000000-0002-0000-1B00-000001000000}">
      <formula1>项目类型</formula1>
    </dataValidation>
    <dataValidation type="list" allowBlank="1" showInputMessage="1" showErrorMessage="1" sqref="C43 E43 G43 I43" xr:uid="{00000000-0002-0000-1B00-000002000000}">
      <formula1>内部装修维护情况</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E18 G18 I18 C18" xr:uid="{00000000-0002-0000-1B00-000004000000}">
      <formula1>交通便捷度</formula1>
    </dataValidation>
    <dataValidation type="list" allowBlank="1" showInputMessage="1" showErrorMessage="1" sqref="E24 G24 I24 C24" xr:uid="{00000000-0002-0000-1B00-000005000000}">
      <formula1>环境</formula1>
    </dataValidation>
    <dataValidation type="list" allowBlank="1" showInputMessage="1" showErrorMessage="1" sqref="C25 E25 G25 I25" xr:uid="{00000000-0002-0000-1B00-000006000000}">
      <formula1>商业临街状况</formula1>
    </dataValidation>
    <dataValidation type="list" allowBlank="1" showInputMessage="1" showErrorMessage="1" sqref="C27 E27 G27 I27" xr:uid="{00000000-0002-0000-1B00-000007000000}">
      <formula1>商业人流量</formula1>
    </dataValidation>
    <dataValidation type="list" allowBlank="1" showInputMessage="1" showErrorMessage="1" sqref="C28 E28 G28 I28" xr:uid="{00000000-0002-0000-1B00-000008000000}">
      <formula1>商业楼层</formula1>
    </dataValidation>
    <dataValidation type="list" allowBlank="1" showInputMessage="1" showErrorMessage="1" sqref="C32 E32 G32 I32" xr:uid="{00000000-0002-0000-1B00-000009000000}">
      <formula1>商业类型</formula1>
    </dataValidation>
    <dataValidation type="list" allowBlank="1" showInputMessage="1" showErrorMessage="1" sqref="C34 E34 G34 I34" xr:uid="{00000000-0002-0000-1B00-00000A000000}">
      <formula1>商业建筑结构</formula1>
    </dataValidation>
    <dataValidation type="list" allowBlank="1" showInputMessage="1" showErrorMessage="1" sqref="C35 E35 G35 I35" xr:uid="{00000000-0002-0000-1B00-00000B000000}">
      <formula1>商业公共部分装修</formula1>
    </dataValidation>
    <dataValidation type="list" allowBlank="1" showInputMessage="1" showErrorMessage="1" sqref="C37 E37 G37 I37" xr:uid="{00000000-0002-0000-1B00-00000C000000}">
      <formula1>商业基础设施水平</formula1>
    </dataValidation>
    <dataValidation type="list" allowBlank="1" showInputMessage="1" showErrorMessage="1" sqref="C41 E41 G41 I41" xr:uid="{00000000-0002-0000-1B00-00000D000000}">
      <formula1>商业进深比</formula1>
    </dataValidation>
    <dataValidation type="list" allowBlank="1" showInputMessage="1" showErrorMessage="1" sqref="C42 E42 G42 I42" xr:uid="{00000000-0002-0000-1B00-00000E000000}">
      <formula1>商业内部装修</formula1>
    </dataValidation>
    <dataValidation type="list" allowBlank="1" showInputMessage="1" showErrorMessage="1" sqref="E9 G9 I9" xr:uid="{00000000-0002-0000-1B00-00000F000000}">
      <formula1>商业用途</formula1>
    </dataValidation>
    <dataValidation type="list" allowBlank="1" showInputMessage="1" showErrorMessage="1" sqref="C38 E38 G38 I38" xr:uid="{00000000-0002-0000-1B00-000010000000}">
      <formula1>商业业态</formula1>
    </dataValidation>
    <dataValidation type="list" allowBlank="1" showInputMessage="1" showErrorMessage="1" sqref="C39 E39 G39 I39" xr:uid="{00000000-0002-0000-1B00-000011000000}">
      <formula1>商业层高</formula1>
    </dataValidation>
    <dataValidation type="list" allowBlank="1" showInputMessage="1" showErrorMessage="1" sqref="C8 E8 G8 I8" xr:uid="{00000000-0002-0000-1B00-000012000000}">
      <formula1>商业交易情况</formula1>
    </dataValidation>
    <dataValidation type="list" allowBlank="1" showInputMessage="1" showErrorMessage="1" sqref="C16 E16 G16 I16" xr:uid="{00000000-0002-0000-1B00-000013000000}">
      <formula1>商业繁华度</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8"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v>
      </c>
    </row>
    <row r="4" spans="1:1" ht="18">
      <c r="A4" s="1665" t="str">
        <f>"受贵公司委托，我公司对"&amp;项目基本情况!S1&amp;"进行了预评估。"</f>
        <v>受贵公司委托，我公司对房地产市场价值进行了预评估。</v>
      </c>
    </row>
    <row r="5" spans="1:1" ht="18.75">
      <c r="A5" s="1666" t="s">
        <v>1577</v>
      </c>
    </row>
    <row r="6" spans="1:1" ht="18.75">
      <c r="A6" s="1667" t="s">
        <v>1578</v>
      </c>
    </row>
    <row r="7" spans="1:1" ht="36">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估价对象为房地产，为所有。根据《国有土地使用证》[]，估价对象（分摊）出让国有建设用地使用权面积为1442.46平方米，建筑面积为198.07平方米。</v>
      </c>
    </row>
    <row r="8" spans="1:1" ht="57.75">
      <c r="A8" s="1668" t="s">
        <v>1579</v>
      </c>
    </row>
    <row r="9" spans="1:1" ht="18.75">
      <c r="A9" s="1667" t="s">
        <v>1580</v>
      </c>
    </row>
    <row r="10" spans="1:1" ht="54">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估价对象为房地产,属开发建设的，该项目尚在开发建设中。根据《国有土地使用证》[]，估价对象（分摊）出让国有建设用地使用权面积为1442.46平方米，规划建筑面积为198.07平方米。</v>
      </c>
    </row>
    <row r="11" spans="1:1" ht="76.5">
      <c r="A11" s="1668" t="s">
        <v>1581</v>
      </c>
    </row>
    <row r="12" spans="1:1" ht="18.75">
      <c r="A12" s="1666" t="s">
        <v>1582</v>
      </c>
    </row>
    <row r="13" spans="1:1" ht="38.25" customHeight="1">
      <c r="A13" s="1669" t="str">
        <f>IF(项目基本情况!B8="抵押",IF(项目基本情况!B5=项目基本情况!B6,定义!C51,定义!B51),定义!D51)</f>
        <v>为估价委托人了解估价对象房地产市场价值提供参考依据。</v>
      </c>
    </row>
    <row r="14" spans="1:1" ht="18.75">
      <c r="A14" s="1670" t="s">
        <v>1583</v>
      </c>
    </row>
    <row r="15" spans="1:1" ht="18">
      <c r="A15" s="1671" t="str">
        <f>TEXT(项目基本情况!D3,"yyyy年m月d日;;")&amp;IF(项目基本情况!D3=项目基本情况!B3,"（评估专业人员实地查勘之日）","")</f>
        <v>2021年6月10日（评估专业人员实地查勘之日）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6月10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665" t="str">
        <f>IF(项目基本情况!B9="房地产市场价值","——",IF(项目基本情况!E8="房地产抵押价值",定义!C54,IF(项目基本情况!E8="已注销",定义!C55,定义!C56)))</f>
        <v>——</v>
      </c>
    </row>
    <row r="21" spans="1:1" ht="18">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665" t="str">
        <f>IF(项目基本情况!B9="房地产市场价值","——",IF(项目基本情况!E9="——","",定义!C57))</f>
        <v>——</v>
      </c>
    </row>
    <row r="23" spans="1:1" ht="18.75">
      <c r="A23" s="1670" t="s">
        <v>1574</v>
      </c>
    </row>
    <row r="24" spans="1:1" ht="18">
      <c r="A24" s="1672" t="str">
        <f>"本次评估采用的主估价方法为"&amp;结果表!K4&amp;"和"&amp;结果表!L4&amp;"。"</f>
        <v>本次评估采用的主估价方法为成本法和收益法。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zoomScale="60" zoomScaleNormal="70" workbookViewId="0">
      <selection activeCell="D30" activeCellId="1" sqref="H5 D30"/>
    </sheetView>
  </sheetViews>
  <sheetFormatPr defaultColWidth="9" defaultRowHeight="14.25"/>
  <cols>
    <col min="1" max="1" width="10.5" style="363" customWidth="1"/>
    <col min="2" max="3" width="15.62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1037"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2349</v>
      </c>
      <c r="B1" s="2143" t="s">
        <v>2507</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IF(C2="——",ROUND(C50*D3/10000,0),ROUND(C50*D3/10000,0)-D2)</f>
        <v>#DIV/0!</v>
      </c>
      <c r="C2" s="2067"/>
      <c r="D2" s="1275" t="e">
        <f ca="1">SUMIF(INDIRECT("'"&amp;F2&amp;"'"&amp;"!A:A"),"承租人权益价值",INDIRECT("'"&amp;F2&amp;"'"&amp;"!c:c"))</f>
        <v>#REF!</v>
      </c>
      <c r="E2" s="2068" t="s">
        <v>2149</v>
      </c>
      <c r="F2" s="2069"/>
      <c r="G2" s="1039"/>
      <c r="H2" s="1039"/>
      <c r="I2" s="1039"/>
      <c r="J2" s="1039"/>
      <c r="K2" s="1039"/>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IF(C2="——",C50,ROUND(B2*10000/D3,0))</f>
        <v>#DIV/0!</v>
      </c>
      <c r="C3" s="360" t="s">
        <v>2465</v>
      </c>
      <c r="D3" s="359">
        <f>IF(D1="",'数据-汇总表'!E3,SUMIF('数据-汇总表'!$C19:$C33,D1,'数据-汇总表'!$E19:$E33))</f>
        <v>198.07</v>
      </c>
      <c r="E3" s="2140"/>
      <c r="F3" s="1040"/>
      <c r="G3" s="1039"/>
      <c r="H3" s="1039"/>
      <c r="I3" s="1039"/>
      <c r="J3" s="1039"/>
      <c r="K3" s="1041"/>
      <c r="L3" s="2963"/>
      <c r="M3" s="2964"/>
      <c r="N3" s="2964"/>
      <c r="O3" s="2964"/>
      <c r="P3" s="708"/>
      <c r="Q3" s="708"/>
      <c r="R3" s="708"/>
      <c r="S3" s="708"/>
      <c r="T3" s="708"/>
      <c r="U3" s="708"/>
      <c r="V3" s="708"/>
      <c r="W3" s="708"/>
      <c r="X3" s="708"/>
      <c r="Y3" s="708"/>
      <c r="Z3" s="708"/>
      <c r="AA3" s="708"/>
      <c r="AB3" s="708"/>
      <c r="AC3" s="709"/>
    </row>
    <row r="4" spans="1:29" ht="15">
      <c r="A4" s="361" t="s">
        <v>2466</v>
      </c>
      <c r="B4" s="362"/>
      <c r="C4" s="3925" t="s">
        <v>2467</v>
      </c>
      <c r="D4" s="3926"/>
      <c r="E4" s="3927" t="s">
        <v>2468</v>
      </c>
      <c r="F4" s="3928"/>
      <c r="G4" s="3925" t="s">
        <v>2469</v>
      </c>
      <c r="H4" s="3926"/>
      <c r="I4" s="3925" t="s">
        <v>2470</v>
      </c>
      <c r="J4" s="3926"/>
      <c r="K4" s="567" t="s">
        <v>2471</v>
      </c>
      <c r="L4" s="2944"/>
      <c r="M4" s="2945"/>
      <c r="N4" s="2945"/>
      <c r="O4" s="2945"/>
      <c r="P4" s="3959" t="s">
        <v>2472</v>
      </c>
      <c r="Q4" s="3960"/>
      <c r="R4" s="3963" t="s">
        <v>2468</v>
      </c>
      <c r="S4" s="3964"/>
      <c r="T4" s="3963" t="s">
        <v>2469</v>
      </c>
      <c r="U4" s="3964"/>
      <c r="V4" s="3965" t="s">
        <v>2470</v>
      </c>
      <c r="W4" s="3965"/>
      <c r="X4" s="2144"/>
      <c r="Y4" s="3963" t="s">
        <v>2472</v>
      </c>
      <c r="Z4" s="3964"/>
      <c r="AA4" s="3967" t="s">
        <v>2468</v>
      </c>
      <c r="AB4" s="3967" t="s">
        <v>2469</v>
      </c>
      <c r="AC4" s="3956" t="s">
        <v>2470</v>
      </c>
    </row>
    <row r="5" spans="1:29" ht="15">
      <c r="A5" s="364"/>
      <c r="B5" s="365"/>
      <c r="C5" s="3944" t="s">
        <v>2363</v>
      </c>
      <c r="D5" s="3945"/>
      <c r="E5" s="3951" t="s">
        <v>2364</v>
      </c>
      <c r="F5" s="3952"/>
      <c r="G5" s="3944" t="s">
        <v>2365</v>
      </c>
      <c r="H5" s="3945"/>
      <c r="I5" s="3944" t="s">
        <v>2366</v>
      </c>
      <c r="J5" s="3945"/>
      <c r="K5" s="567"/>
      <c r="L5" s="2944"/>
      <c r="M5" s="2945"/>
      <c r="N5" s="2945"/>
      <c r="O5" s="2945"/>
      <c r="P5" s="3961"/>
      <c r="Q5" s="3932"/>
      <c r="R5" s="3937"/>
      <c r="S5" s="3938"/>
      <c r="T5" s="3937"/>
      <c r="U5" s="3938"/>
      <c r="V5" s="3941"/>
      <c r="W5" s="3941"/>
      <c r="X5" s="1539"/>
      <c r="Y5" s="3937"/>
      <c r="Z5" s="3938"/>
      <c r="AA5" s="3923"/>
      <c r="AB5" s="3923"/>
      <c r="AC5" s="3957"/>
    </row>
    <row r="6" spans="1:29" ht="15.75" thickBot="1">
      <c r="A6" s="366"/>
      <c r="B6" s="367"/>
      <c r="C6" s="3942" t="s">
        <v>2367</v>
      </c>
      <c r="D6" s="3943"/>
      <c r="E6" s="3949" t="s">
        <v>2367</v>
      </c>
      <c r="F6" s="3950"/>
      <c r="G6" s="3942" t="s">
        <v>2367</v>
      </c>
      <c r="H6" s="3943"/>
      <c r="I6" s="3942" t="s">
        <v>2367</v>
      </c>
      <c r="J6" s="3943"/>
      <c r="K6" s="567" t="s">
        <v>2368</v>
      </c>
      <c r="L6" s="2944"/>
      <c r="M6" s="2945"/>
      <c r="N6" s="2945"/>
      <c r="O6" s="2945"/>
      <c r="P6" s="3962"/>
      <c r="Q6" s="3934"/>
      <c r="R6" s="3937"/>
      <c r="S6" s="3938"/>
      <c r="T6" s="3939"/>
      <c r="U6" s="3940"/>
      <c r="V6" s="3941"/>
      <c r="W6" s="3941"/>
      <c r="X6" s="1539"/>
      <c r="Y6" s="3939"/>
      <c r="Z6" s="3940"/>
      <c r="AA6" s="3924"/>
      <c r="AB6" s="3924"/>
      <c r="AC6" s="3958"/>
    </row>
    <row r="7" spans="1:29" s="113" customFormat="1" ht="15.75" thickBot="1">
      <c r="A7" s="368" t="s">
        <v>2369</v>
      </c>
      <c r="B7" s="369"/>
      <c r="C7" s="370">
        <f>'数据-取费表'!B2</f>
        <v>44357</v>
      </c>
      <c r="D7" s="371">
        <v>100</v>
      </c>
      <c r="E7" s="372"/>
      <c r="F7" s="373">
        <f>SUMIF(59:59,YEAR(E7)&amp;"-"&amp;MONTH(E7),60:60)</f>
        <v>0</v>
      </c>
      <c r="G7" s="372"/>
      <c r="H7" s="371">
        <f>SUMIF(59:59,YEAR(G7)&amp;"-"&amp;MONTH(G7),60:60)</f>
        <v>0</v>
      </c>
      <c r="I7" s="372"/>
      <c r="J7" s="371">
        <f>SUMIF(59:59,YEAR(I7)&amp;"-"&amp;MONTH(I7),60:60)</f>
        <v>0</v>
      </c>
      <c r="K7" s="568"/>
      <c r="L7" s="2946"/>
      <c r="M7" s="2947"/>
      <c r="N7" s="2947"/>
      <c r="O7" s="2947"/>
      <c r="P7" s="3966" t="s">
        <v>2370</v>
      </c>
      <c r="Q7" s="3948"/>
      <c r="R7" s="710" t="s">
        <v>17</v>
      </c>
      <c r="S7" s="711">
        <f t="shared" ref="S7:S15" si="0">F7</f>
        <v>0</v>
      </c>
      <c r="T7" s="710" t="s">
        <v>17</v>
      </c>
      <c r="U7" s="711">
        <f t="shared" ref="U7:U15" si="1">H7</f>
        <v>0</v>
      </c>
      <c r="V7" s="710" t="s">
        <v>17</v>
      </c>
      <c r="W7" s="711">
        <f t="shared" ref="W7:W15" si="2">J7</f>
        <v>0</v>
      </c>
      <c r="X7" s="712"/>
      <c r="Y7" s="3946" t="s">
        <v>2370</v>
      </c>
      <c r="Z7" s="3947"/>
      <c r="AA7" s="713" t="e">
        <f>D7/F7</f>
        <v>#DIV/0!</v>
      </c>
      <c r="AB7" s="713" t="e">
        <f>D7/H7</f>
        <v>#DIV/0!</v>
      </c>
      <c r="AC7" s="2145" t="e">
        <f>D7/J7</f>
        <v>#DIV/0!</v>
      </c>
    </row>
    <row r="8" spans="1:29" s="113" customFormat="1" ht="15.75" thickBot="1">
      <c r="A8" s="368" t="s">
        <v>2371</v>
      </c>
      <c r="B8" s="369"/>
      <c r="C8" s="374" t="s">
        <v>2473</v>
      </c>
      <c r="D8" s="371">
        <v>100</v>
      </c>
      <c r="E8" s="374"/>
      <c r="F8" s="373">
        <f>SUMIF(62:62,E8,63:63)-SUMIF(62:62,C8,63:63)+100</f>
        <v>0</v>
      </c>
      <c r="G8" s="374"/>
      <c r="H8" s="371">
        <f>SUMIF(62:62,G8,63:63)-SUMIF(62:62,C8,63:63)+100</f>
        <v>0</v>
      </c>
      <c r="I8" s="374"/>
      <c r="J8" s="371">
        <f>SUMIF(62:62,I8,63:63)-SUMIF(62:62,C8,63:63)+100</f>
        <v>0</v>
      </c>
      <c r="K8" s="568"/>
      <c r="L8" s="2946"/>
      <c r="M8" s="2947"/>
      <c r="N8" s="2947"/>
      <c r="O8" s="2947"/>
      <c r="P8" s="3966" t="s">
        <v>2373</v>
      </c>
      <c r="Q8" s="3947"/>
      <c r="R8" s="710" t="s">
        <v>17</v>
      </c>
      <c r="S8" s="711">
        <f t="shared" si="0"/>
        <v>0</v>
      </c>
      <c r="T8" s="710" t="s">
        <v>17</v>
      </c>
      <c r="U8" s="711">
        <f t="shared" si="1"/>
        <v>0</v>
      </c>
      <c r="V8" s="710" t="s">
        <v>17</v>
      </c>
      <c r="W8" s="711">
        <f t="shared" si="2"/>
        <v>0</v>
      </c>
      <c r="X8" s="712"/>
      <c r="Y8" s="3946" t="s">
        <v>2373</v>
      </c>
      <c r="Z8" s="3947"/>
      <c r="AA8" s="713" t="e">
        <f t="shared" ref="AA8:AA47" si="3">D8/F8</f>
        <v>#DIV/0!</v>
      </c>
      <c r="AB8" s="713" t="e">
        <f t="shared" ref="AB8:AB47" si="4">D8/H8</f>
        <v>#DIV/0!</v>
      </c>
      <c r="AC8" s="2145" t="e">
        <f t="shared" ref="AC8:AC47" si="5">D8/J8</f>
        <v>#DIV/0!</v>
      </c>
    </row>
    <row r="9" spans="1:29" s="113" customFormat="1">
      <c r="A9" s="375" t="s">
        <v>2374</v>
      </c>
      <c r="B9" s="67" t="s">
        <v>2375</v>
      </c>
      <c r="C9" s="376"/>
      <c r="D9" s="131">
        <v>100</v>
      </c>
      <c r="E9" s="379"/>
      <c r="F9" s="131">
        <f>SUMIF(64:64,E9,65:65)-SUMIF(64:64,C9,65:65)+100</f>
        <v>100</v>
      </c>
      <c r="G9" s="377"/>
      <c r="H9" s="131">
        <f>SUMIF(64:64,G9,65:65)-SUMIF(64:64,C9,65:65)+100</f>
        <v>100</v>
      </c>
      <c r="I9" s="377"/>
      <c r="J9" s="131">
        <f>SUMIF(64:64,I9,65:65)-SUMIF(64:64,C9,65:65)+100</f>
        <v>100</v>
      </c>
      <c r="K9" s="568"/>
      <c r="L9" s="2946"/>
      <c r="M9" s="2947"/>
      <c r="N9" s="2947"/>
      <c r="O9" s="2947"/>
      <c r="P9" s="3921"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2145">
        <f t="shared" si="5"/>
        <v>1</v>
      </c>
    </row>
    <row r="10" spans="1:29" s="386" customFormat="1" ht="27">
      <c r="A10" s="380"/>
      <c r="B10" s="381" t="s">
        <v>2378</v>
      </c>
      <c r="C10" s="382"/>
      <c r="D10" s="132">
        <v>100</v>
      </c>
      <c r="E10" s="382"/>
      <c r="F10" s="132">
        <f>SUMIF(66:66,E10,67:67)-SUMIF(66:66,C10,67:67)+100</f>
        <v>100</v>
      </c>
      <c r="G10" s="383"/>
      <c r="H10" s="132">
        <f>SUMIF(66:66,G10,67:67)-SUMIF(66:66,C10,67:67)+100</f>
        <v>100</v>
      </c>
      <c r="I10" s="382"/>
      <c r="J10" s="132">
        <f>SUMIF(66:66,I10,67:67)-SUMIF(66:66,C10,67:67)+100</f>
        <v>100</v>
      </c>
      <c r="K10" s="569"/>
      <c r="L10" s="2948"/>
      <c r="M10" s="2949"/>
      <c r="N10" s="2949"/>
      <c r="O10" s="2949"/>
      <c r="P10" s="3921"/>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2145">
        <f t="shared" si="5"/>
        <v>1</v>
      </c>
    </row>
    <row r="11" spans="1:29" ht="15">
      <c r="A11" s="387"/>
      <c r="B11" s="381" t="s">
        <v>2379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0"/>
      <c r="M11" s="2945"/>
      <c r="N11" s="2945"/>
      <c r="O11" s="2945"/>
      <c r="P11" s="3921"/>
      <c r="Q11" s="1527" t="str">
        <f t="shared" si="6"/>
        <v>容积率</v>
      </c>
      <c r="R11" s="710" t="s">
        <v>17</v>
      </c>
      <c r="S11" s="711" t="e">
        <f t="shared" si="0"/>
        <v>#N/A</v>
      </c>
      <c r="T11" s="710" t="s">
        <v>17</v>
      </c>
      <c r="U11" s="711" t="e">
        <f t="shared" si="1"/>
        <v>#N/A</v>
      </c>
      <c r="V11" s="710" t="s">
        <v>17</v>
      </c>
      <c r="W11" s="711" t="e">
        <f t="shared" si="2"/>
        <v>#N/A</v>
      </c>
      <c r="X11" s="712"/>
      <c r="Y11" s="3780"/>
      <c r="Z11" s="55" t="str">
        <f t="shared" si="7"/>
        <v>容积率</v>
      </c>
      <c r="AA11" s="713" t="e">
        <f t="shared" si="3"/>
        <v>#N/A</v>
      </c>
      <c r="AB11" s="713" t="e">
        <f t="shared" si="4"/>
        <v>#N/A</v>
      </c>
      <c r="AC11" s="2145" t="e">
        <f t="shared" si="5"/>
        <v>#N/A</v>
      </c>
    </row>
    <row r="12" spans="1:29" s="113" customFormat="1" ht="15">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6"/>
      <c r="M12" s="2947"/>
      <c r="N12" s="2947"/>
      <c r="O12" s="2947"/>
      <c r="P12" s="3921"/>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2145">
        <f>D12/J12</f>
        <v>1</v>
      </c>
    </row>
    <row r="13" spans="1:29" ht="15">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51"/>
      <c r="M13" s="2945"/>
      <c r="N13" s="2945"/>
      <c r="O13" s="2945"/>
      <c r="P13" s="3921"/>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2145">
        <f t="shared" si="5"/>
        <v>1</v>
      </c>
    </row>
    <row r="14" spans="1:29" ht="15.75"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51"/>
      <c r="M14" s="2945"/>
      <c r="N14" s="2945"/>
      <c r="O14" s="2945"/>
      <c r="P14" s="3921"/>
      <c r="Q14" s="1527">
        <f t="shared" si="6"/>
        <v>111</v>
      </c>
      <c r="R14" s="710" t="s">
        <v>17</v>
      </c>
      <c r="S14" s="711">
        <f t="shared" si="0"/>
        <v>100</v>
      </c>
      <c r="T14" s="710" t="s">
        <v>17</v>
      </c>
      <c r="U14" s="711">
        <f t="shared" si="1"/>
        <v>100</v>
      </c>
      <c r="V14" s="710" t="s">
        <v>17</v>
      </c>
      <c r="W14" s="711">
        <f t="shared" si="2"/>
        <v>100</v>
      </c>
      <c r="X14" s="712"/>
      <c r="Y14" s="3780"/>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1"/>
      <c r="M15" s="2945"/>
      <c r="N15" s="2945"/>
      <c r="O15" s="2945"/>
      <c r="P15" s="3919" t="s">
        <v>2381</v>
      </c>
      <c r="Q15" s="1536" t="str">
        <f t="shared" si="6"/>
        <v>办公集聚程度</v>
      </c>
      <c r="R15" s="714" t="s">
        <v>17</v>
      </c>
      <c r="S15" s="715">
        <f t="shared" si="0"/>
        <v>100</v>
      </c>
      <c r="T15" s="714" t="s">
        <v>17</v>
      </c>
      <c r="U15" s="715">
        <f t="shared" si="1"/>
        <v>100</v>
      </c>
      <c r="V15" s="714" t="s">
        <v>17</v>
      </c>
      <c r="W15" s="715">
        <f t="shared" si="2"/>
        <v>100</v>
      </c>
      <c r="X15" s="1539"/>
      <c r="Y15" s="3912" t="s">
        <v>2381</v>
      </c>
      <c r="Z15" s="1540" t="str">
        <f t="shared" si="7"/>
        <v>办公集聚程度</v>
      </c>
      <c r="AA15" s="1537">
        <f t="shared" si="3"/>
        <v>1</v>
      </c>
      <c r="AB15" s="1537">
        <f t="shared" si="4"/>
        <v>1</v>
      </c>
      <c r="AC15" s="2148">
        <f t="shared" si="5"/>
        <v>1</v>
      </c>
    </row>
    <row r="16" spans="1:29" ht="15">
      <c r="A16" s="387"/>
      <c r="B16" s="586"/>
      <c r="C16" s="2090"/>
      <c r="D16" s="407"/>
      <c r="E16" s="406"/>
      <c r="F16" s="407"/>
      <c r="G16" s="2090"/>
      <c r="H16" s="409"/>
      <c r="I16" s="406"/>
      <c r="J16" s="407"/>
      <c r="K16" s="572"/>
      <c r="L16" s="2951"/>
      <c r="M16" s="2945"/>
      <c r="N16" s="2945"/>
      <c r="O16" s="2945"/>
      <c r="P16" s="3920"/>
      <c r="Q16" s="1536"/>
      <c r="R16" s="714"/>
      <c r="S16" s="715"/>
      <c r="T16" s="714"/>
      <c r="U16" s="715"/>
      <c r="V16" s="714"/>
      <c r="W16" s="715"/>
      <c r="X16" s="1539"/>
      <c r="Y16" s="3913"/>
      <c r="Z16" s="1540"/>
      <c r="AA16" s="1537">
        <v>1</v>
      </c>
      <c r="AB16" s="1537">
        <v>1</v>
      </c>
      <c r="AC16" s="2148">
        <v>1</v>
      </c>
    </row>
    <row r="17" spans="1:29" ht="71.25">
      <c r="A17" s="387"/>
      <c r="B17" s="587" t="s">
        <v>1945</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1"/>
      <c r="M17" s="2945"/>
      <c r="N17" s="2945"/>
      <c r="O17" s="2945"/>
      <c r="P17" s="3920"/>
      <c r="Q17" s="1536" t="str">
        <f>B17</f>
        <v>交通便捷度</v>
      </c>
      <c r="R17" s="714" t="s">
        <v>17</v>
      </c>
      <c r="S17" s="715">
        <f>F17</f>
        <v>100</v>
      </c>
      <c r="T17" s="714" t="s">
        <v>17</v>
      </c>
      <c r="U17" s="715">
        <f>H17</f>
        <v>100</v>
      </c>
      <c r="V17" s="714" t="s">
        <v>17</v>
      </c>
      <c r="W17" s="715">
        <f>J17</f>
        <v>100</v>
      </c>
      <c r="X17" s="1539"/>
      <c r="Y17" s="3913"/>
      <c r="Z17" s="1540" t="str">
        <f>Q17</f>
        <v>交通便捷度</v>
      </c>
      <c r="AA17" s="1537">
        <f t="shared" si="3"/>
        <v>1</v>
      </c>
      <c r="AB17" s="1537">
        <f t="shared" si="4"/>
        <v>1</v>
      </c>
      <c r="AC17" s="2148">
        <f t="shared" si="5"/>
        <v>1</v>
      </c>
    </row>
    <row r="18" spans="1:29" ht="15">
      <c r="A18" s="387"/>
      <c r="B18" s="588"/>
      <c r="C18" s="2150"/>
      <c r="D18" s="409"/>
      <c r="E18" s="2088"/>
      <c r="F18" s="409"/>
      <c r="G18" s="2089"/>
      <c r="H18" s="407"/>
      <c r="I18" s="2089"/>
      <c r="J18" s="407"/>
      <c r="K18" s="572"/>
      <c r="L18" s="2951"/>
      <c r="M18" s="2945"/>
      <c r="N18" s="2945"/>
      <c r="O18" s="2945"/>
      <c r="P18" s="3920"/>
      <c r="Q18" s="1536"/>
      <c r="R18" s="714"/>
      <c r="S18" s="715"/>
      <c r="T18" s="714"/>
      <c r="U18" s="715"/>
      <c r="V18" s="714"/>
      <c r="W18" s="715"/>
      <c r="X18" s="1539"/>
      <c r="Y18" s="3913"/>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1"/>
      <c r="M19" s="2945"/>
      <c r="N19" s="2945"/>
      <c r="O19" s="2945"/>
      <c r="P19" s="3920"/>
      <c r="Q19" s="1536" t="str">
        <f>B19</f>
        <v>公共配套设施</v>
      </c>
      <c r="R19" s="714" t="s">
        <v>17</v>
      </c>
      <c r="S19" s="715">
        <f>F19</f>
        <v>100</v>
      </c>
      <c r="T19" s="714" t="s">
        <v>17</v>
      </c>
      <c r="U19" s="715">
        <f>H19</f>
        <v>100</v>
      </c>
      <c r="V19" s="714" t="s">
        <v>17</v>
      </c>
      <c r="W19" s="715">
        <f>J19</f>
        <v>100</v>
      </c>
      <c r="X19" s="1539"/>
      <c r="Y19" s="3913"/>
      <c r="Z19" s="1540" t="str">
        <f>Q19</f>
        <v>公共配套设施</v>
      </c>
      <c r="AA19" s="1537">
        <f t="shared" si="3"/>
        <v>1</v>
      </c>
      <c r="AB19" s="1537">
        <f t="shared" si="4"/>
        <v>1</v>
      </c>
      <c r="AC19" s="2148">
        <f t="shared" si="5"/>
        <v>1</v>
      </c>
    </row>
    <row r="20" spans="1:29" ht="15">
      <c r="A20" s="387"/>
      <c r="B20" s="588"/>
      <c r="C20" s="2090"/>
      <c r="D20" s="407"/>
      <c r="E20" s="2083"/>
      <c r="F20" s="407"/>
      <c r="G20" s="2084"/>
      <c r="H20" s="407"/>
      <c r="I20" s="2084"/>
      <c r="J20" s="407"/>
      <c r="K20" s="572"/>
      <c r="L20" s="2951"/>
      <c r="M20" s="2945"/>
      <c r="N20" s="2945"/>
      <c r="O20" s="2945"/>
      <c r="P20" s="3920"/>
      <c r="Q20" s="1536"/>
      <c r="R20" s="714"/>
      <c r="S20" s="715"/>
      <c r="T20" s="714"/>
      <c r="U20" s="715"/>
      <c r="V20" s="714"/>
      <c r="W20" s="715"/>
      <c r="X20" s="1539"/>
      <c r="Y20" s="3913"/>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1"/>
      <c r="M21" s="2945"/>
      <c r="N21" s="2945"/>
      <c r="O21" s="2945"/>
      <c r="P21" s="3920"/>
      <c r="Q21" s="1536" t="str">
        <f>B21</f>
        <v>基础设施水平</v>
      </c>
      <c r="R21" s="714" t="s">
        <v>17</v>
      </c>
      <c r="S21" s="715">
        <f>F21</f>
        <v>100</v>
      </c>
      <c r="T21" s="714" t="s">
        <v>17</v>
      </c>
      <c r="U21" s="715">
        <f>H21</f>
        <v>100</v>
      </c>
      <c r="V21" s="714" t="s">
        <v>17</v>
      </c>
      <c r="W21" s="715">
        <f>J21</f>
        <v>100</v>
      </c>
      <c r="X21" s="1539"/>
      <c r="Y21" s="3913"/>
      <c r="Z21" s="1540" t="str">
        <f>Q21</f>
        <v>基础设施水平</v>
      </c>
      <c r="AA21" s="1537">
        <f t="shared" ref="AA21" si="8">D21/F21</f>
        <v>1</v>
      </c>
      <c r="AB21" s="1537">
        <f t="shared" ref="AB21" si="9">D21/H21</f>
        <v>1</v>
      </c>
      <c r="AC21" s="2148">
        <f t="shared" ref="AC21" si="10">D21/J21</f>
        <v>1</v>
      </c>
    </row>
    <row r="22" spans="1:29" ht="15">
      <c r="A22" s="387"/>
      <c r="B22" s="589"/>
      <c r="C22" s="2150"/>
      <c r="D22" s="407"/>
      <c r="E22" s="406"/>
      <c r="F22" s="407"/>
      <c r="G22" s="2090"/>
      <c r="H22" s="407"/>
      <c r="I22" s="2090"/>
      <c r="J22" s="407"/>
      <c r="K22" s="1292"/>
      <c r="L22" s="2951"/>
      <c r="M22" s="2945"/>
      <c r="N22" s="2945"/>
      <c r="O22" s="2945"/>
      <c r="P22" s="3920"/>
      <c r="Q22" s="1536"/>
      <c r="R22" s="714"/>
      <c r="S22" s="715"/>
      <c r="T22" s="714"/>
      <c r="U22" s="715"/>
      <c r="V22" s="714"/>
      <c r="W22" s="715"/>
      <c r="X22" s="1539"/>
      <c r="Y22" s="3913"/>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1"/>
      <c r="M23" s="2945"/>
      <c r="N23" s="2945"/>
      <c r="O23" s="2945"/>
      <c r="P23" s="3920"/>
      <c r="Q23" s="1536" t="str">
        <f>B23</f>
        <v>环境质量</v>
      </c>
      <c r="R23" s="714" t="s">
        <v>17</v>
      </c>
      <c r="S23" s="715">
        <f>F23</f>
        <v>100</v>
      </c>
      <c r="T23" s="714" t="s">
        <v>17</v>
      </c>
      <c r="U23" s="715">
        <f>H23</f>
        <v>100</v>
      </c>
      <c r="V23" s="714" t="s">
        <v>17</v>
      </c>
      <c r="W23" s="715">
        <f>J23</f>
        <v>100</v>
      </c>
      <c r="X23" s="1539"/>
      <c r="Y23" s="3913"/>
      <c r="Z23" s="1540" t="str">
        <f>Q23</f>
        <v>环境质量</v>
      </c>
      <c r="AA23" s="1537">
        <f t="shared" si="3"/>
        <v>1</v>
      </c>
      <c r="AB23" s="1537">
        <f t="shared" si="4"/>
        <v>1</v>
      </c>
      <c r="AC23" s="2148">
        <f t="shared" si="5"/>
        <v>1</v>
      </c>
    </row>
    <row r="24" spans="1:29" ht="15">
      <c r="A24" s="387"/>
      <c r="B24" s="589"/>
      <c r="C24" s="2090"/>
      <c r="D24" s="407"/>
      <c r="E24" s="2083"/>
      <c r="F24" s="407"/>
      <c r="G24" s="2084"/>
      <c r="H24" s="407"/>
      <c r="I24" s="2084"/>
      <c r="J24" s="407"/>
      <c r="K24" s="572"/>
      <c r="L24" s="2951"/>
      <c r="M24" s="2945"/>
      <c r="N24" s="2945"/>
      <c r="O24" s="2945"/>
      <c r="P24" s="3920"/>
      <c r="Q24" s="1536"/>
      <c r="R24" s="714"/>
      <c r="S24" s="715"/>
      <c r="T24" s="714"/>
      <c r="U24" s="715"/>
      <c r="V24" s="714"/>
      <c r="W24" s="715"/>
      <c r="X24" s="1539"/>
      <c r="Y24" s="3913"/>
      <c r="Z24" s="1540"/>
      <c r="AA24" s="1537">
        <v>1</v>
      </c>
      <c r="AB24" s="1537">
        <v>1</v>
      </c>
      <c r="AC24" s="2148">
        <v>1</v>
      </c>
    </row>
    <row r="25" spans="1:29" ht="27">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51"/>
      <c r="M25" s="2945"/>
      <c r="N25" s="2945"/>
      <c r="O25" s="2945"/>
      <c r="P25" s="3920"/>
      <c r="Q25" s="1536" t="str">
        <f>B25</f>
        <v>毗邻道路的类型与等级</v>
      </c>
      <c r="R25" s="714" t="s">
        <v>17</v>
      </c>
      <c r="S25" s="715">
        <f>F25</f>
        <v>100</v>
      </c>
      <c r="T25" s="714" t="s">
        <v>17</v>
      </c>
      <c r="U25" s="715">
        <f>H25</f>
        <v>100</v>
      </c>
      <c r="V25" s="714" t="s">
        <v>17</v>
      </c>
      <c r="W25" s="715">
        <f>J25</f>
        <v>100</v>
      </c>
      <c r="X25" s="1539"/>
      <c r="Y25" s="3913"/>
      <c r="Z25" s="1540" t="str">
        <f>Q25</f>
        <v>毗邻道路的类型与等级</v>
      </c>
      <c r="AA25" s="1537">
        <f t="shared" si="3"/>
        <v>1</v>
      </c>
      <c r="AB25" s="1537">
        <f t="shared" si="4"/>
        <v>1</v>
      </c>
      <c r="AC25" s="2148">
        <f t="shared" si="5"/>
        <v>1</v>
      </c>
    </row>
    <row r="26" spans="1:29" ht="15">
      <c r="A26" s="364"/>
      <c r="B26" s="588"/>
      <c r="C26" s="590"/>
      <c r="D26" s="394"/>
      <c r="E26" s="573"/>
      <c r="F26" s="394"/>
      <c r="G26" s="590"/>
      <c r="H26" s="394"/>
      <c r="I26" s="573"/>
      <c r="J26" s="394"/>
      <c r="K26" s="572"/>
      <c r="L26" s="2951"/>
      <c r="M26" s="2945"/>
      <c r="N26" s="2945"/>
      <c r="O26" s="2945"/>
      <c r="P26" s="3920"/>
      <c r="Q26" s="1536"/>
      <c r="R26" s="714"/>
      <c r="S26" s="715"/>
      <c r="T26" s="714"/>
      <c r="U26" s="715"/>
      <c r="V26" s="714"/>
      <c r="W26" s="715"/>
      <c r="X26" s="1539"/>
      <c r="Y26" s="3913"/>
      <c r="Z26" s="1540"/>
      <c r="AA26" s="1537">
        <v>1</v>
      </c>
      <c r="AB26" s="1537">
        <v>1</v>
      </c>
      <c r="AC26" s="2148">
        <v>1</v>
      </c>
    </row>
    <row r="27" spans="1:29" ht="15">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51"/>
      <c r="M27" s="2945"/>
      <c r="N27" s="2945"/>
      <c r="O27" s="2945"/>
      <c r="P27" s="3920"/>
      <c r="Q27" s="1536" t="str">
        <f t="shared" ref="Q27:Q47" si="11">B27</f>
        <v>楼层</v>
      </c>
      <c r="R27" s="714" t="s">
        <v>17</v>
      </c>
      <c r="S27" s="715">
        <f>F27</f>
        <v>100</v>
      </c>
      <c r="T27" s="714" t="s">
        <v>17</v>
      </c>
      <c r="U27" s="715">
        <f>H27</f>
        <v>100</v>
      </c>
      <c r="V27" s="714" t="s">
        <v>17</v>
      </c>
      <c r="W27" s="715">
        <f>J27</f>
        <v>100</v>
      </c>
      <c r="X27" s="1539"/>
      <c r="Y27" s="3913"/>
      <c r="Z27" s="1540" t="str">
        <f>Q27</f>
        <v>楼层</v>
      </c>
      <c r="AA27" s="1537">
        <f t="shared" si="3"/>
        <v>1</v>
      </c>
      <c r="AB27" s="1537">
        <f t="shared" si="4"/>
        <v>1</v>
      </c>
      <c r="AC27" s="2148">
        <f t="shared" si="5"/>
        <v>1</v>
      </c>
    </row>
    <row r="28" spans="1:29" s="113" customFormat="1" ht="15">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6"/>
      <c r="M28" s="2947"/>
      <c r="N28" s="2947"/>
      <c r="O28" s="2947"/>
      <c r="P28" s="3920"/>
      <c r="Q28" s="1527" t="str">
        <f t="shared" si="11"/>
        <v>朝向</v>
      </c>
      <c r="R28" s="710" t="s">
        <v>17</v>
      </c>
      <c r="S28" s="711">
        <f>F28</f>
        <v>100</v>
      </c>
      <c r="T28" s="710" t="s">
        <v>17</v>
      </c>
      <c r="U28" s="711">
        <f>H28</f>
        <v>100</v>
      </c>
      <c r="V28" s="710" t="s">
        <v>17</v>
      </c>
      <c r="W28" s="711">
        <f>J28</f>
        <v>100</v>
      </c>
      <c r="X28" s="712"/>
      <c r="Y28" s="3913"/>
      <c r="Z28" s="55" t="str">
        <f>Q28</f>
        <v>朝向</v>
      </c>
      <c r="AA28" s="1537">
        <f>D28/F28</f>
        <v>1</v>
      </c>
      <c r="AB28" s="1537">
        <f>D28/H28</f>
        <v>1</v>
      </c>
      <c r="AC28" s="2148">
        <f>D28/J28</f>
        <v>1</v>
      </c>
    </row>
    <row r="29" spans="1:29" ht="15">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51"/>
      <c r="M29" s="2945"/>
      <c r="N29" s="2945"/>
      <c r="O29" s="2945"/>
      <c r="P29" s="3920"/>
      <c r="Q29" s="1536">
        <f t="shared" si="11"/>
        <v>111</v>
      </c>
      <c r="R29" s="714" t="s">
        <v>17</v>
      </c>
      <c r="S29" s="715">
        <f t="shared" ref="S29:S47" si="12">F29</f>
        <v>100</v>
      </c>
      <c r="T29" s="714" t="s">
        <v>17</v>
      </c>
      <c r="U29" s="715">
        <f t="shared" ref="U29:U47" si="13">H29</f>
        <v>100</v>
      </c>
      <c r="V29" s="714" t="s">
        <v>17</v>
      </c>
      <c r="W29" s="715">
        <f t="shared" ref="W29:W47" si="14">J29</f>
        <v>100</v>
      </c>
      <c r="X29" s="1539"/>
      <c r="Y29" s="3913"/>
      <c r="Z29" s="1540">
        <f t="shared" ref="Z29:Z47" si="15">Q29</f>
        <v>111</v>
      </c>
      <c r="AA29" s="1537">
        <f t="shared" si="3"/>
        <v>1</v>
      </c>
      <c r="AB29" s="1537">
        <f t="shared" si="4"/>
        <v>1</v>
      </c>
      <c r="AC29" s="2148">
        <f t="shared" si="5"/>
        <v>1</v>
      </c>
    </row>
    <row r="30" spans="1:29" ht="15">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51"/>
      <c r="M30" s="2945"/>
      <c r="N30" s="2945"/>
      <c r="O30" s="2945"/>
      <c r="P30" s="3920"/>
      <c r="Q30" s="1536">
        <f t="shared" si="11"/>
        <v>111</v>
      </c>
      <c r="R30" s="714" t="s">
        <v>17</v>
      </c>
      <c r="S30" s="715">
        <f t="shared" si="12"/>
        <v>100</v>
      </c>
      <c r="T30" s="714" t="s">
        <v>17</v>
      </c>
      <c r="U30" s="715">
        <f t="shared" si="13"/>
        <v>100</v>
      </c>
      <c r="V30" s="714" t="s">
        <v>17</v>
      </c>
      <c r="W30" s="715">
        <f t="shared" si="14"/>
        <v>100</v>
      </c>
      <c r="X30" s="1539"/>
      <c r="Y30" s="3913"/>
      <c r="Z30" s="1540">
        <f t="shared" si="15"/>
        <v>111</v>
      </c>
      <c r="AA30" s="1537">
        <f t="shared" si="3"/>
        <v>1</v>
      </c>
      <c r="AB30" s="1537">
        <f t="shared" si="4"/>
        <v>1</v>
      </c>
      <c r="AC30" s="2148">
        <f t="shared" si="5"/>
        <v>1</v>
      </c>
    </row>
    <row r="31" spans="1:29" ht="15">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51"/>
      <c r="M31" s="2945"/>
      <c r="N31" s="2945"/>
      <c r="O31" s="2945"/>
      <c r="P31" s="3920"/>
      <c r="Q31" s="1536">
        <f t="shared" si="11"/>
        <v>111</v>
      </c>
      <c r="R31" s="714" t="s">
        <v>17</v>
      </c>
      <c r="S31" s="715">
        <f t="shared" si="12"/>
        <v>100</v>
      </c>
      <c r="T31" s="714" t="s">
        <v>17</v>
      </c>
      <c r="U31" s="715">
        <f t="shared" si="13"/>
        <v>100</v>
      </c>
      <c r="V31" s="714" t="s">
        <v>17</v>
      </c>
      <c r="W31" s="715">
        <f t="shared" si="14"/>
        <v>100</v>
      </c>
      <c r="X31" s="1539"/>
      <c r="Y31" s="3913"/>
      <c r="Z31" s="1540">
        <f t="shared" si="15"/>
        <v>111</v>
      </c>
      <c r="AA31" s="1537">
        <f t="shared" si="3"/>
        <v>1</v>
      </c>
      <c r="AB31" s="1537">
        <f t="shared" si="4"/>
        <v>1</v>
      </c>
      <c r="AC31" s="2148">
        <f t="shared" si="5"/>
        <v>1</v>
      </c>
    </row>
    <row r="32" spans="1:29" ht="15.75"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51"/>
      <c r="M32" s="2945"/>
      <c r="N32" s="2945"/>
      <c r="O32" s="2945"/>
      <c r="P32" s="3920"/>
      <c r="Q32" s="1536">
        <f t="shared" si="11"/>
        <v>111</v>
      </c>
      <c r="R32" s="714" t="s">
        <v>17</v>
      </c>
      <c r="S32" s="715">
        <f t="shared" si="12"/>
        <v>100</v>
      </c>
      <c r="T32" s="714" t="s">
        <v>17</v>
      </c>
      <c r="U32" s="715">
        <f t="shared" si="13"/>
        <v>100</v>
      </c>
      <c r="V32" s="714" t="s">
        <v>17</v>
      </c>
      <c r="W32" s="715">
        <f t="shared" si="14"/>
        <v>100</v>
      </c>
      <c r="X32" s="1539"/>
      <c r="Y32" s="3913"/>
      <c r="Z32" s="1540">
        <f t="shared" si="15"/>
        <v>111</v>
      </c>
      <c r="AA32" s="1537">
        <f t="shared" si="3"/>
        <v>1</v>
      </c>
      <c r="AB32" s="1537">
        <f t="shared" si="4"/>
        <v>1</v>
      </c>
      <c r="AC32" s="2148">
        <f t="shared" si="5"/>
        <v>1</v>
      </c>
    </row>
    <row r="33" spans="1:29" ht="15">
      <c r="A33" s="399" t="s">
        <v>2384</v>
      </c>
      <c r="B33" s="67" t="s">
        <v>2514</v>
      </c>
      <c r="C33" s="2153"/>
      <c r="D33" s="426">
        <v>100</v>
      </c>
      <c r="E33" s="2153"/>
      <c r="F33" s="420">
        <f>SUMIF(101:101,E33,102:102)-SUMIF(101:101,C33,102:102)+100</f>
        <v>100</v>
      </c>
      <c r="G33" s="2153"/>
      <c r="H33" s="394">
        <f>SUMIF(101:101,G33,102:102)-SUMIF(101:101,C33,102:102)+100</f>
        <v>100</v>
      </c>
      <c r="I33" s="2153"/>
      <c r="J33" s="426">
        <f>SUMIF(101:101,I33,102:102)-SUMIF(101:101,C33,102:102)+100</f>
        <v>100</v>
      </c>
      <c r="K33" s="569"/>
      <c r="L33" s="2951"/>
      <c r="M33" s="2945"/>
      <c r="N33" s="2945"/>
      <c r="O33" s="2945"/>
      <c r="P33" s="3914" t="s">
        <v>2386</v>
      </c>
      <c r="Q33" s="1536" t="str">
        <f t="shared" si="11"/>
        <v>建筑类型</v>
      </c>
      <c r="R33" s="714" t="s">
        <v>17</v>
      </c>
      <c r="S33" s="715">
        <f t="shared" si="12"/>
        <v>100</v>
      </c>
      <c r="T33" s="714" t="s">
        <v>17</v>
      </c>
      <c r="U33" s="715">
        <f t="shared" si="13"/>
        <v>100</v>
      </c>
      <c r="V33" s="714" t="s">
        <v>17</v>
      </c>
      <c r="W33" s="715">
        <f t="shared" si="14"/>
        <v>100</v>
      </c>
      <c r="X33" s="1539"/>
      <c r="Y33" s="3917" t="s">
        <v>2386</v>
      </c>
      <c r="Z33" s="1540" t="str">
        <f t="shared" si="15"/>
        <v>建筑类型</v>
      </c>
      <c r="AA33" s="1537">
        <f t="shared" si="3"/>
        <v>1</v>
      </c>
      <c r="AB33" s="1537">
        <f t="shared" si="4"/>
        <v>1</v>
      </c>
      <c r="AC33" s="2148">
        <f t="shared" si="5"/>
        <v>1</v>
      </c>
    </row>
    <row r="34" spans="1:29" s="430" customFormat="1" ht="15">
      <c r="A34" s="427"/>
      <c r="B34" s="381" t="s">
        <v>2387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0"/>
      <c r="M34" s="2952"/>
      <c r="N34" s="2952"/>
      <c r="O34" s="2952"/>
      <c r="P34" s="3915"/>
      <c r="Q34" s="716" t="str">
        <f t="shared" si="11"/>
        <v>项目建筑规模</v>
      </c>
      <c r="R34" s="717" t="s">
        <v>17</v>
      </c>
      <c r="S34" s="718" t="e">
        <f t="shared" si="12"/>
        <v>#N/A</v>
      </c>
      <c r="T34" s="717" t="s">
        <v>17</v>
      </c>
      <c r="U34" s="718" t="e">
        <f t="shared" si="13"/>
        <v>#N/A</v>
      </c>
      <c r="V34" s="717" t="s">
        <v>17</v>
      </c>
      <c r="W34" s="718" t="e">
        <f t="shared" si="14"/>
        <v>#N/A</v>
      </c>
      <c r="X34" s="719"/>
      <c r="Y34" s="3917"/>
      <c r="Z34" s="720" t="str">
        <f t="shared" si="15"/>
        <v>项目建筑规模</v>
      </c>
      <c r="AA34" s="1537" t="e">
        <f t="shared" si="3"/>
        <v>#N/A</v>
      </c>
      <c r="AB34" s="1537" t="e">
        <f t="shared" si="4"/>
        <v>#N/A</v>
      </c>
      <c r="AC34" s="2148" t="e">
        <f t="shared" si="5"/>
        <v>#N/A</v>
      </c>
    </row>
    <row r="35" spans="1:29" ht="15">
      <c r="A35" s="431"/>
      <c r="B35" s="381" t="s">
        <v>2388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1"/>
      <c r="M35" s="2945"/>
      <c r="N35" s="2945"/>
      <c r="O35" s="2945"/>
      <c r="P35" s="3915"/>
      <c r="Q35" s="1536" t="str">
        <f t="shared" si="11"/>
        <v>建筑结构</v>
      </c>
      <c r="R35" s="714" t="s">
        <v>17</v>
      </c>
      <c r="S35" s="715">
        <f t="shared" si="12"/>
        <v>100</v>
      </c>
      <c r="T35" s="714" t="s">
        <v>17</v>
      </c>
      <c r="U35" s="715">
        <f t="shared" si="13"/>
        <v>100</v>
      </c>
      <c r="V35" s="714" t="s">
        <v>17</v>
      </c>
      <c r="W35" s="715">
        <f t="shared" si="14"/>
        <v>100</v>
      </c>
      <c r="X35" s="1539"/>
      <c r="Y35" s="3917"/>
      <c r="Z35" s="1540" t="str">
        <f t="shared" si="15"/>
        <v>建筑结构</v>
      </c>
      <c r="AA35" s="1537">
        <f t="shared" si="3"/>
        <v>1</v>
      </c>
      <c r="AB35" s="1537">
        <f t="shared" si="4"/>
        <v>1</v>
      </c>
      <c r="AC35" s="2148">
        <f t="shared" si="5"/>
        <v>1</v>
      </c>
    </row>
    <row r="36" spans="1:29" ht="15">
      <c r="A36" s="431"/>
      <c r="B36" s="381" t="s">
        <v>2482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1"/>
      <c r="M36" s="2945"/>
      <c r="N36" s="2945"/>
      <c r="O36" s="2945"/>
      <c r="P36" s="3915"/>
      <c r="Q36" s="1536" t="str">
        <f t="shared" si="11"/>
        <v>公共部分装修</v>
      </c>
      <c r="R36" s="714" t="s">
        <v>17</v>
      </c>
      <c r="S36" s="715">
        <f t="shared" si="12"/>
        <v>100</v>
      </c>
      <c r="T36" s="714" t="s">
        <v>17</v>
      </c>
      <c r="U36" s="715">
        <f t="shared" si="13"/>
        <v>100</v>
      </c>
      <c r="V36" s="714" t="s">
        <v>17</v>
      </c>
      <c r="W36" s="715">
        <f t="shared" si="14"/>
        <v>100</v>
      </c>
      <c r="X36" s="1539"/>
      <c r="Y36" s="3917"/>
      <c r="Z36" s="1540" t="str">
        <f t="shared" si="15"/>
        <v>公共部分装修</v>
      </c>
      <c r="AA36" s="1537">
        <f t="shared" si="3"/>
        <v>1</v>
      </c>
      <c r="AB36" s="1537">
        <f t="shared" si="4"/>
        <v>1</v>
      </c>
      <c r="AC36" s="2148">
        <f t="shared" si="5"/>
        <v>1</v>
      </c>
    </row>
    <row r="37" spans="1:29" ht="15">
      <c r="A37" s="431"/>
      <c r="B37" s="381" t="s">
        <v>2483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1"/>
      <c r="M37" s="2945"/>
      <c r="N37" s="2945"/>
      <c r="O37" s="2945"/>
      <c r="P37" s="3915"/>
      <c r="Q37" s="1536" t="str">
        <f t="shared" si="11"/>
        <v>成新度</v>
      </c>
      <c r="R37" s="714" t="s">
        <v>17</v>
      </c>
      <c r="S37" s="715" t="e">
        <f t="shared" si="12"/>
        <v>#N/A</v>
      </c>
      <c r="T37" s="714" t="s">
        <v>17</v>
      </c>
      <c r="U37" s="715" t="e">
        <f t="shared" si="13"/>
        <v>#N/A</v>
      </c>
      <c r="V37" s="714" t="s">
        <v>17</v>
      </c>
      <c r="W37" s="715" t="e">
        <f t="shared" si="14"/>
        <v>#N/A</v>
      </c>
      <c r="X37" s="1539"/>
      <c r="Y37" s="3917"/>
      <c r="Z37" s="1540" t="str">
        <f t="shared" si="15"/>
        <v>成新度</v>
      </c>
      <c r="AA37" s="1537" t="e">
        <f t="shared" si="3"/>
        <v>#N/A</v>
      </c>
      <c r="AB37" s="1537" t="e">
        <f t="shared" si="4"/>
        <v>#N/A</v>
      </c>
      <c r="AC37" s="2148" t="e">
        <f t="shared" si="5"/>
        <v>#N/A</v>
      </c>
    </row>
    <row r="38" spans="1:29" s="113" customFormat="1" ht="15">
      <c r="A38" s="432"/>
      <c r="B38" s="381" t="s">
        <v>2515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6"/>
      <c r="M38" s="2947"/>
      <c r="N38" s="2947"/>
      <c r="O38" s="2947"/>
      <c r="P38" s="3915"/>
      <c r="Q38" s="1527" t="str">
        <f t="shared" si="11"/>
        <v>写字楼等级</v>
      </c>
      <c r="R38" s="710" t="s">
        <v>17</v>
      </c>
      <c r="S38" s="711">
        <f t="shared" si="12"/>
        <v>100</v>
      </c>
      <c r="T38" s="710" t="s">
        <v>17</v>
      </c>
      <c r="U38" s="711">
        <f t="shared" si="13"/>
        <v>100</v>
      </c>
      <c r="V38" s="710" t="s">
        <v>17</v>
      </c>
      <c r="W38" s="711">
        <f t="shared" si="14"/>
        <v>100</v>
      </c>
      <c r="X38" s="712"/>
      <c r="Y38" s="3917"/>
      <c r="Z38" s="55" t="str">
        <f t="shared" si="15"/>
        <v>写字楼等级</v>
      </c>
      <c r="AA38" s="713">
        <f t="shared" si="3"/>
        <v>1</v>
      </c>
      <c r="AB38" s="713">
        <f t="shared" si="4"/>
        <v>1</v>
      </c>
      <c r="AC38" s="2145">
        <f t="shared" si="5"/>
        <v>1</v>
      </c>
    </row>
    <row r="39" spans="1:29" ht="15">
      <c r="A39" s="431"/>
      <c r="B39" s="381" t="s">
        <v>2516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1"/>
      <c r="M39" s="2945"/>
      <c r="N39" s="2945"/>
      <c r="O39" s="2945"/>
      <c r="P39" s="3915" t="s">
        <v>2386</v>
      </c>
      <c r="Q39" s="1536" t="str">
        <f t="shared" si="11"/>
        <v>物业管理</v>
      </c>
      <c r="R39" s="714" t="s">
        <v>17</v>
      </c>
      <c r="S39" s="715">
        <f t="shared" si="12"/>
        <v>100</v>
      </c>
      <c r="T39" s="714" t="s">
        <v>17</v>
      </c>
      <c r="U39" s="715">
        <f t="shared" si="13"/>
        <v>100</v>
      </c>
      <c r="V39" s="714" t="s">
        <v>17</v>
      </c>
      <c r="W39" s="715">
        <f t="shared" si="14"/>
        <v>100</v>
      </c>
      <c r="X39" s="1539"/>
      <c r="Y39" s="3917" t="s">
        <v>2386</v>
      </c>
      <c r="Z39" s="1540" t="str">
        <f t="shared" si="15"/>
        <v>物业管理</v>
      </c>
      <c r="AA39" s="1537">
        <f t="shared" si="3"/>
        <v>1</v>
      </c>
      <c r="AB39" s="1537">
        <f t="shared" si="4"/>
        <v>1</v>
      </c>
      <c r="AC39" s="2148">
        <f t="shared" si="5"/>
        <v>1</v>
      </c>
    </row>
    <row r="40" spans="1:29" ht="15">
      <c r="A40" s="431"/>
      <c r="B40" s="381" t="s">
        <v>2484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1"/>
      <c r="M40" s="2945"/>
      <c r="N40" s="2945"/>
      <c r="O40" s="2945"/>
      <c r="P40" s="3915"/>
      <c r="Q40" s="1536" t="str">
        <f t="shared" si="11"/>
        <v>市政基础设施</v>
      </c>
      <c r="R40" s="714" t="s">
        <v>17</v>
      </c>
      <c r="S40" s="715">
        <f t="shared" si="12"/>
        <v>100</v>
      </c>
      <c r="T40" s="714" t="s">
        <v>17</v>
      </c>
      <c r="U40" s="715">
        <f t="shared" si="13"/>
        <v>100</v>
      </c>
      <c r="V40" s="714" t="s">
        <v>17</v>
      </c>
      <c r="W40" s="715">
        <f t="shared" si="14"/>
        <v>100</v>
      </c>
      <c r="X40" s="1539"/>
      <c r="Y40" s="3917"/>
      <c r="Z40" s="1540" t="str">
        <f t="shared" si="15"/>
        <v>市政基础设施</v>
      </c>
      <c r="AA40" s="1537">
        <f t="shared" si="3"/>
        <v>1</v>
      </c>
      <c r="AB40" s="1537">
        <f t="shared" si="4"/>
        <v>1</v>
      </c>
      <c r="AC40" s="2148">
        <f t="shared" si="5"/>
        <v>1</v>
      </c>
    </row>
    <row r="41" spans="1:29" ht="15">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1"/>
      <c r="M41" s="2945"/>
      <c r="N41" s="2945"/>
      <c r="O41" s="2945"/>
      <c r="P41" s="3915"/>
      <c r="Q41" s="1536" t="str">
        <f t="shared" si="11"/>
        <v>层高</v>
      </c>
      <c r="R41" s="714" t="s">
        <v>17</v>
      </c>
      <c r="S41" s="715">
        <f t="shared" si="12"/>
        <v>100</v>
      </c>
      <c r="T41" s="714" t="s">
        <v>17</v>
      </c>
      <c r="U41" s="715">
        <f t="shared" si="13"/>
        <v>100</v>
      </c>
      <c r="V41" s="714" t="s">
        <v>17</v>
      </c>
      <c r="W41" s="715">
        <f t="shared" si="14"/>
        <v>100</v>
      </c>
      <c r="X41" s="1539"/>
      <c r="Y41" s="3917"/>
      <c r="Z41" s="1540" t="str">
        <f t="shared" si="15"/>
        <v>层高</v>
      </c>
      <c r="AA41" s="1537">
        <f t="shared" si="3"/>
        <v>1</v>
      </c>
      <c r="AB41" s="1537">
        <f t="shared" si="4"/>
        <v>1</v>
      </c>
      <c r="AC41" s="2148">
        <f t="shared" si="5"/>
        <v>1</v>
      </c>
    </row>
    <row r="42" spans="1:29" s="430" customFormat="1" ht="15">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0"/>
      <c r="M42" s="2952"/>
      <c r="N42" s="2952"/>
      <c r="O42" s="2952"/>
      <c r="P42" s="3915"/>
      <c r="Q42" s="716" t="str">
        <f t="shared" si="11"/>
        <v>单套建筑面积</v>
      </c>
      <c r="R42" s="717" t="s">
        <v>17</v>
      </c>
      <c r="S42" s="718">
        <f t="shared" si="12"/>
        <v>100</v>
      </c>
      <c r="T42" s="717" t="s">
        <v>17</v>
      </c>
      <c r="U42" s="718">
        <f t="shared" si="13"/>
        <v>100</v>
      </c>
      <c r="V42" s="717" t="s">
        <v>17</v>
      </c>
      <c r="W42" s="718">
        <f t="shared" si="14"/>
        <v>100</v>
      </c>
      <c r="X42" s="719"/>
      <c r="Y42" s="3917"/>
      <c r="Z42" s="720" t="str">
        <f t="shared" si="15"/>
        <v>单套建筑面积</v>
      </c>
      <c r="AA42" s="1537">
        <f t="shared" si="3"/>
        <v>1</v>
      </c>
      <c r="AB42" s="1537">
        <f t="shared" si="4"/>
        <v>1</v>
      </c>
      <c r="AC42" s="2148">
        <f t="shared" si="5"/>
        <v>1</v>
      </c>
    </row>
    <row r="43" spans="1:29" ht="15">
      <c r="A43" s="431"/>
      <c r="B43" s="381" t="s">
        <v>2489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1"/>
      <c r="M43" s="2945"/>
      <c r="N43" s="2945"/>
      <c r="O43" s="2945"/>
      <c r="P43" s="3915"/>
      <c r="Q43" s="1536" t="str">
        <f t="shared" si="11"/>
        <v>内部装修</v>
      </c>
      <c r="R43" s="714" t="s">
        <v>17</v>
      </c>
      <c r="S43" s="715">
        <f t="shared" si="12"/>
        <v>100</v>
      </c>
      <c r="T43" s="714" t="s">
        <v>17</v>
      </c>
      <c r="U43" s="715">
        <f t="shared" si="13"/>
        <v>100</v>
      </c>
      <c r="V43" s="714" t="s">
        <v>17</v>
      </c>
      <c r="W43" s="715">
        <f t="shared" si="14"/>
        <v>100</v>
      </c>
      <c r="X43" s="1539"/>
      <c r="Y43" s="3917"/>
      <c r="Z43" s="1540" t="str">
        <f t="shared" si="15"/>
        <v>内部装修</v>
      </c>
      <c r="AA43" s="1537">
        <f t="shared" si="3"/>
        <v>1</v>
      </c>
      <c r="AB43" s="1537">
        <f t="shared" si="4"/>
        <v>1</v>
      </c>
      <c r="AC43" s="2148">
        <f t="shared" si="5"/>
        <v>1</v>
      </c>
    </row>
    <row r="44" spans="1:29" ht="15">
      <c r="A44" s="431"/>
      <c r="B44" s="381" t="s">
        <v>2397</v>
      </c>
      <c r="C44" s="419"/>
      <c r="D44" s="394">
        <v>100</v>
      </c>
      <c r="E44" s="2092"/>
      <c r="F44" s="420">
        <f>SUMIF(125:125,E44,126:126)-SUMIF(125:125,C44,126:126)+100</f>
        <v>100</v>
      </c>
      <c r="G44" s="2092"/>
      <c r="H44" s="394">
        <f>SUMIF(125:125,G44,126:126)-SUMIF(125:125,C44,126:126)+100</f>
        <v>100</v>
      </c>
      <c r="I44" s="2092"/>
      <c r="J44" s="394">
        <f>SUMIF(125:125,I44,126:126)-SUMIF(125:125,C44,126:126)+100</f>
        <v>100</v>
      </c>
      <c r="K44" s="569"/>
      <c r="L44" s="2951"/>
      <c r="M44" s="2945"/>
      <c r="N44" s="2945"/>
      <c r="O44" s="2945"/>
      <c r="P44" s="3915"/>
      <c r="Q44" s="1536" t="str">
        <f t="shared" si="11"/>
        <v>内部装修维护情况</v>
      </c>
      <c r="R44" s="714" t="s">
        <v>17</v>
      </c>
      <c r="S44" s="715">
        <f t="shared" si="12"/>
        <v>100</v>
      </c>
      <c r="T44" s="714" t="s">
        <v>17</v>
      </c>
      <c r="U44" s="715">
        <f t="shared" si="13"/>
        <v>100</v>
      </c>
      <c r="V44" s="714" t="s">
        <v>17</v>
      </c>
      <c r="W44" s="715">
        <f t="shared" si="14"/>
        <v>100</v>
      </c>
      <c r="X44" s="1539"/>
      <c r="Y44" s="3917"/>
      <c r="Z44" s="1540" t="str">
        <f t="shared" si="15"/>
        <v>内部装修维护情况</v>
      </c>
      <c r="AA44" s="1537">
        <f t="shared" si="3"/>
        <v>1</v>
      </c>
      <c r="AB44" s="1537">
        <f t="shared" si="4"/>
        <v>1</v>
      </c>
      <c r="AC44" s="2148">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6"/>
      <c r="M45" s="2947"/>
      <c r="N45" s="2947"/>
      <c r="O45" s="2947"/>
      <c r="P45" s="3915"/>
      <c r="Q45" s="1527">
        <f t="shared" si="11"/>
        <v>111</v>
      </c>
      <c r="R45" s="710" t="s">
        <v>17</v>
      </c>
      <c r="S45" s="711">
        <f t="shared" si="12"/>
        <v>100</v>
      </c>
      <c r="T45" s="710" t="s">
        <v>17</v>
      </c>
      <c r="U45" s="711">
        <f t="shared" si="13"/>
        <v>100</v>
      </c>
      <c r="V45" s="710" t="s">
        <v>17</v>
      </c>
      <c r="W45" s="711">
        <f t="shared" si="14"/>
        <v>100</v>
      </c>
      <c r="X45" s="712"/>
      <c r="Y45" s="3917"/>
      <c r="Z45" s="55">
        <f t="shared" si="15"/>
        <v>111</v>
      </c>
      <c r="AA45" s="713">
        <f t="shared" si="3"/>
        <v>1</v>
      </c>
      <c r="AB45" s="713">
        <f t="shared" si="4"/>
        <v>1</v>
      </c>
      <c r="AC45" s="2145">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1"/>
      <c r="M46" s="2945"/>
      <c r="N46" s="2945"/>
      <c r="O46" s="2945"/>
      <c r="P46" s="3915"/>
      <c r="Q46" s="1536">
        <f t="shared" si="11"/>
        <v>111</v>
      </c>
      <c r="R46" s="714" t="s">
        <v>17</v>
      </c>
      <c r="S46" s="715">
        <f t="shared" si="12"/>
        <v>100</v>
      </c>
      <c r="T46" s="714" t="s">
        <v>17</v>
      </c>
      <c r="U46" s="715">
        <f t="shared" si="13"/>
        <v>100</v>
      </c>
      <c r="V46" s="714" t="s">
        <v>17</v>
      </c>
      <c r="W46" s="715">
        <f t="shared" si="14"/>
        <v>100</v>
      </c>
      <c r="X46" s="1539"/>
      <c r="Y46" s="3917"/>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1"/>
      <c r="M47" s="2945"/>
      <c r="N47" s="2945"/>
      <c r="O47" s="2945"/>
      <c r="P47" s="3916"/>
      <c r="Q47" s="1536">
        <f t="shared" si="11"/>
        <v>111</v>
      </c>
      <c r="R47" s="714" t="s">
        <v>17</v>
      </c>
      <c r="S47" s="715">
        <f t="shared" si="12"/>
        <v>100</v>
      </c>
      <c r="T47" s="714" t="s">
        <v>17</v>
      </c>
      <c r="U47" s="715">
        <f t="shared" si="13"/>
        <v>100</v>
      </c>
      <c r="V47" s="714" t="s">
        <v>17</v>
      </c>
      <c r="W47" s="715">
        <f t="shared" si="14"/>
        <v>100</v>
      </c>
      <c r="X47" s="1539"/>
      <c r="Y47" s="3918"/>
      <c r="Z47" s="1540">
        <f t="shared" si="15"/>
        <v>111</v>
      </c>
      <c r="AA47" s="1537">
        <f t="shared" si="3"/>
        <v>1</v>
      </c>
      <c r="AB47" s="1537">
        <f t="shared" si="4"/>
        <v>1</v>
      </c>
      <c r="AC47" s="2148">
        <f t="shared" si="5"/>
        <v>1</v>
      </c>
    </row>
    <row r="48" spans="1:29" ht="15">
      <c r="A48" s="438" t="s">
        <v>2398</v>
      </c>
      <c r="B48" s="439"/>
      <c r="C48" s="1316" t="s">
        <v>1</v>
      </c>
      <c r="D48" s="1317"/>
      <c r="E48" s="1318"/>
      <c r="F48" s="1319"/>
      <c r="G48" s="1320"/>
      <c r="H48" s="1321"/>
      <c r="I48" s="1318"/>
      <c r="J48" s="444"/>
      <c r="K48" s="723"/>
      <c r="L48" s="2953"/>
      <c r="M48" s="2945"/>
      <c r="N48" s="2945"/>
      <c r="O48" s="2945"/>
      <c r="P48" s="3921" t="str">
        <f>A48</f>
        <v>成交单价（元/平方米）</v>
      </c>
      <c r="Q48" s="3910"/>
      <c r="R48" s="3911">
        <f>E48</f>
        <v>0</v>
      </c>
      <c r="S48" s="3911"/>
      <c r="T48" s="3911">
        <f>G48</f>
        <v>0</v>
      </c>
      <c r="U48" s="3911"/>
      <c r="V48" s="3911">
        <f>I48</f>
        <v>0</v>
      </c>
      <c r="W48" s="3911"/>
      <c r="X48" s="405"/>
      <c r="Y48" s="721"/>
      <c r="Z48" s="405"/>
      <c r="AA48" s="405"/>
      <c r="AB48" s="405"/>
      <c r="AC48" s="586"/>
    </row>
    <row r="49" spans="1:29" ht="15.75" thickBot="1">
      <c r="A49" s="445" t="s">
        <v>2490</v>
      </c>
      <c r="B49" s="446"/>
      <c r="C49" s="1322" t="e">
        <f>R50</f>
        <v>#DIV/0!</v>
      </c>
      <c r="D49" s="2538" t="s">
        <v>2881</v>
      </c>
      <c r="E49" s="1323" t="e">
        <f>R49</f>
        <v>#DIV/0!</v>
      </c>
      <c r="F49" s="2539"/>
      <c r="G49" s="1322" t="e">
        <f>T49</f>
        <v>#DIV/0!</v>
      </c>
      <c r="H49" s="2539"/>
      <c r="I49" s="1323" t="e">
        <f>V49</f>
        <v>#DIV/0!</v>
      </c>
      <c r="J49" s="2539"/>
      <c r="K49" s="2541">
        <f>F49+H49+J49</f>
        <v>0</v>
      </c>
      <c r="L49" s="2953"/>
      <c r="M49" s="2945"/>
      <c r="N49" s="2945"/>
      <c r="O49" s="2945"/>
      <c r="P49" s="3921" t="str">
        <f>A49</f>
        <v>比较价值（元/平方米）</v>
      </c>
      <c r="Q49" s="3910"/>
      <c r="R49" s="3911" t="e">
        <f>IF(F1="售价",ROUND(PRODUCT(R48,AA7:AA47),0),ROUND(PRODUCT(R48,AA7:AA47),1))</f>
        <v>#DIV/0!</v>
      </c>
      <c r="S49" s="3911"/>
      <c r="T49" s="3911" t="e">
        <f>IF(F1="售价",ROUND(PRODUCT(T48,AB7:AB47),0),ROUND(PRODUCT(T48,AB7:AB47),1))</f>
        <v>#DIV/0!</v>
      </c>
      <c r="U49" s="3911"/>
      <c r="V49" s="3911" t="e">
        <f>IF(F1="售价",ROUND(PRODUCT(V48,AC7:AC47),0),ROUND(PRODUCT(V48,AC7:AC47),1))</f>
        <v>#DIV/0!</v>
      </c>
      <c r="W49" s="3911"/>
      <c r="X49" s="405"/>
      <c r="Y49" s="405"/>
      <c r="Z49" s="405"/>
      <c r="AA49" s="405"/>
      <c r="AB49" s="405"/>
      <c r="AC49" s="586"/>
    </row>
    <row r="50" spans="1:29" ht="15.75" thickBot="1">
      <c r="A50" s="449" t="s">
        <v>2491</v>
      </c>
      <c r="B50" s="450"/>
      <c r="C50" s="1325" t="e">
        <f>R50</f>
        <v>#DIV/0!</v>
      </c>
      <c r="D50" s="1325"/>
      <c r="E50" s="1325"/>
      <c r="F50" s="1325"/>
      <c r="G50" s="1325"/>
      <c r="H50" s="1325"/>
      <c r="I50" s="1325"/>
      <c r="J50" s="451"/>
      <c r="K50" s="724"/>
      <c r="L50" s="2953"/>
      <c r="M50" s="2945"/>
      <c r="N50" s="2945"/>
      <c r="O50" s="2945"/>
      <c r="P50" s="3953" t="str">
        <f>A50</f>
        <v>估价对象XX用房的比较价值（楼面单价，元/平方米）</v>
      </c>
      <c r="Q50" s="3954"/>
      <c r="R50" s="3955" t="e">
        <f>IF(F1="售价",ROUND(IF(D49="简单平均",AVERAGE(R49:V49),R49*F49+T49*H49+V49*J49),0),ROUND(IF(D49="简单平均",AVERAGE(R49:V49),R49*F49+T49*H49+V49*J49),1))</f>
        <v>#DIV/0!</v>
      </c>
      <c r="S50" s="3955"/>
      <c r="T50" s="3955"/>
      <c r="U50" s="3955"/>
      <c r="V50" s="3955"/>
      <c r="W50" s="3955"/>
      <c r="X50" s="2132"/>
      <c r="Y50" s="2132"/>
      <c r="Z50" s="2132"/>
      <c r="AA50" s="2132"/>
      <c r="AB50" s="2132"/>
      <c r="AC50" s="2133"/>
    </row>
    <row r="51" spans="1:29">
      <c r="A51" s="2954"/>
      <c r="B51" s="2954"/>
      <c r="C51" s="2954"/>
      <c r="D51" s="2954"/>
      <c r="E51" s="2954"/>
      <c r="F51" s="2954"/>
      <c r="G51" s="2958"/>
      <c r="H51" s="2954"/>
      <c r="I51" s="2954"/>
      <c r="J51" s="2954"/>
      <c r="K51" s="2959"/>
      <c r="L51" s="2955"/>
      <c r="M51" s="2954"/>
      <c r="N51" s="2954"/>
      <c r="O51" s="2954"/>
      <c r="P51" s="2985"/>
      <c r="Q51" s="2954"/>
      <c r="R51" s="2954"/>
      <c r="S51" s="2954"/>
      <c r="T51" s="2954"/>
      <c r="U51" s="2954"/>
      <c r="V51" s="2954"/>
      <c r="W51" s="2954"/>
      <c r="X51" s="2954"/>
      <c r="Y51" s="2954"/>
      <c r="Z51" s="2954"/>
      <c r="AA51" s="2954"/>
      <c r="AB51" s="2954"/>
      <c r="AC51" s="2954"/>
    </row>
    <row r="52" spans="1:29">
      <c r="A52" s="2954"/>
      <c r="B52" s="2954"/>
      <c r="C52" s="2954"/>
      <c r="D52" s="2954"/>
      <c r="E52" s="2954"/>
      <c r="F52" s="2954"/>
      <c r="G52" s="2954"/>
      <c r="H52" s="2954"/>
      <c r="I52" s="2954"/>
      <c r="J52" s="2954"/>
      <c r="K52" s="2959"/>
      <c r="L52" s="2955"/>
      <c r="M52" s="2954"/>
      <c r="N52" s="2954"/>
      <c r="O52" s="2954"/>
      <c r="P52" s="2985"/>
      <c r="Q52" s="2954"/>
      <c r="R52" s="2954"/>
      <c r="S52" s="2954"/>
      <c r="T52" s="2954"/>
      <c r="U52" s="2954"/>
      <c r="V52" s="2954"/>
      <c r="W52" s="2954"/>
      <c r="X52" s="2954"/>
      <c r="Y52" s="2954"/>
      <c r="Z52" s="2954"/>
      <c r="AA52" s="2954"/>
      <c r="AB52" s="2954"/>
      <c r="AC52" s="2954"/>
    </row>
    <row r="53" spans="1:29" ht="13.5" customHeight="1">
      <c r="A53" s="2954"/>
      <c r="B53" s="2954"/>
      <c r="C53" s="454" t="s">
        <v>2492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59"/>
      <c r="L53" s="2955"/>
      <c r="M53" s="2954"/>
      <c r="N53" s="2954"/>
      <c r="O53" s="2954"/>
      <c r="P53" s="2985"/>
      <c r="Q53" s="2954"/>
      <c r="R53" s="2954"/>
      <c r="S53" s="2954"/>
      <c r="T53" s="2954"/>
      <c r="U53" s="2954"/>
      <c r="V53" s="2954"/>
      <c r="W53" s="2954"/>
      <c r="X53" s="2954"/>
      <c r="Y53" s="2954"/>
      <c r="Z53" s="2954"/>
      <c r="AA53" s="2954"/>
      <c r="AB53" s="2954"/>
      <c r="AC53" s="2954"/>
    </row>
    <row r="54" spans="1:29" ht="13.5" customHeight="1">
      <c r="A54" s="2954"/>
      <c r="B54" s="2954"/>
      <c r="C54" s="454" t="s">
        <v>2493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59"/>
      <c r="L54" s="2955"/>
      <c r="M54" s="2954"/>
      <c r="N54" s="2954"/>
      <c r="O54" s="2954"/>
      <c r="P54" s="2985"/>
      <c r="Q54" s="2954"/>
      <c r="R54" s="2954"/>
      <c r="S54" s="2954"/>
      <c r="T54" s="2954"/>
      <c r="U54" s="2954"/>
      <c r="V54" s="2954"/>
      <c r="W54" s="2954"/>
      <c r="X54" s="2954"/>
      <c r="Y54" s="2954"/>
      <c r="Z54" s="2954"/>
      <c r="AA54" s="2954"/>
      <c r="AB54" s="2954"/>
      <c r="AC54" s="2954"/>
    </row>
    <row r="55" spans="1:29" s="459" customFormat="1" ht="13.5" customHeight="1">
      <c r="A55" s="2957"/>
      <c r="B55" s="2957"/>
      <c r="C55" s="454" t="s">
        <v>2494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2"/>
      <c r="L55" s="2956"/>
      <c r="M55" s="2957"/>
      <c r="N55" s="2957"/>
      <c r="O55" s="2957"/>
      <c r="P55" s="2986"/>
      <c r="Q55" s="2957"/>
      <c r="R55" s="2957"/>
      <c r="S55" s="2957"/>
      <c r="T55" s="2957"/>
      <c r="U55" s="2957"/>
      <c r="V55" s="2957"/>
      <c r="W55" s="2957"/>
      <c r="X55" s="2957"/>
      <c r="Y55" s="2957"/>
      <c r="Z55" s="2957"/>
      <c r="AA55" s="2957"/>
      <c r="AB55" s="2957"/>
      <c r="AC55" s="2957"/>
    </row>
    <row r="56" spans="1:29" s="459" customFormat="1">
      <c r="A56" s="2957"/>
      <c r="B56" s="2960"/>
      <c r="C56" s="2961"/>
      <c r="D56" s="2957"/>
      <c r="E56" s="2957"/>
      <c r="F56" s="2957"/>
      <c r="G56" s="2957"/>
      <c r="H56" s="2957"/>
      <c r="I56" s="2957"/>
      <c r="J56" s="2957"/>
      <c r="K56" s="2962"/>
      <c r="L56" s="2956"/>
      <c r="M56" s="2957"/>
      <c r="N56" s="2957"/>
      <c r="O56" s="2957"/>
      <c r="P56" s="2986"/>
      <c r="Q56" s="2957"/>
      <c r="R56" s="2957"/>
      <c r="S56" s="2957"/>
      <c r="T56" s="2957"/>
      <c r="U56" s="2957"/>
      <c r="V56" s="2957"/>
      <c r="W56" s="2957"/>
      <c r="X56" s="2957"/>
      <c r="Y56" s="2957"/>
      <c r="Z56" s="2957"/>
      <c r="AA56" s="2957"/>
      <c r="AB56" s="2957"/>
      <c r="AC56" s="2957"/>
    </row>
    <row r="57" spans="1:29">
      <c r="A57" s="2954"/>
      <c r="B57" s="2960"/>
      <c r="C57" s="2961"/>
      <c r="D57" s="2954"/>
      <c r="E57" s="2954"/>
      <c r="F57" s="2954"/>
      <c r="G57" s="2954"/>
      <c r="H57" s="2954"/>
      <c r="I57" s="2954"/>
      <c r="J57" s="2954"/>
      <c r="K57" s="2959"/>
      <c r="L57" s="2955"/>
      <c r="M57" s="2954"/>
      <c r="N57" s="2954"/>
      <c r="O57" s="2954"/>
      <c r="P57" s="2985"/>
      <c r="Q57" s="2954"/>
      <c r="R57" s="2954"/>
      <c r="S57" s="2954"/>
      <c r="T57" s="2954"/>
      <c r="U57" s="2954"/>
      <c r="V57" s="2954"/>
      <c r="W57" s="2954"/>
      <c r="X57" s="2954"/>
      <c r="Y57" s="2954"/>
      <c r="Z57" s="2954"/>
      <c r="AA57" s="2954"/>
      <c r="AB57" s="2954"/>
      <c r="AC57" s="2954"/>
    </row>
    <row r="58" spans="1:29" ht="21.75" thickBot="1">
      <c r="A58" s="703" t="s">
        <v>2495</v>
      </c>
      <c r="B58" s="699"/>
      <c r="C58" s="704"/>
      <c r="D58" s="704"/>
      <c r="E58" s="704"/>
      <c r="F58" s="705"/>
      <c r="G58" s="705"/>
      <c r="H58" s="704"/>
      <c r="I58" s="704"/>
      <c r="J58" s="704"/>
      <c r="K58" s="706"/>
      <c r="L58" s="1073"/>
      <c r="M58" s="1071"/>
      <c r="N58" s="2998"/>
      <c r="O58" s="2998"/>
      <c r="P58" s="2987"/>
      <c r="Q58" s="2968"/>
      <c r="R58" s="2954"/>
      <c r="S58" s="2954"/>
      <c r="T58" s="2954"/>
      <c r="U58" s="2954"/>
      <c r="V58" s="2954"/>
      <c r="W58" s="2954"/>
      <c r="X58" s="2954"/>
      <c r="Y58" s="2954"/>
      <c r="Z58" s="2954"/>
      <c r="AA58" s="2954"/>
      <c r="AB58" s="2954"/>
      <c r="AC58" s="2954"/>
    </row>
    <row r="59" spans="1:29" s="465" customFormat="1" ht="15">
      <c r="A59" s="462" t="s">
        <v>2369</v>
      </c>
      <c r="B59" s="463"/>
      <c r="C59" s="1346" t="str">
        <f>YEAR(C7)&amp;"-"&amp;MONTH(C7)</f>
        <v>2021-6</v>
      </c>
      <c r="D59" s="1347">
        <f>EDATE(C59,-1)</f>
        <v>44317</v>
      </c>
      <c r="E59" s="1347">
        <f>EDATE(D59,-1)</f>
        <v>44287</v>
      </c>
      <c r="F59" s="1347">
        <f t="shared" ref="F59:O59" si="16">EDATE(E59,-1)</f>
        <v>44256</v>
      </c>
      <c r="G59" s="1347">
        <f t="shared" si="16"/>
        <v>44228</v>
      </c>
      <c r="H59" s="1347">
        <f t="shared" si="16"/>
        <v>44197</v>
      </c>
      <c r="I59" s="1347">
        <f t="shared" si="16"/>
        <v>44166</v>
      </c>
      <c r="J59" s="1347">
        <f t="shared" si="16"/>
        <v>44136</v>
      </c>
      <c r="K59" s="1347">
        <f t="shared" si="16"/>
        <v>44105</v>
      </c>
      <c r="L59" s="1347">
        <f t="shared" si="16"/>
        <v>44075</v>
      </c>
      <c r="M59" s="1347">
        <f t="shared" si="16"/>
        <v>44044</v>
      </c>
      <c r="N59" s="1347">
        <f t="shared" si="16"/>
        <v>44013</v>
      </c>
      <c r="O59" s="1347">
        <f t="shared" si="16"/>
        <v>43983</v>
      </c>
      <c r="P59" s="2988"/>
      <c r="Q59" s="2970"/>
      <c r="R59" s="2970"/>
      <c r="S59" s="2970"/>
      <c r="T59" s="2970"/>
      <c r="U59" s="2970"/>
      <c r="V59" s="2970"/>
      <c r="W59" s="2970"/>
      <c r="X59" s="2970"/>
      <c r="Y59" s="2970"/>
      <c r="Z59" s="2970"/>
      <c r="AA59" s="2970"/>
      <c r="AB59" s="2970"/>
      <c r="AC59" s="2970"/>
    </row>
    <row r="60" spans="1:29" s="113" customFormat="1" ht="15">
      <c r="A60" s="466"/>
      <c r="B60" s="467"/>
      <c r="C60" s="1345">
        <v>100</v>
      </c>
      <c r="D60" s="469"/>
      <c r="E60" s="469"/>
      <c r="F60" s="469"/>
      <c r="G60" s="469"/>
      <c r="H60" s="469"/>
      <c r="I60" s="469"/>
      <c r="J60" s="469"/>
      <c r="K60" s="469"/>
      <c r="L60" s="469"/>
      <c r="M60" s="470"/>
      <c r="N60" s="469"/>
      <c r="O60" s="470"/>
      <c r="P60" s="2989"/>
      <c r="Q60" s="2888"/>
      <c r="R60" s="2888"/>
      <c r="S60" s="2888"/>
      <c r="T60" s="2888"/>
      <c r="U60" s="2888"/>
      <c r="V60" s="2888"/>
      <c r="W60" s="2888"/>
      <c r="X60" s="2888"/>
      <c r="Y60" s="2888"/>
      <c r="Z60" s="2888"/>
      <c r="AA60" s="2888"/>
      <c r="AB60" s="2888"/>
      <c r="AC60" s="2888"/>
    </row>
    <row r="61" spans="1:29" s="113" customFormat="1" ht="15.75" thickBot="1">
      <c r="A61" s="472" t="s">
        <v>2406</v>
      </c>
      <c r="B61" s="473"/>
      <c r="C61" s="474"/>
      <c r="D61" s="475"/>
      <c r="E61" s="475"/>
      <c r="F61" s="475"/>
      <c r="G61" s="475"/>
      <c r="H61" s="475"/>
      <c r="I61" s="475"/>
      <c r="J61" s="475"/>
      <c r="K61" s="475"/>
      <c r="L61" s="475"/>
      <c r="M61" s="476"/>
      <c r="N61" s="475"/>
      <c r="O61" s="476"/>
      <c r="P61" s="2989"/>
      <c r="Q61" s="2968"/>
      <c r="R61" s="2888"/>
      <c r="S61" s="2888"/>
      <c r="T61" s="2888"/>
      <c r="U61" s="2888"/>
      <c r="V61" s="2888"/>
      <c r="W61" s="2888"/>
      <c r="X61" s="2888"/>
      <c r="Y61" s="2888"/>
      <c r="Z61" s="2888"/>
      <c r="AA61" s="2888"/>
      <c r="AB61" s="2888"/>
      <c r="AC61" s="2888"/>
    </row>
    <row r="62" spans="1:29" s="113" customFormat="1" ht="15">
      <c r="A62" s="478" t="s">
        <v>2371</v>
      </c>
      <c r="B62" s="467"/>
      <c r="C62" s="479" t="s">
        <v>2473</v>
      </c>
      <c r="D62" s="480"/>
      <c r="E62" s="480"/>
      <c r="F62" s="480"/>
      <c r="G62" s="480"/>
      <c r="H62" s="480"/>
      <c r="I62" s="480"/>
      <c r="J62" s="480"/>
      <c r="K62" s="480"/>
      <c r="L62" s="481"/>
      <c r="M62" s="482"/>
      <c r="N62" s="2981"/>
      <c r="O62" s="2981"/>
      <c r="P62" s="2990"/>
      <c r="Q62" s="2968"/>
      <c r="R62" s="2888"/>
      <c r="S62" s="2888"/>
      <c r="T62" s="2888"/>
      <c r="U62" s="2888"/>
      <c r="V62" s="2888"/>
      <c r="W62" s="2888"/>
      <c r="X62" s="2888"/>
      <c r="Y62" s="2888"/>
      <c r="Z62" s="2888"/>
      <c r="AA62" s="2888"/>
      <c r="AB62" s="2888"/>
      <c r="AC62" s="2888"/>
    </row>
    <row r="63" spans="1:29" s="113" customFormat="1" ht="15.75" thickBot="1">
      <c r="A63" s="478"/>
      <c r="B63" s="467"/>
      <c r="C63" s="468">
        <v>100</v>
      </c>
      <c r="D63" s="469"/>
      <c r="E63" s="469"/>
      <c r="F63" s="469"/>
      <c r="G63" s="469"/>
      <c r="H63" s="469"/>
      <c r="I63" s="469"/>
      <c r="J63" s="469"/>
      <c r="K63" s="469"/>
      <c r="L63" s="469"/>
      <c r="M63" s="471"/>
      <c r="N63" s="2981"/>
      <c r="O63" s="2981"/>
      <c r="P63" s="2989"/>
      <c r="Q63" s="2968"/>
      <c r="R63" s="2888"/>
      <c r="S63" s="2888"/>
      <c r="T63" s="2888"/>
      <c r="U63" s="2888"/>
      <c r="V63" s="2888"/>
      <c r="W63" s="2888"/>
      <c r="X63" s="2888"/>
      <c r="Y63" s="2888"/>
      <c r="Z63" s="2888"/>
      <c r="AA63" s="2888"/>
      <c r="AB63" s="2888"/>
      <c r="AC63" s="2888"/>
    </row>
    <row r="64" spans="1:29">
      <c r="A64" s="484" t="s">
        <v>2409</v>
      </c>
      <c r="B64" s="485" t="s">
        <v>2375</v>
      </c>
      <c r="C64" s="486">
        <f>C9</f>
        <v>0</v>
      </c>
      <c r="D64" s="487"/>
      <c r="E64" s="487"/>
      <c r="F64" s="487"/>
      <c r="G64" s="487"/>
      <c r="H64" s="487"/>
      <c r="I64" s="487"/>
      <c r="J64" s="487"/>
      <c r="K64" s="488"/>
      <c r="L64" s="489"/>
      <c r="M64" s="490"/>
      <c r="N64" s="2982"/>
      <c r="O64" s="2982"/>
      <c r="P64" s="2991"/>
      <c r="Q64" s="2968"/>
      <c r="R64" s="2954"/>
      <c r="S64" s="2954"/>
      <c r="T64" s="2954"/>
      <c r="U64" s="2954"/>
      <c r="V64" s="2954"/>
      <c r="W64" s="2954"/>
      <c r="X64" s="2954"/>
      <c r="Y64" s="2954"/>
      <c r="Z64" s="2954"/>
      <c r="AA64" s="2954"/>
      <c r="AB64" s="2954"/>
      <c r="AC64" s="2954"/>
    </row>
    <row r="65" spans="1:29" ht="15.75" thickBot="1">
      <c r="A65" s="491"/>
      <c r="B65" s="492"/>
      <c r="C65" s="493">
        <v>100</v>
      </c>
      <c r="D65" s="493"/>
      <c r="E65" s="493"/>
      <c r="F65" s="493"/>
      <c r="G65" s="493"/>
      <c r="H65" s="493"/>
      <c r="I65" s="493"/>
      <c r="J65" s="493"/>
      <c r="K65" s="493"/>
      <c r="L65" s="493"/>
      <c r="M65" s="494"/>
      <c r="N65" s="2983"/>
      <c r="O65" s="2983"/>
      <c r="P65" s="2991"/>
      <c r="Q65" s="2968"/>
      <c r="R65" s="2954"/>
      <c r="S65" s="2954"/>
      <c r="T65" s="2954"/>
      <c r="U65" s="2954"/>
      <c r="V65" s="2954"/>
      <c r="W65" s="2954"/>
      <c r="X65" s="2954"/>
      <c r="Y65" s="2954"/>
      <c r="Z65" s="2954"/>
      <c r="AA65" s="2954"/>
      <c r="AB65" s="2954"/>
      <c r="AC65" s="2954"/>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82"/>
      <c r="O66" s="2982"/>
      <c r="P66" s="2991"/>
      <c r="Q66" s="2968"/>
      <c r="R66" s="2954"/>
      <c r="S66" s="2954"/>
      <c r="T66" s="2954"/>
      <c r="U66" s="2954"/>
      <c r="V66" s="2954"/>
      <c r="W66" s="2954"/>
      <c r="X66" s="2954"/>
      <c r="Y66" s="2954"/>
      <c r="Z66" s="2954"/>
      <c r="AA66" s="2954"/>
      <c r="AB66" s="2954"/>
      <c r="AC66" s="295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3"/>
      <c r="O67" s="2983"/>
      <c r="P67" s="2991"/>
      <c r="Q67" s="2968"/>
      <c r="R67" s="2954"/>
      <c r="S67" s="2954"/>
      <c r="T67" s="2954"/>
      <c r="U67" s="2954"/>
      <c r="V67" s="2954"/>
      <c r="W67" s="2954"/>
      <c r="X67" s="2954"/>
      <c r="Y67" s="2954"/>
      <c r="Z67" s="2954"/>
      <c r="AA67" s="2954"/>
      <c r="AB67" s="2954"/>
      <c r="AC67" s="2954"/>
    </row>
    <row r="68" spans="1:29" ht="15.75" thickTop="1">
      <c r="A68" s="491"/>
      <c r="B68" s="503" t="s">
        <v>2379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3"/>
      <c r="O68" s="2983"/>
      <c r="P68" s="2991"/>
      <c r="Q68" s="2968"/>
      <c r="R68" s="2954"/>
      <c r="S68" s="2954"/>
      <c r="T68" s="2954"/>
      <c r="U68" s="2954"/>
      <c r="V68" s="2954"/>
      <c r="W68" s="2954"/>
      <c r="X68" s="2954"/>
      <c r="Y68" s="2954"/>
      <c r="Z68" s="2954"/>
      <c r="AA68" s="2954"/>
      <c r="AB68" s="2954"/>
      <c r="AC68" s="2954"/>
    </row>
    <row r="69" spans="1:29" ht="15">
      <c r="A69" s="491"/>
      <c r="B69" s="505"/>
      <c r="C69" s="506"/>
      <c r="D69" s="506"/>
      <c r="E69" s="506"/>
      <c r="F69" s="506"/>
      <c r="G69" s="506"/>
      <c r="H69" s="506"/>
      <c r="I69" s="506"/>
      <c r="J69" s="506"/>
      <c r="K69" s="507"/>
      <c r="L69" s="508"/>
      <c r="M69" s="509"/>
      <c r="N69" s="2982"/>
      <c r="O69" s="2982"/>
      <c r="P69" s="2991"/>
      <c r="Q69" s="2968"/>
      <c r="R69" s="2954"/>
      <c r="S69" s="2954"/>
      <c r="T69" s="2954"/>
      <c r="U69" s="2954"/>
      <c r="V69" s="2954"/>
      <c r="W69" s="2954"/>
      <c r="X69" s="2954"/>
      <c r="Y69" s="2954"/>
      <c r="Z69" s="2954"/>
      <c r="AA69" s="2954"/>
      <c r="AB69" s="2954"/>
      <c r="AC69" s="295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3"/>
      <c r="O70" s="2983"/>
      <c r="P70" s="2991"/>
      <c r="Q70" s="2968"/>
      <c r="R70" s="2954"/>
      <c r="S70" s="2954"/>
      <c r="T70" s="2954"/>
      <c r="U70" s="2954"/>
      <c r="V70" s="2954"/>
      <c r="W70" s="2954"/>
      <c r="X70" s="2954"/>
      <c r="Y70" s="2954"/>
      <c r="Z70" s="2954"/>
      <c r="AA70" s="2954"/>
      <c r="AB70" s="2954"/>
      <c r="AC70" s="2954"/>
    </row>
    <row r="71" spans="1:29" s="430" customFormat="1" ht="15.75" thickTop="1">
      <c r="A71" s="510"/>
      <c r="B71" s="495">
        <f>B12</f>
        <v>111</v>
      </c>
      <c r="C71" s="511"/>
      <c r="D71" s="511"/>
      <c r="E71" s="511"/>
      <c r="F71" s="511"/>
      <c r="G71" s="511"/>
      <c r="H71" s="512"/>
      <c r="I71" s="512"/>
      <c r="J71" s="512"/>
      <c r="K71" s="512"/>
      <c r="L71" s="513"/>
      <c r="M71" s="514"/>
      <c r="N71" s="2984"/>
      <c r="O71" s="2984"/>
      <c r="P71" s="2992"/>
      <c r="Q71" s="2975"/>
      <c r="R71" s="2976"/>
      <c r="S71" s="2976"/>
      <c r="T71" s="2976"/>
      <c r="U71" s="2976"/>
      <c r="V71" s="2976"/>
      <c r="W71" s="2976"/>
      <c r="X71" s="2976"/>
      <c r="Y71" s="2976"/>
      <c r="Z71" s="2976"/>
      <c r="AA71" s="2976"/>
      <c r="AB71" s="2976"/>
      <c r="AC71" s="2976"/>
    </row>
    <row r="72" spans="1:29" s="430" customFormat="1" ht="15.75" thickBot="1">
      <c r="A72" s="510"/>
      <c r="B72" s="500"/>
      <c r="C72" s="517"/>
      <c r="D72" s="493"/>
      <c r="E72" s="493"/>
      <c r="F72" s="493"/>
      <c r="G72" s="493"/>
      <c r="H72" s="493"/>
      <c r="I72" s="493"/>
      <c r="J72" s="493"/>
      <c r="K72" s="493"/>
      <c r="L72" s="493"/>
      <c r="M72" s="494"/>
      <c r="N72" s="2983"/>
      <c r="O72" s="2983"/>
      <c r="P72" s="2992"/>
      <c r="Q72" s="2975"/>
      <c r="R72" s="2976"/>
      <c r="S72" s="2976"/>
      <c r="T72" s="2976"/>
      <c r="U72" s="2976"/>
      <c r="V72" s="2976"/>
      <c r="W72" s="2976"/>
      <c r="X72" s="2976"/>
      <c r="Y72" s="2976"/>
      <c r="Z72" s="2976"/>
      <c r="AA72" s="2976"/>
      <c r="AB72" s="2976"/>
      <c r="AC72" s="2976"/>
    </row>
    <row r="73" spans="1:29" s="430" customFormat="1" ht="15.75" thickTop="1">
      <c r="A73" s="510"/>
      <c r="B73" s="495">
        <f>B13</f>
        <v>111</v>
      </c>
      <c r="C73" s="511"/>
      <c r="D73" s="511"/>
      <c r="E73" s="511"/>
      <c r="F73" s="511"/>
      <c r="G73" s="511"/>
      <c r="H73" s="512"/>
      <c r="I73" s="512"/>
      <c r="J73" s="512"/>
      <c r="K73" s="512"/>
      <c r="L73" s="513"/>
      <c r="M73" s="514"/>
      <c r="N73" s="2984"/>
      <c r="O73" s="2984"/>
      <c r="P73" s="2993"/>
      <c r="Q73" s="2978"/>
      <c r="R73" s="2976"/>
      <c r="S73" s="2976"/>
      <c r="T73" s="2976"/>
      <c r="U73" s="2976"/>
      <c r="V73" s="2976"/>
      <c r="W73" s="2976"/>
      <c r="X73" s="2976"/>
      <c r="Y73" s="2976"/>
      <c r="Z73" s="2976"/>
      <c r="AA73" s="2976"/>
      <c r="AB73" s="2976"/>
      <c r="AC73" s="2976"/>
    </row>
    <row r="74" spans="1:29" s="430" customFormat="1" ht="15.75" thickBot="1">
      <c r="A74" s="510"/>
      <c r="B74" s="500"/>
      <c r="C74" s="517"/>
      <c r="D74" s="517"/>
      <c r="E74" s="517"/>
      <c r="F74" s="517"/>
      <c r="G74" s="517"/>
      <c r="H74" s="519"/>
      <c r="I74" s="519"/>
      <c r="J74" s="519"/>
      <c r="K74" s="519"/>
      <c r="L74" s="519"/>
      <c r="M74" s="520"/>
      <c r="N74" s="2984"/>
      <c r="O74" s="2984"/>
      <c r="P74" s="2992"/>
      <c r="Q74" s="2975"/>
      <c r="R74" s="2976"/>
      <c r="S74" s="2976"/>
      <c r="T74" s="2976"/>
      <c r="U74" s="2976"/>
      <c r="V74" s="2976"/>
      <c r="W74" s="2976"/>
      <c r="X74" s="2976"/>
      <c r="Y74" s="2976"/>
      <c r="Z74" s="2976"/>
      <c r="AA74" s="2976"/>
      <c r="AB74" s="2976"/>
      <c r="AC74" s="2976"/>
    </row>
    <row r="75" spans="1:29" s="430" customFormat="1" ht="15.75" thickTop="1">
      <c r="A75" s="510"/>
      <c r="B75" s="503">
        <f>B14</f>
        <v>111</v>
      </c>
      <c r="C75" s="480"/>
      <c r="D75" s="480"/>
      <c r="E75" s="480"/>
      <c r="F75" s="480"/>
      <c r="G75" s="480"/>
      <c r="H75" s="521"/>
      <c r="I75" s="521"/>
      <c r="J75" s="521"/>
      <c r="K75" s="521"/>
      <c r="L75" s="522"/>
      <c r="M75" s="523"/>
      <c r="N75" s="2984"/>
      <c r="O75" s="2984"/>
      <c r="P75" s="2994"/>
      <c r="Q75" s="2975"/>
      <c r="R75" s="2976"/>
      <c r="S75" s="2976"/>
      <c r="T75" s="2976"/>
      <c r="U75" s="2976"/>
      <c r="V75" s="2976"/>
      <c r="W75" s="2976"/>
      <c r="X75" s="2976"/>
      <c r="Y75" s="2976"/>
      <c r="Z75" s="2976"/>
      <c r="AA75" s="2976"/>
      <c r="AB75" s="2976"/>
      <c r="AC75" s="2976"/>
    </row>
    <row r="76" spans="1:29" s="430" customFormat="1" ht="15.75" thickBot="1">
      <c r="A76" s="525"/>
      <c r="B76" s="526"/>
      <c r="C76" s="527"/>
      <c r="D76" s="527"/>
      <c r="E76" s="527"/>
      <c r="F76" s="527"/>
      <c r="G76" s="527"/>
      <c r="H76" s="528"/>
      <c r="I76" s="528"/>
      <c r="J76" s="528"/>
      <c r="K76" s="528"/>
      <c r="L76" s="528"/>
      <c r="M76" s="529"/>
      <c r="N76" s="2984"/>
      <c r="O76" s="2984"/>
      <c r="P76" s="2992"/>
      <c r="Q76" s="2975"/>
      <c r="R76" s="2976"/>
      <c r="S76" s="2976"/>
      <c r="T76" s="2976"/>
      <c r="U76" s="2976"/>
      <c r="V76" s="2976"/>
      <c r="W76" s="2976"/>
      <c r="X76" s="2976"/>
      <c r="Y76" s="2976"/>
      <c r="Z76" s="2976"/>
      <c r="AA76" s="2976"/>
      <c r="AB76" s="2976"/>
      <c r="AC76" s="2976"/>
    </row>
    <row r="77" spans="1:29">
      <c r="A77" s="484" t="s">
        <v>2380</v>
      </c>
      <c r="B77" s="485" t="s">
        <v>2518</v>
      </c>
      <c r="C77" s="530" t="s">
        <v>2418</v>
      </c>
      <c r="D77" s="530" t="s">
        <v>2419</v>
      </c>
      <c r="E77" s="530" t="s">
        <v>2420</v>
      </c>
      <c r="F77" s="530" t="s">
        <v>2421</v>
      </c>
      <c r="G77" s="530" t="s">
        <v>2422</v>
      </c>
      <c r="H77" s="486"/>
      <c r="I77" s="486"/>
      <c r="J77" s="486"/>
      <c r="K77" s="531"/>
      <c r="L77" s="532"/>
      <c r="M77" s="533"/>
      <c r="N77" s="2982"/>
      <c r="O77" s="2982"/>
      <c r="P77" s="2995"/>
      <c r="Q77" s="2968"/>
      <c r="R77" s="2954"/>
      <c r="S77" s="2954"/>
      <c r="T77" s="2954"/>
      <c r="U77" s="2954"/>
      <c r="V77" s="2954"/>
      <c r="W77" s="2954"/>
      <c r="X77" s="2954"/>
      <c r="Y77" s="2954"/>
      <c r="Z77" s="2954"/>
      <c r="AA77" s="2954"/>
      <c r="AB77" s="2954"/>
      <c r="AC77" s="295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3"/>
      <c r="O78" s="2983"/>
      <c r="P78" s="2991"/>
      <c r="Q78" s="2968"/>
      <c r="R78" s="2954"/>
      <c r="S78" s="2954"/>
      <c r="T78" s="2954"/>
      <c r="U78" s="2954"/>
      <c r="V78" s="2954"/>
      <c r="W78" s="2954"/>
      <c r="X78" s="2954"/>
      <c r="Y78" s="2954"/>
      <c r="Z78" s="2954"/>
      <c r="AA78" s="2954"/>
      <c r="AB78" s="2954"/>
      <c r="AC78" s="2954"/>
    </row>
    <row r="79" spans="1:29" ht="15.75" thickTop="1">
      <c r="A79" s="491"/>
      <c r="B79" s="495" t="s">
        <v>2423</v>
      </c>
      <c r="C79" s="535" t="s">
        <v>2418</v>
      </c>
      <c r="D79" s="535" t="s">
        <v>2419</v>
      </c>
      <c r="E79" s="535" t="s">
        <v>2420</v>
      </c>
      <c r="F79" s="535" t="s">
        <v>2421</v>
      </c>
      <c r="G79" s="535" t="s">
        <v>2422</v>
      </c>
      <c r="H79" s="496"/>
      <c r="I79" s="496"/>
      <c r="J79" s="496"/>
      <c r="K79" s="497"/>
      <c r="L79" s="498"/>
      <c r="M79" s="499"/>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3"/>
      <c r="O80" s="2983"/>
      <c r="P80" s="2991"/>
      <c r="Q80" s="2968"/>
      <c r="R80" s="2954"/>
      <c r="S80" s="2954"/>
      <c r="T80" s="2954"/>
      <c r="U80" s="2954"/>
      <c r="V80" s="2954"/>
      <c r="W80" s="2954"/>
      <c r="X80" s="2954"/>
      <c r="Y80" s="2954"/>
      <c r="Z80" s="2954"/>
      <c r="AA80" s="2954"/>
      <c r="AB80" s="2954"/>
      <c r="AC80" s="2954"/>
    </row>
    <row r="81" spans="1:29" ht="15.75" thickTop="1">
      <c r="A81" s="491"/>
      <c r="B81" s="495" t="s">
        <v>2424</v>
      </c>
      <c r="C81" s="535" t="s">
        <v>2418</v>
      </c>
      <c r="D81" s="535" t="s">
        <v>2419</v>
      </c>
      <c r="E81" s="535" t="s">
        <v>2420</v>
      </c>
      <c r="F81" s="535" t="s">
        <v>2421</v>
      </c>
      <c r="G81" s="535" t="s">
        <v>2422</v>
      </c>
      <c r="H81" s="496"/>
      <c r="I81" s="496"/>
      <c r="J81" s="496"/>
      <c r="K81" s="497"/>
      <c r="L81" s="498"/>
      <c r="M81" s="499"/>
      <c r="N81" s="2982"/>
      <c r="O81" s="2982"/>
      <c r="P81" s="2991"/>
      <c r="Q81" s="2968"/>
      <c r="R81" s="2954"/>
      <c r="S81" s="2954"/>
      <c r="T81" s="2954"/>
      <c r="U81" s="2954"/>
      <c r="V81" s="2954"/>
      <c r="W81" s="2954"/>
      <c r="X81" s="2954"/>
      <c r="Y81" s="2954"/>
      <c r="Z81" s="2954"/>
      <c r="AA81" s="2954"/>
      <c r="AB81" s="2954"/>
      <c r="AC81" s="295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3"/>
      <c r="O82" s="2983"/>
      <c r="P82" s="2991"/>
      <c r="Q82" s="2968"/>
      <c r="R82" s="2954"/>
      <c r="S82" s="2954"/>
      <c r="T82" s="2954"/>
      <c r="U82" s="2954"/>
      <c r="V82" s="2954"/>
      <c r="W82" s="2954"/>
      <c r="X82" s="2954"/>
      <c r="Y82" s="2954"/>
      <c r="Z82" s="2954"/>
      <c r="AA82" s="2954"/>
      <c r="AB82" s="2954"/>
      <c r="AC82" s="2954"/>
    </row>
    <row r="83" spans="1:29" ht="15.75" thickTop="1">
      <c r="A83" s="491"/>
      <c r="B83" s="503" t="s">
        <v>2510</v>
      </c>
      <c r="C83" s="616" t="s">
        <v>2496</v>
      </c>
      <c r="D83" s="616" t="s">
        <v>2497</v>
      </c>
      <c r="E83" s="616" t="s">
        <v>2498</v>
      </c>
      <c r="F83" s="616" t="s">
        <v>2499</v>
      </c>
      <c r="G83" s="616" t="s">
        <v>2500</v>
      </c>
      <c r="H83" s="496"/>
      <c r="I83" s="496"/>
      <c r="J83" s="496"/>
      <c r="K83" s="496"/>
      <c r="L83" s="496"/>
      <c r="M83" s="1291"/>
      <c r="N83" s="2983"/>
      <c r="O83" s="2983"/>
      <c r="P83" s="2991"/>
      <c r="Q83" s="2968"/>
      <c r="R83" s="2954"/>
      <c r="S83" s="2954"/>
      <c r="T83" s="2954"/>
      <c r="U83" s="2954"/>
      <c r="V83" s="2954"/>
      <c r="W83" s="2954"/>
      <c r="X83" s="2954"/>
      <c r="Y83" s="2954"/>
      <c r="Z83" s="2954"/>
      <c r="AA83" s="2954"/>
      <c r="AB83" s="2954"/>
      <c r="AC83" s="295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3"/>
      <c r="O84" s="2983"/>
      <c r="P84" s="2991"/>
      <c r="Q84" s="2968"/>
      <c r="R84" s="2954"/>
      <c r="S84" s="2954"/>
      <c r="T84" s="2954"/>
      <c r="U84" s="2954"/>
      <c r="V84" s="2954"/>
      <c r="W84" s="2954"/>
      <c r="X84" s="2954"/>
      <c r="Y84" s="2954"/>
      <c r="Z84" s="2954"/>
      <c r="AA84" s="2954"/>
      <c r="AB84" s="2954"/>
      <c r="AC84" s="2954"/>
    </row>
    <row r="85" spans="1:29" ht="15.75" thickTop="1">
      <c r="A85" s="491"/>
      <c r="B85" s="495" t="s">
        <v>2519</v>
      </c>
      <c r="C85" s="535" t="s">
        <v>2418</v>
      </c>
      <c r="D85" s="535" t="s">
        <v>2419</v>
      </c>
      <c r="E85" s="535" t="s">
        <v>2420</v>
      </c>
      <c r="F85" s="535" t="s">
        <v>2421</v>
      </c>
      <c r="G85" s="535" t="s">
        <v>2422</v>
      </c>
      <c r="H85" s="496"/>
      <c r="I85" s="496"/>
      <c r="J85" s="496"/>
      <c r="K85" s="497"/>
      <c r="L85" s="498"/>
      <c r="M85" s="499"/>
      <c r="N85" s="2982"/>
      <c r="O85" s="2982"/>
      <c r="P85" s="2991"/>
      <c r="Q85" s="2968"/>
      <c r="R85" s="2954"/>
      <c r="S85" s="2954"/>
      <c r="T85" s="2954"/>
      <c r="U85" s="2954"/>
      <c r="V85" s="2954"/>
      <c r="W85" s="2954"/>
      <c r="X85" s="2954"/>
      <c r="Y85" s="2954"/>
      <c r="Z85" s="2954"/>
      <c r="AA85" s="2954"/>
      <c r="AB85" s="2954"/>
      <c r="AC85" s="295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3"/>
      <c r="O86" s="2983"/>
      <c r="P86" s="2991"/>
      <c r="Q86" s="2968"/>
      <c r="R86" s="2954"/>
      <c r="S86" s="2954"/>
      <c r="T86" s="2954"/>
      <c r="U86" s="2954"/>
      <c r="V86" s="2954"/>
      <c r="W86" s="2954"/>
      <c r="X86" s="2954"/>
      <c r="Y86" s="2954"/>
      <c r="Z86" s="2954"/>
      <c r="AA86" s="2954"/>
      <c r="AB86" s="2954"/>
      <c r="AC86" s="2954"/>
    </row>
    <row r="87" spans="1:29" s="113" customFormat="1" ht="27.75" thickTop="1">
      <c r="A87" s="536"/>
      <c r="B87" s="495" t="s">
        <v>2520</v>
      </c>
      <c r="C87" s="511"/>
      <c r="D87" s="511"/>
      <c r="E87" s="511"/>
      <c r="F87" s="511"/>
      <c r="G87" s="511"/>
      <c r="H87" s="511"/>
      <c r="I87" s="511"/>
      <c r="J87" s="511"/>
      <c r="K87" s="511"/>
      <c r="L87" s="537"/>
      <c r="M87" s="538"/>
      <c r="N87" s="2981"/>
      <c r="O87" s="2981"/>
      <c r="P87" s="2991"/>
      <c r="Q87" s="2968"/>
      <c r="R87" s="2888"/>
      <c r="S87" s="2888"/>
      <c r="T87" s="2888"/>
      <c r="U87" s="2888"/>
      <c r="V87" s="2888"/>
      <c r="W87" s="2888"/>
      <c r="X87" s="2888"/>
      <c r="Y87" s="2888"/>
      <c r="Z87" s="2888"/>
      <c r="AA87" s="2888"/>
      <c r="AB87" s="2888"/>
      <c r="AC87" s="288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3"/>
      <c r="O88" s="2983"/>
      <c r="P88" s="2991"/>
      <c r="Q88" s="2968"/>
      <c r="R88" s="2888"/>
      <c r="S88" s="2888"/>
      <c r="T88" s="2888"/>
      <c r="U88" s="2888"/>
      <c r="V88" s="2888"/>
      <c r="W88" s="2888"/>
      <c r="X88" s="2888"/>
      <c r="Y88" s="2888"/>
      <c r="Z88" s="2888"/>
      <c r="AA88" s="2888"/>
      <c r="AB88" s="2888"/>
      <c r="AC88" s="2888"/>
    </row>
    <row r="89" spans="1:29" s="113" customFormat="1" ht="15.75" thickTop="1">
      <c r="A89" s="536"/>
      <c r="B89" s="495" t="str">
        <f>B27</f>
        <v>楼层</v>
      </c>
      <c r="C89" s="511"/>
      <c r="D89" s="511"/>
      <c r="E89" s="511"/>
      <c r="F89" s="2113"/>
      <c r="G89" s="511"/>
      <c r="H89" s="511"/>
      <c r="I89" s="511"/>
      <c r="J89" s="511"/>
      <c r="K89" s="511"/>
      <c r="L89" s="511"/>
      <c r="M89" s="538"/>
      <c r="N89" s="2981"/>
      <c r="O89" s="2981"/>
      <c r="P89" s="2991"/>
      <c r="Q89" s="2968"/>
      <c r="R89" s="2888"/>
      <c r="S89" s="2888"/>
      <c r="T89" s="2888"/>
      <c r="U89" s="2888"/>
      <c r="V89" s="2888"/>
      <c r="W89" s="2888"/>
      <c r="X89" s="2888"/>
      <c r="Y89" s="2888"/>
      <c r="Z89" s="2888"/>
      <c r="AA89" s="2888"/>
      <c r="AB89" s="2888"/>
      <c r="AC89" s="288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3"/>
      <c r="O90" s="2983"/>
      <c r="P90" s="2991"/>
      <c r="Q90" s="2968"/>
      <c r="R90" s="2888"/>
      <c r="S90" s="2888"/>
      <c r="T90" s="2888"/>
      <c r="U90" s="2888"/>
      <c r="V90" s="2888"/>
      <c r="W90" s="2888"/>
      <c r="X90" s="2888"/>
      <c r="Y90" s="2888"/>
      <c r="Z90" s="2888"/>
      <c r="AA90" s="2888"/>
      <c r="AB90" s="2888"/>
      <c r="AC90" s="2888"/>
    </row>
    <row r="91" spans="1:29" s="430" customFormat="1" ht="15.75" thickTop="1">
      <c r="A91" s="510"/>
      <c r="B91" s="495" t="str">
        <f>B28</f>
        <v>朝向</v>
      </c>
      <c r="C91" s="511"/>
      <c r="D91" s="511"/>
      <c r="E91" s="511"/>
      <c r="F91" s="511"/>
      <c r="G91" s="511"/>
      <c r="H91" s="512"/>
      <c r="I91" s="512"/>
      <c r="J91" s="512"/>
      <c r="K91" s="512"/>
      <c r="L91" s="513"/>
      <c r="M91" s="514"/>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4"/>
      <c r="O92" s="2984"/>
      <c r="P92" s="2992"/>
      <c r="Q92" s="2975"/>
      <c r="R92" s="2976"/>
      <c r="S92" s="2976"/>
      <c r="T92" s="2976"/>
      <c r="U92" s="2976"/>
      <c r="V92" s="2976"/>
      <c r="W92" s="2976"/>
      <c r="X92" s="2976"/>
      <c r="Y92" s="2976"/>
      <c r="Z92" s="2976"/>
      <c r="AA92" s="2976"/>
      <c r="AB92" s="2976"/>
      <c r="AC92" s="2976"/>
    </row>
    <row r="93" spans="1:29" ht="15.75" thickTop="1">
      <c r="A93" s="491"/>
      <c r="B93" s="495">
        <f>B29</f>
        <v>111</v>
      </c>
      <c r="C93" s="511"/>
      <c r="D93" s="511"/>
      <c r="E93" s="511"/>
      <c r="F93" s="511"/>
      <c r="G93" s="511"/>
      <c r="H93" s="511"/>
      <c r="I93" s="511"/>
      <c r="J93" s="511"/>
      <c r="K93" s="511"/>
      <c r="L93" s="537"/>
      <c r="M93" s="538"/>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17"/>
      <c r="D94" s="493"/>
      <c r="E94" s="493"/>
      <c r="F94" s="493"/>
      <c r="G94" s="493"/>
      <c r="H94" s="493"/>
      <c r="I94" s="493"/>
      <c r="J94" s="493"/>
      <c r="K94" s="493"/>
      <c r="L94" s="493"/>
      <c r="M94" s="494"/>
      <c r="N94" s="2983"/>
      <c r="O94" s="2983"/>
      <c r="P94" s="2991"/>
      <c r="Q94" s="2968"/>
      <c r="R94" s="2954"/>
      <c r="S94" s="2954"/>
      <c r="T94" s="2954"/>
      <c r="U94" s="2954"/>
      <c r="V94" s="2954"/>
      <c r="W94" s="2954"/>
      <c r="X94" s="2954"/>
      <c r="Y94" s="2954"/>
      <c r="Z94" s="2954"/>
      <c r="AA94" s="2954"/>
      <c r="AB94" s="2954"/>
      <c r="AC94" s="2954"/>
    </row>
    <row r="95" spans="1:29" ht="15.75" thickTop="1">
      <c r="A95" s="491"/>
      <c r="B95" s="495">
        <f>B30</f>
        <v>111</v>
      </c>
      <c r="C95" s="511"/>
      <c r="D95" s="511"/>
      <c r="E95" s="511"/>
      <c r="F95" s="511"/>
      <c r="G95" s="540"/>
      <c r="H95" s="540"/>
      <c r="I95" s="540"/>
      <c r="J95" s="540"/>
      <c r="K95" s="541"/>
      <c r="L95" s="542"/>
      <c r="M95" s="543"/>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17"/>
      <c r="D96" s="517"/>
      <c r="E96" s="517"/>
      <c r="F96" s="517"/>
      <c r="G96" s="493"/>
      <c r="H96" s="493"/>
      <c r="I96" s="493"/>
      <c r="J96" s="493"/>
      <c r="K96" s="493"/>
      <c r="L96" s="493"/>
      <c r="M96" s="494"/>
      <c r="N96" s="2983"/>
      <c r="O96" s="2983"/>
      <c r="P96" s="2991"/>
      <c r="Q96" s="2968"/>
      <c r="R96" s="2954"/>
      <c r="S96" s="2954"/>
      <c r="T96" s="2954"/>
      <c r="U96" s="2954"/>
      <c r="V96" s="2954"/>
      <c r="W96" s="2954"/>
      <c r="X96" s="2954"/>
      <c r="Y96" s="2954"/>
      <c r="Z96" s="2954"/>
      <c r="AA96" s="2954"/>
      <c r="AB96" s="2954"/>
      <c r="AC96" s="2954"/>
    </row>
    <row r="97" spans="1:29" ht="15.75" thickTop="1">
      <c r="A97" s="491"/>
      <c r="B97" s="495">
        <f>B31</f>
        <v>111</v>
      </c>
      <c r="C97" s="511"/>
      <c r="D97" s="511"/>
      <c r="E97" s="511"/>
      <c r="F97" s="511"/>
      <c r="G97" s="540"/>
      <c r="H97" s="540"/>
      <c r="I97" s="540"/>
      <c r="J97" s="540"/>
      <c r="K97" s="541"/>
      <c r="L97" s="542"/>
      <c r="M97" s="543"/>
      <c r="N97" s="2982"/>
      <c r="O97" s="2982"/>
      <c r="P97" s="2991"/>
      <c r="Q97" s="2968"/>
      <c r="R97" s="2954"/>
      <c r="S97" s="2954"/>
      <c r="T97" s="2954"/>
      <c r="U97" s="2954"/>
      <c r="V97" s="2954"/>
      <c r="W97" s="2954"/>
      <c r="X97" s="2954"/>
      <c r="Y97" s="2954"/>
      <c r="Z97" s="2954"/>
      <c r="AA97" s="2954"/>
      <c r="AB97" s="2954"/>
      <c r="AC97" s="2954"/>
    </row>
    <row r="98" spans="1:29" ht="15.75" thickBot="1">
      <c r="A98" s="491"/>
      <c r="B98" s="500"/>
      <c r="C98" s="517"/>
      <c r="D98" s="493"/>
      <c r="E98" s="493"/>
      <c r="F98" s="493"/>
      <c r="G98" s="493"/>
      <c r="H98" s="493"/>
      <c r="I98" s="493"/>
      <c r="J98" s="493"/>
      <c r="K98" s="493"/>
      <c r="L98" s="493"/>
      <c r="M98" s="494"/>
      <c r="N98" s="2983"/>
      <c r="O98" s="2983"/>
      <c r="P98" s="2991"/>
      <c r="Q98" s="2968"/>
      <c r="R98" s="2954"/>
      <c r="S98" s="2954"/>
      <c r="T98" s="2954"/>
      <c r="U98" s="2954"/>
      <c r="V98" s="2954"/>
      <c r="W98" s="2954"/>
      <c r="X98" s="2954"/>
      <c r="Y98" s="2954"/>
      <c r="Z98" s="2954"/>
      <c r="AA98" s="2954"/>
      <c r="AB98" s="2954"/>
      <c r="AC98" s="2954"/>
    </row>
    <row r="99" spans="1:29" ht="15.75" thickTop="1">
      <c r="A99" s="491"/>
      <c r="B99" s="503">
        <f>B32</f>
        <v>111</v>
      </c>
      <c r="C99" s="480"/>
      <c r="D99" s="480"/>
      <c r="E99" s="480"/>
      <c r="F99" s="480"/>
      <c r="G99" s="544"/>
      <c r="H99" s="544"/>
      <c r="I99" s="544"/>
      <c r="J99" s="544"/>
      <c r="K99" s="545"/>
      <c r="L99" s="546"/>
      <c r="M99" s="547"/>
      <c r="N99" s="2982"/>
      <c r="O99" s="2982"/>
      <c r="P99" s="2991"/>
      <c r="Q99" s="2968"/>
      <c r="R99" s="2954"/>
      <c r="S99" s="2954"/>
      <c r="T99" s="2954"/>
      <c r="U99" s="2954"/>
      <c r="V99" s="2954"/>
      <c r="W99" s="2954"/>
      <c r="X99" s="2954"/>
      <c r="Y99" s="2954"/>
      <c r="Z99" s="2954"/>
      <c r="AA99" s="2954"/>
      <c r="AB99" s="2954"/>
      <c r="AC99" s="2954"/>
    </row>
    <row r="100" spans="1:29" ht="15.75" thickBot="1">
      <c r="A100" s="2114"/>
      <c r="B100" s="526"/>
      <c r="C100" s="527"/>
      <c r="D100" s="527"/>
      <c r="E100" s="527"/>
      <c r="F100" s="527"/>
      <c r="G100" s="548"/>
      <c r="H100" s="548"/>
      <c r="I100" s="548"/>
      <c r="J100" s="548"/>
      <c r="K100" s="548"/>
      <c r="L100" s="548"/>
      <c r="M100" s="549"/>
      <c r="N100" s="2983"/>
      <c r="O100" s="2983"/>
      <c r="P100" s="2991"/>
      <c r="Q100" s="2968"/>
      <c r="R100" s="2954"/>
      <c r="S100" s="2954"/>
      <c r="T100" s="2954"/>
      <c r="U100" s="2954"/>
      <c r="V100" s="2954"/>
      <c r="W100" s="2954"/>
      <c r="X100" s="2954"/>
      <c r="Y100" s="2954"/>
      <c r="Z100" s="2954"/>
      <c r="AA100" s="2954"/>
      <c r="AB100" s="2954"/>
      <c r="AC100" s="2954"/>
    </row>
    <row r="101" spans="1:29">
      <c r="A101" s="484" t="s">
        <v>2384</v>
      </c>
      <c r="B101" s="485" t="s">
        <v>2433</v>
      </c>
      <c r="C101" s="487"/>
      <c r="D101" s="487"/>
      <c r="E101" s="487"/>
      <c r="F101" s="487"/>
      <c r="G101" s="487"/>
      <c r="H101" s="487"/>
      <c r="I101" s="487"/>
      <c r="J101" s="487"/>
      <c r="K101" s="488"/>
      <c r="L101" s="489"/>
      <c r="M101" s="490"/>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3"/>
      <c r="O102" s="2983"/>
      <c r="P102" s="2991"/>
      <c r="Q102" s="2968"/>
      <c r="R102" s="2954"/>
      <c r="S102" s="2954"/>
      <c r="T102" s="2954"/>
      <c r="U102" s="2954"/>
      <c r="V102" s="2954"/>
      <c r="W102" s="2954"/>
      <c r="X102" s="2954"/>
      <c r="Y102" s="2954"/>
      <c r="Z102" s="2954"/>
      <c r="AA102" s="2954"/>
      <c r="AB102" s="2954"/>
      <c r="AC102" s="2954"/>
    </row>
    <row r="103" spans="1:29" ht="15.75" thickTop="1">
      <c r="A103" s="491"/>
      <c r="B103" s="495" t="s">
        <v>2434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1"/>
      <c r="O103" s="2981"/>
      <c r="P103" s="2991"/>
      <c r="Q103" s="2968"/>
      <c r="R103" s="2954"/>
      <c r="S103" s="2954"/>
      <c r="T103" s="2954"/>
      <c r="U103" s="2954"/>
      <c r="V103" s="2954"/>
      <c r="W103" s="2954"/>
      <c r="X103" s="2954"/>
      <c r="Y103" s="2954"/>
      <c r="Z103" s="2954"/>
      <c r="AA103" s="2954"/>
      <c r="AB103" s="2954"/>
      <c r="AC103" s="2954"/>
    </row>
    <row r="104" spans="1:29" s="430" customFormat="1">
      <c r="A104" s="550"/>
      <c r="B104" s="551"/>
      <c r="C104" s="552"/>
      <c r="D104" s="552"/>
      <c r="E104" s="552"/>
      <c r="F104" s="552"/>
      <c r="G104" s="552"/>
      <c r="H104" s="552"/>
      <c r="I104" s="552"/>
      <c r="J104" s="553"/>
      <c r="K104" s="553"/>
      <c r="L104" s="554"/>
      <c r="M104" s="555"/>
      <c r="N104" s="2984"/>
      <c r="O104" s="2984"/>
      <c r="P104" s="2992"/>
      <c r="Q104" s="2975"/>
      <c r="R104" s="2976"/>
      <c r="S104" s="2976"/>
      <c r="T104" s="2976"/>
      <c r="U104" s="2976"/>
      <c r="V104" s="2976"/>
      <c r="W104" s="2976"/>
      <c r="X104" s="2976"/>
      <c r="Y104" s="2976"/>
      <c r="Z104" s="2976"/>
      <c r="AA104" s="2976"/>
      <c r="AB104" s="2976"/>
      <c r="AC104" s="2976"/>
    </row>
    <row r="105" spans="1:29" s="430" customFormat="1" ht="15.75" thickBot="1">
      <c r="A105" s="510"/>
      <c r="B105" s="500"/>
      <c r="C105" s="517"/>
      <c r="D105" s="493"/>
      <c r="E105" s="493"/>
      <c r="F105" s="493"/>
      <c r="G105" s="493"/>
      <c r="H105" s="493"/>
      <c r="I105" s="493"/>
      <c r="J105" s="493"/>
      <c r="K105" s="493"/>
      <c r="L105" s="493"/>
      <c r="M105" s="494"/>
      <c r="N105" s="2983"/>
      <c r="O105" s="2983"/>
      <c r="P105" s="2992"/>
      <c r="Q105" s="2975"/>
      <c r="R105" s="2976"/>
      <c r="S105" s="2976"/>
      <c r="T105" s="2976"/>
      <c r="U105" s="2976"/>
      <c r="V105" s="2976"/>
      <c r="W105" s="2976"/>
      <c r="X105" s="2976"/>
      <c r="Y105" s="2976"/>
      <c r="Z105" s="2976"/>
      <c r="AA105" s="2976"/>
      <c r="AB105" s="2976"/>
      <c r="AC105" s="2976"/>
    </row>
    <row r="106" spans="1:29" ht="15" thickTop="1">
      <c r="A106" s="556"/>
      <c r="B106" s="495" t="s">
        <v>2435</v>
      </c>
      <c r="C106" s="511"/>
      <c r="D106" s="511"/>
      <c r="E106" s="540"/>
      <c r="F106" s="540"/>
      <c r="G106" s="540"/>
      <c r="H106" s="540"/>
      <c r="I106" s="540"/>
      <c r="J106" s="540"/>
      <c r="K106" s="541"/>
      <c r="L106" s="542"/>
      <c r="M106" s="543"/>
      <c r="N106" s="2982"/>
      <c r="O106" s="2982"/>
      <c r="P106" s="2991"/>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3"/>
      <c r="O107" s="2983"/>
      <c r="P107" s="2991"/>
      <c r="Q107" s="2968"/>
      <c r="R107" s="2954"/>
      <c r="S107" s="2954"/>
      <c r="T107" s="2954"/>
      <c r="U107" s="2954"/>
      <c r="V107" s="2954"/>
      <c r="W107" s="2954"/>
      <c r="X107" s="2954"/>
      <c r="Y107" s="2954"/>
      <c r="Z107" s="2954"/>
      <c r="AA107" s="2954"/>
      <c r="AB107" s="2954"/>
      <c r="AC107" s="2954"/>
    </row>
    <row r="108" spans="1:29" ht="15" thickTop="1">
      <c r="A108" s="556"/>
      <c r="B108" s="495" t="s">
        <v>2437</v>
      </c>
      <c r="C108" s="511"/>
      <c r="D108" s="511"/>
      <c r="E108" s="511"/>
      <c r="F108" s="540"/>
      <c r="G108" s="540"/>
      <c r="H108" s="540"/>
      <c r="I108" s="540"/>
      <c r="J108" s="540"/>
      <c r="K108" s="541"/>
      <c r="L108" s="542"/>
      <c r="M108" s="543"/>
      <c r="N108" s="2982"/>
      <c r="O108" s="2982"/>
      <c r="P108" s="2991"/>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3"/>
      <c r="O109" s="2983"/>
      <c r="P109" s="2991"/>
      <c r="Q109" s="2968"/>
      <c r="R109" s="2954"/>
      <c r="S109" s="2954"/>
      <c r="T109" s="2954"/>
      <c r="U109" s="2954"/>
      <c r="V109" s="2954"/>
      <c r="W109" s="2954"/>
      <c r="X109" s="2954"/>
      <c r="Y109" s="2954"/>
      <c r="Z109" s="2954"/>
      <c r="AA109" s="2954"/>
      <c r="AB109" s="2954"/>
      <c r="AC109" s="2954"/>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2"/>
      <c r="O110" s="2982"/>
      <c r="P110" s="2991"/>
      <c r="Q110" s="2968"/>
      <c r="R110" s="2954"/>
      <c r="S110" s="2954"/>
      <c r="T110" s="2954"/>
      <c r="U110" s="2954"/>
      <c r="V110" s="2954"/>
      <c r="W110" s="2954"/>
      <c r="X110" s="2954"/>
      <c r="Y110" s="2954"/>
      <c r="Z110" s="2954"/>
      <c r="AA110" s="2954"/>
      <c r="AB110" s="2954"/>
      <c r="AC110" s="2954"/>
    </row>
    <row r="111" spans="1:29">
      <c r="A111" s="556"/>
      <c r="B111" s="503"/>
      <c r="C111" s="560">
        <v>0.5</v>
      </c>
      <c r="D111" s="560">
        <v>0.6</v>
      </c>
      <c r="E111" s="560">
        <v>0.7</v>
      </c>
      <c r="F111" s="560">
        <v>0.8</v>
      </c>
      <c r="G111" s="560">
        <v>0.9</v>
      </c>
      <c r="H111" s="560">
        <v>1.0001</v>
      </c>
      <c r="I111" s="579"/>
      <c r="J111" s="579"/>
      <c r="K111" s="580"/>
      <c r="L111" s="581"/>
      <c r="M111" s="582"/>
      <c r="N111" s="2982"/>
      <c r="O111" s="2982"/>
      <c r="P111" s="2991"/>
      <c r="Q111" s="2968"/>
      <c r="R111" s="2954"/>
      <c r="S111" s="2954"/>
      <c r="T111" s="2954"/>
      <c r="U111" s="2954"/>
      <c r="V111" s="2954"/>
      <c r="W111" s="2954"/>
      <c r="X111" s="2954"/>
      <c r="Y111" s="2954"/>
      <c r="Z111" s="2954"/>
      <c r="AA111" s="2954"/>
      <c r="AB111" s="2954"/>
      <c r="AC111" s="295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3"/>
      <c r="O112" s="2983"/>
      <c r="P112" s="2991"/>
      <c r="Q112" s="2968"/>
      <c r="R112" s="2954"/>
      <c r="S112" s="2954"/>
      <c r="T112" s="2954"/>
      <c r="U112" s="2954"/>
      <c r="V112" s="2954"/>
      <c r="W112" s="2954"/>
      <c r="X112" s="2954"/>
      <c r="Y112" s="2954"/>
      <c r="Z112" s="2954"/>
      <c r="AA112" s="2954"/>
      <c r="AB112" s="2954"/>
      <c r="AC112" s="2954"/>
    </row>
    <row r="113" spans="1:29" s="430" customFormat="1" ht="15" thickTop="1">
      <c r="A113" s="550"/>
      <c r="B113" s="495" t="s">
        <v>2521</v>
      </c>
      <c r="C113" s="511"/>
      <c r="D113" s="511"/>
      <c r="E113" s="511"/>
      <c r="F113" s="511"/>
      <c r="G113" s="511"/>
      <c r="H113" s="540"/>
      <c r="I113" s="540"/>
      <c r="J113" s="540"/>
      <c r="K113" s="541"/>
      <c r="L113" s="542"/>
      <c r="M113" s="543"/>
      <c r="N113" s="2984"/>
      <c r="O113" s="2984"/>
      <c r="P113" s="2992"/>
      <c r="Q113" s="2975"/>
      <c r="R113" s="2976"/>
      <c r="S113" s="2976"/>
      <c r="T113" s="2976"/>
      <c r="U113" s="2976"/>
      <c r="V113" s="2976"/>
      <c r="W113" s="2976"/>
      <c r="X113" s="2976"/>
      <c r="Y113" s="2976"/>
      <c r="Z113" s="2976"/>
      <c r="AA113" s="2976"/>
      <c r="AB113" s="2976"/>
      <c r="AC113" s="297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4"/>
      <c r="O114" s="2984"/>
      <c r="P114" s="2992"/>
      <c r="Q114" s="2975"/>
      <c r="R114" s="2976"/>
      <c r="S114" s="2976"/>
      <c r="T114" s="2976"/>
      <c r="U114" s="2976"/>
      <c r="V114" s="2976"/>
      <c r="W114" s="2976"/>
      <c r="X114" s="2976"/>
      <c r="Y114" s="2976"/>
      <c r="Z114" s="2976"/>
      <c r="AA114" s="2976"/>
      <c r="AB114" s="2976"/>
      <c r="AC114" s="2976"/>
    </row>
    <row r="115" spans="1:29" ht="15" thickTop="1">
      <c r="A115" s="556"/>
      <c r="B115" s="495" t="s">
        <v>2438</v>
      </c>
      <c r="C115" s="511"/>
      <c r="D115" s="511"/>
      <c r="E115" s="540"/>
      <c r="F115" s="540"/>
      <c r="G115" s="540"/>
      <c r="H115" s="540"/>
      <c r="I115" s="540"/>
      <c r="J115" s="540"/>
      <c r="K115" s="541"/>
      <c r="L115" s="542"/>
      <c r="M115" s="543"/>
      <c r="N115" s="2982"/>
      <c r="O115" s="2982"/>
      <c r="P115" s="2991"/>
      <c r="Q115" s="2968"/>
      <c r="R115" s="2954"/>
      <c r="S115" s="2954"/>
      <c r="T115" s="2954"/>
      <c r="U115" s="2954"/>
      <c r="V115" s="2954"/>
      <c r="W115" s="2954"/>
      <c r="X115" s="2954"/>
      <c r="Y115" s="2954"/>
      <c r="Z115" s="2954"/>
      <c r="AA115" s="2954"/>
      <c r="AB115" s="2954"/>
      <c r="AC115" s="295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3"/>
      <c r="O116" s="2983"/>
      <c r="P116" s="2991"/>
      <c r="Q116" s="2968"/>
      <c r="R116" s="2954"/>
      <c r="S116" s="2954"/>
      <c r="T116" s="2954"/>
      <c r="U116" s="2954"/>
      <c r="V116" s="2954"/>
      <c r="W116" s="2954"/>
      <c r="X116" s="2954"/>
      <c r="Y116" s="2954"/>
      <c r="Z116" s="2954"/>
      <c r="AA116" s="2954"/>
      <c r="AB116" s="2954"/>
      <c r="AC116" s="2954"/>
    </row>
    <row r="117" spans="1:29" ht="15" thickTop="1">
      <c r="A117" s="556"/>
      <c r="B117" s="495" t="s">
        <v>2439</v>
      </c>
      <c r="C117" s="511"/>
      <c r="D117" s="511"/>
      <c r="E117" s="511"/>
      <c r="F117" s="511"/>
      <c r="G117" s="511"/>
      <c r="H117" s="540"/>
      <c r="I117" s="540"/>
      <c r="J117" s="540"/>
      <c r="K117" s="541"/>
      <c r="L117" s="542"/>
      <c r="M117" s="543"/>
      <c r="N117" s="2982"/>
      <c r="O117" s="2982"/>
      <c r="P117" s="2991"/>
      <c r="Q117" s="2968"/>
      <c r="R117" s="2954"/>
      <c r="S117" s="2954"/>
      <c r="T117" s="2954"/>
      <c r="U117" s="2954"/>
      <c r="V117" s="2954"/>
      <c r="W117" s="2954"/>
      <c r="X117" s="2954"/>
      <c r="Y117" s="2954"/>
      <c r="Z117" s="2954"/>
      <c r="AA117" s="2954"/>
      <c r="AB117" s="2954"/>
      <c r="AC117" s="295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3"/>
      <c r="O118" s="2983"/>
      <c r="P118" s="2991"/>
      <c r="Q118" s="2968"/>
      <c r="R118" s="2954"/>
      <c r="S118" s="2954"/>
      <c r="T118" s="2954"/>
      <c r="U118" s="2954"/>
      <c r="V118" s="2954"/>
      <c r="W118" s="2954"/>
      <c r="X118" s="2954"/>
      <c r="Y118" s="2954"/>
      <c r="Z118" s="2954"/>
      <c r="AA118" s="2954"/>
      <c r="AB118" s="2954"/>
      <c r="AC118" s="2954"/>
    </row>
    <row r="119" spans="1:29" ht="15" thickTop="1">
      <c r="A119" s="556"/>
      <c r="B119" s="592" t="s">
        <v>2522</v>
      </c>
      <c r="C119" s="540"/>
      <c r="D119" s="540"/>
      <c r="E119" s="540"/>
      <c r="F119" s="540"/>
      <c r="G119" s="540"/>
      <c r="H119" s="540"/>
      <c r="I119" s="540"/>
      <c r="J119" s="540"/>
      <c r="K119" s="540"/>
      <c r="L119" s="2154"/>
      <c r="M119" s="2155"/>
      <c r="N119" s="2983"/>
      <c r="O119" s="2983"/>
      <c r="P119" s="2996"/>
      <c r="Q119" s="2997"/>
      <c r="R119" s="2954"/>
      <c r="S119" s="2954"/>
      <c r="T119" s="2954"/>
      <c r="U119" s="2954"/>
      <c r="V119" s="2954"/>
      <c r="W119" s="2954"/>
      <c r="X119" s="2954"/>
      <c r="Y119" s="2954"/>
      <c r="Z119" s="2954"/>
      <c r="AA119" s="2954"/>
      <c r="AB119" s="2954"/>
      <c r="AC119" s="295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3"/>
      <c r="O120" s="2983"/>
      <c r="P120" s="2991"/>
      <c r="Q120" s="2968"/>
      <c r="R120" s="2954"/>
      <c r="S120" s="2954"/>
      <c r="T120" s="2954"/>
      <c r="U120" s="2954"/>
      <c r="V120" s="2954"/>
      <c r="W120" s="2954"/>
      <c r="X120" s="2954"/>
      <c r="Y120" s="2954"/>
      <c r="Z120" s="2954"/>
      <c r="AA120" s="2954"/>
      <c r="AB120" s="2954"/>
      <c r="AC120" s="2954"/>
    </row>
    <row r="121" spans="1:29" s="430" customFormat="1" ht="15" thickTop="1">
      <c r="A121" s="550"/>
      <c r="B121" s="495" t="s">
        <v>2505</v>
      </c>
      <c r="C121" s="511"/>
      <c r="D121" s="511"/>
      <c r="E121" s="511"/>
      <c r="F121" s="540"/>
      <c r="G121" s="512"/>
      <c r="H121" s="512"/>
      <c r="I121" s="512"/>
      <c r="J121" s="512"/>
      <c r="K121" s="512"/>
      <c r="L121" s="513"/>
      <c r="M121" s="514"/>
      <c r="N121" s="2984"/>
      <c r="O121" s="2984"/>
      <c r="P121" s="2992"/>
      <c r="Q121" s="2975"/>
      <c r="R121" s="2976"/>
      <c r="S121" s="2976"/>
      <c r="T121" s="2976"/>
      <c r="U121" s="2976"/>
      <c r="V121" s="2976"/>
      <c r="W121" s="2976"/>
      <c r="X121" s="2976"/>
      <c r="Y121" s="2976"/>
      <c r="Z121" s="2976"/>
      <c r="AA121" s="2976"/>
      <c r="AB121" s="2976"/>
      <c r="AC121" s="2976"/>
    </row>
    <row r="122" spans="1:29" s="430" customFormat="1" ht="15.75" thickBot="1">
      <c r="A122" s="510"/>
      <c r="B122" s="492"/>
      <c r="C122" s="517"/>
      <c r="D122" s="517"/>
      <c r="E122" s="517"/>
      <c r="F122" s="517"/>
      <c r="G122" s="517"/>
      <c r="H122" s="517"/>
      <c r="I122" s="517"/>
      <c r="J122" s="517"/>
      <c r="K122" s="517"/>
      <c r="L122" s="517"/>
      <c r="M122" s="517"/>
      <c r="N122" s="2984"/>
      <c r="O122" s="2984"/>
      <c r="P122" s="2992"/>
      <c r="Q122" s="2975"/>
      <c r="R122" s="2976"/>
      <c r="S122" s="2976"/>
      <c r="T122" s="2976"/>
      <c r="U122" s="2976"/>
      <c r="V122" s="2976"/>
      <c r="W122" s="2976"/>
      <c r="X122" s="2976"/>
      <c r="Y122" s="2976"/>
      <c r="Z122" s="2976"/>
      <c r="AA122" s="2976"/>
      <c r="AB122" s="2976"/>
      <c r="AC122" s="2976"/>
    </row>
    <row r="123" spans="1:29" ht="15" thickTop="1">
      <c r="A123" s="556"/>
      <c r="B123" s="495" t="s">
        <v>2441</v>
      </c>
      <c r="C123" s="511"/>
      <c r="D123" s="511"/>
      <c r="E123" s="511"/>
      <c r="F123" s="540"/>
      <c r="G123" s="540"/>
      <c r="H123" s="540"/>
      <c r="I123" s="540"/>
      <c r="J123" s="540"/>
      <c r="K123" s="541"/>
      <c r="L123" s="542"/>
      <c r="M123" s="543"/>
      <c r="N123" s="2982"/>
      <c r="O123" s="2982"/>
      <c r="P123" s="2991"/>
      <c r="Q123" s="2968"/>
      <c r="R123" s="2954"/>
      <c r="S123" s="2954"/>
      <c r="T123" s="2954"/>
      <c r="U123" s="2954"/>
      <c r="V123" s="2954"/>
      <c r="W123" s="2954"/>
      <c r="X123" s="2954"/>
      <c r="Y123" s="2954"/>
      <c r="Z123" s="2954"/>
      <c r="AA123" s="2954"/>
      <c r="AB123" s="2954"/>
      <c r="AC123" s="295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3"/>
      <c r="O124" s="2983"/>
      <c r="P124" s="2991"/>
      <c r="Q124" s="2968"/>
      <c r="R124" s="2954"/>
      <c r="S124" s="2954"/>
      <c r="T124" s="2954"/>
      <c r="U124" s="2954"/>
      <c r="V124" s="2954"/>
      <c r="W124" s="2954"/>
      <c r="X124" s="2954"/>
      <c r="Y124" s="2954"/>
      <c r="Z124" s="2954"/>
      <c r="AA124" s="2954"/>
      <c r="AB124" s="2954"/>
      <c r="AC124" s="2954"/>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82"/>
      <c r="O125" s="2982"/>
      <c r="P125" s="2992"/>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3"/>
      <c r="O126" s="2983"/>
      <c r="P126" s="2991"/>
      <c r="Q126" s="2968"/>
      <c r="R126" s="2954"/>
      <c r="S126" s="2954"/>
      <c r="T126" s="2954"/>
      <c r="U126" s="2954"/>
      <c r="V126" s="2954"/>
      <c r="W126" s="2954"/>
      <c r="X126" s="2954"/>
      <c r="Y126" s="2954"/>
      <c r="Z126" s="2954"/>
      <c r="AA126" s="2954"/>
      <c r="AB126" s="2954"/>
      <c r="AC126" s="2954"/>
    </row>
    <row r="127" spans="1:29" s="430" customFormat="1" ht="15" thickTop="1">
      <c r="A127" s="550"/>
      <c r="B127" s="495">
        <f>B45</f>
        <v>111</v>
      </c>
      <c r="C127" s="511"/>
      <c r="D127" s="511"/>
      <c r="E127" s="511"/>
      <c r="F127" s="511"/>
      <c r="G127" s="511"/>
      <c r="H127" s="512"/>
      <c r="I127" s="512"/>
      <c r="J127" s="512"/>
      <c r="K127" s="512"/>
      <c r="L127" s="513"/>
      <c r="M127" s="514"/>
      <c r="N127" s="2984"/>
      <c r="O127" s="2984"/>
      <c r="P127" s="2992"/>
      <c r="Q127" s="2975"/>
      <c r="R127" s="2976"/>
      <c r="S127" s="2976"/>
      <c r="T127" s="2976"/>
      <c r="U127" s="2976"/>
      <c r="V127" s="2976"/>
      <c r="W127" s="2976"/>
      <c r="X127" s="2976"/>
      <c r="Y127" s="2976"/>
      <c r="Z127" s="2976"/>
      <c r="AA127" s="2976"/>
      <c r="AB127" s="2976"/>
      <c r="AC127" s="2976"/>
    </row>
    <row r="128" spans="1:29" s="430" customFormat="1" ht="15.75" thickBot="1">
      <c r="A128" s="510"/>
      <c r="B128" s="500"/>
      <c r="C128" s="517"/>
      <c r="D128" s="493"/>
      <c r="E128" s="493"/>
      <c r="F128" s="493"/>
      <c r="G128" s="517"/>
      <c r="H128" s="519"/>
      <c r="I128" s="519"/>
      <c r="J128" s="519"/>
      <c r="K128" s="519"/>
      <c r="L128" s="519"/>
      <c r="M128" s="520"/>
      <c r="N128" s="2984"/>
      <c r="O128" s="2984"/>
      <c r="P128" s="2992"/>
      <c r="Q128" s="2975"/>
      <c r="R128" s="2976"/>
      <c r="S128" s="2976"/>
      <c r="T128" s="2976"/>
      <c r="U128" s="2976"/>
      <c r="V128" s="2976"/>
      <c r="W128" s="2976"/>
      <c r="X128" s="2976"/>
      <c r="Y128" s="2976"/>
      <c r="Z128" s="2976"/>
      <c r="AA128" s="2976"/>
      <c r="AB128" s="2976"/>
      <c r="AC128" s="2976"/>
    </row>
    <row r="129" spans="1:29" ht="15" thickTop="1">
      <c r="A129" s="556"/>
      <c r="B129" s="495">
        <f>B46</f>
        <v>111</v>
      </c>
      <c r="C129" s="511"/>
      <c r="D129" s="511"/>
      <c r="E129" s="511"/>
      <c r="F129" s="511"/>
      <c r="G129" s="540"/>
      <c r="H129" s="540"/>
      <c r="I129" s="540"/>
      <c r="J129" s="540"/>
      <c r="K129" s="541"/>
      <c r="L129" s="542"/>
      <c r="M129" s="543"/>
      <c r="N129" s="2982"/>
      <c r="O129" s="2982"/>
      <c r="P129" s="2991"/>
      <c r="Q129" s="2968"/>
      <c r="R129" s="2954"/>
      <c r="S129" s="2954"/>
      <c r="T129" s="2954"/>
      <c r="U129" s="2954"/>
      <c r="V129" s="2954"/>
      <c r="W129" s="2954"/>
      <c r="X129" s="2954"/>
      <c r="Y129" s="2954"/>
      <c r="Z129" s="2954"/>
      <c r="AA129" s="2954"/>
      <c r="AB129" s="2954"/>
      <c r="AC129" s="2954"/>
    </row>
    <row r="130" spans="1:29" ht="15.75" thickBot="1">
      <c r="A130" s="491"/>
      <c r="B130" s="500"/>
      <c r="C130" s="517"/>
      <c r="D130" s="517"/>
      <c r="E130" s="517"/>
      <c r="F130" s="517"/>
      <c r="G130" s="493"/>
      <c r="H130" s="493"/>
      <c r="I130" s="493"/>
      <c r="J130" s="493"/>
      <c r="K130" s="493"/>
      <c r="L130" s="493"/>
      <c r="M130" s="494"/>
      <c r="N130" s="2983"/>
      <c r="O130" s="2983"/>
      <c r="P130" s="2991"/>
      <c r="Q130" s="2968"/>
      <c r="R130" s="2954"/>
      <c r="S130" s="2954"/>
      <c r="T130" s="2954"/>
      <c r="U130" s="2954"/>
      <c r="V130" s="2954"/>
      <c r="W130" s="2954"/>
      <c r="X130" s="2954"/>
      <c r="Y130" s="2954"/>
      <c r="Z130" s="2954"/>
      <c r="AA130" s="2954"/>
      <c r="AB130" s="2954"/>
      <c r="AC130" s="2954"/>
    </row>
    <row r="131" spans="1:29" ht="15" thickTop="1">
      <c r="A131" s="556"/>
      <c r="B131" s="503">
        <f>B47</f>
        <v>111</v>
      </c>
      <c r="C131" s="480"/>
      <c r="D131" s="480"/>
      <c r="E131" s="480"/>
      <c r="F131" s="480"/>
      <c r="G131" s="544"/>
      <c r="H131" s="544"/>
      <c r="I131" s="544"/>
      <c r="J131" s="544"/>
      <c r="K131" s="480"/>
      <c r="L131" s="481"/>
      <c r="M131" s="547"/>
      <c r="N131" s="2982"/>
      <c r="O131" s="2982"/>
      <c r="P131" s="2991"/>
      <c r="Q131" s="2968"/>
      <c r="R131" s="2954"/>
      <c r="S131" s="2954"/>
      <c r="T131" s="2954"/>
      <c r="U131" s="2954"/>
      <c r="V131" s="2954"/>
      <c r="W131" s="2954"/>
      <c r="X131" s="2954"/>
      <c r="Y131" s="2954"/>
      <c r="Z131" s="2954"/>
      <c r="AA131" s="2954"/>
      <c r="AB131" s="2954"/>
      <c r="AC131" s="2954"/>
    </row>
    <row r="132" spans="1:29" ht="15.75" thickBot="1">
      <c r="A132" s="2114"/>
      <c r="B132" s="526"/>
      <c r="C132" s="527"/>
      <c r="D132" s="527"/>
      <c r="E132" s="527"/>
      <c r="F132" s="527"/>
      <c r="G132" s="548"/>
      <c r="H132" s="548"/>
      <c r="I132" s="548"/>
      <c r="J132" s="548"/>
      <c r="K132" s="548"/>
      <c r="L132" s="548"/>
      <c r="M132" s="549"/>
      <c r="N132" s="2983"/>
      <c r="O132" s="2983"/>
      <c r="P132" s="2991"/>
      <c r="Q132" s="2968"/>
      <c r="R132" s="2954"/>
      <c r="S132" s="2954"/>
      <c r="T132" s="2954"/>
      <c r="U132" s="2954"/>
      <c r="V132" s="2954"/>
      <c r="W132" s="2954"/>
      <c r="X132" s="2954"/>
      <c r="Y132" s="2954"/>
      <c r="Z132" s="2954"/>
      <c r="AA132" s="2954"/>
      <c r="AB132" s="2954"/>
      <c r="AC132"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35" priority="20" stopIfTrue="1" operator="containsText" text="超过">
      <formula>NOT(ISERROR(SEARCH("超过",F53)))</formula>
    </cfRule>
  </conditionalFormatting>
  <conditionalFormatting sqref="H55">
    <cfRule type="containsText" dxfId="134" priority="19" stopIfTrue="1" operator="containsText" text="超过">
      <formula>NOT(ISERROR(SEARCH("超过",H55)))</formula>
    </cfRule>
  </conditionalFormatting>
  <conditionalFormatting sqref="F55">
    <cfRule type="containsText" dxfId="133" priority="18" stopIfTrue="1" operator="containsText" text="超过">
      <formula>NOT(ISERROR(SEARCH("超过",F55)))</formula>
    </cfRule>
  </conditionalFormatting>
  <conditionalFormatting sqref="F54 H54">
    <cfRule type="containsText" dxfId="132" priority="17" stopIfTrue="1" operator="containsText" text="超过">
      <formula>NOT(ISERROR(SEARCH("超过",F54)))</formula>
    </cfRule>
  </conditionalFormatting>
  <conditionalFormatting sqref="E53">
    <cfRule type="expression" dxfId="131" priority="16" stopIfTrue="1">
      <formula>$F$53="超过30%"</formula>
    </cfRule>
  </conditionalFormatting>
  <conditionalFormatting sqref="E54">
    <cfRule type="expression" dxfId="130" priority="15" stopIfTrue="1">
      <formula>$F$54="超过20%"</formula>
    </cfRule>
  </conditionalFormatting>
  <conditionalFormatting sqref="E55">
    <cfRule type="expression" dxfId="129" priority="14" stopIfTrue="1">
      <formula>$F$55="超过30%"</formula>
    </cfRule>
  </conditionalFormatting>
  <conditionalFormatting sqref="G55">
    <cfRule type="expression" dxfId="128" priority="13" stopIfTrue="1">
      <formula>$H$55="超过30%"</formula>
    </cfRule>
  </conditionalFormatting>
  <conditionalFormatting sqref="G53">
    <cfRule type="expression" dxfId="127" priority="12" stopIfTrue="1">
      <formula>$H$53="超过30%"</formula>
    </cfRule>
  </conditionalFormatting>
  <conditionalFormatting sqref="G54">
    <cfRule type="expression" dxfId="126" priority="11" stopIfTrue="1">
      <formula>$H$54="超过20%"</formula>
    </cfRule>
  </conditionalFormatting>
  <conditionalFormatting sqref="J53">
    <cfRule type="containsText" dxfId="125" priority="10" stopIfTrue="1" operator="containsText" text="超过">
      <formula>NOT(ISERROR(SEARCH("超过",J53)))</formula>
    </cfRule>
  </conditionalFormatting>
  <conditionalFormatting sqref="J55">
    <cfRule type="containsText" dxfId="124" priority="9" stopIfTrue="1" operator="containsText" text="超过">
      <formula>NOT(ISERROR(SEARCH("超过",J55)))</formula>
    </cfRule>
  </conditionalFormatting>
  <conditionalFormatting sqref="J54">
    <cfRule type="containsText" dxfId="123" priority="8" stopIfTrue="1" operator="containsText" text="超过">
      <formula>NOT(ISERROR(SEARCH("超过",J54)))</formula>
    </cfRule>
  </conditionalFormatting>
  <conditionalFormatting sqref="I53">
    <cfRule type="expression" dxfId="122" priority="7" stopIfTrue="1">
      <formula>$J$53="超过30%"</formula>
    </cfRule>
  </conditionalFormatting>
  <conditionalFormatting sqref="I54">
    <cfRule type="expression" dxfId="121" priority="6" stopIfTrue="1">
      <formula>$J$53+$J$54="超过20%"</formula>
    </cfRule>
  </conditionalFormatting>
  <conditionalFormatting sqref="I55">
    <cfRule type="expression" dxfId="120" priority="5" stopIfTrue="1">
      <formula>$J$55="超过30%"</formula>
    </cfRule>
  </conditionalFormatting>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F7:F47 H7:H47 J7:J47">
    <cfRule type="cellIs" dxfId="116" priority="1" operator="notEqual">
      <formula>100</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C10 E10 G10 I10" xr:uid="{00000000-0002-0000-1C00-000006000000}">
      <formula1>土地年限区间</formula1>
    </dataValidation>
    <dataValidation type="list" allowBlank="1" showInputMessage="1" showErrorMessage="1" sqref="E9 G9 I9" xr:uid="{00000000-0002-0000-1C00-000007000000}">
      <formula1>办公用途</formula1>
    </dataValidation>
    <dataValidation type="list" allowBlank="1" showInputMessage="1" showErrorMessage="1" sqref="C16 E16 G16 I16" xr:uid="{00000000-0002-0000-1C00-000008000000}">
      <formula1>办公集聚程度</formula1>
    </dataValidation>
    <dataValidation type="list" allowBlank="1" showInputMessage="1" showErrorMessage="1" sqref="G26 C26 E26 I26" xr:uid="{00000000-0002-0000-1C00-000009000000}">
      <formula1>办公道路级别</formula1>
    </dataValidation>
    <dataValidation type="list" allowBlank="1" showInputMessage="1" showErrorMessage="1" sqref="C28 E28 G28 I28" xr:uid="{00000000-0002-0000-1C00-00000A000000}">
      <formula1>办公朝向</formula1>
    </dataValidation>
    <dataValidation type="list" allowBlank="1" showInputMessage="1" showErrorMessage="1" sqref="C27 E27 G27 I27" xr:uid="{00000000-0002-0000-1C00-00000B000000}">
      <formula1>办公楼层</formula1>
    </dataValidation>
    <dataValidation type="list" allowBlank="1" showInputMessage="1" showErrorMessage="1" sqref="C33 E33 G33 I33" xr:uid="{00000000-0002-0000-1C00-00000C000000}">
      <formula1>办公建筑类型</formula1>
    </dataValidation>
    <dataValidation type="list" allowBlank="1" showInputMessage="1" showErrorMessage="1" sqref="C36 E36 G36 I36" xr:uid="{00000000-0002-0000-1C00-00000D000000}">
      <formula1>办公公共部分装修</formula1>
    </dataValidation>
    <dataValidation type="list" allowBlank="1" showInputMessage="1" showErrorMessage="1" sqref="C38 E38 G38 I38" xr:uid="{00000000-0002-0000-1C00-00000E000000}">
      <formula1>写字楼等级</formula1>
    </dataValidation>
    <dataValidation type="list" allowBlank="1" showInputMessage="1" showErrorMessage="1" sqref="C39 E39 G39 I39" xr:uid="{00000000-0002-0000-1C00-00000F000000}">
      <formula1>办公物业管理</formula1>
    </dataValidation>
    <dataValidation type="list" allowBlank="1" showInputMessage="1" showErrorMessage="1" sqref="C40 E40 G40 I40" xr:uid="{00000000-0002-0000-1C00-000010000000}">
      <formula1>办公基础设施水平</formula1>
    </dataValidation>
    <dataValidation type="list" allowBlank="1" showInputMessage="1" showErrorMessage="1" sqref="C41 E41 G41 I41" xr:uid="{00000000-0002-0000-1C00-000011000000}">
      <formula1>办公层高</formula1>
    </dataValidation>
    <dataValidation type="list" allowBlank="1" showInputMessage="1" showErrorMessage="1" sqref="C43 E43 G43 I43" xr:uid="{00000000-0002-0000-1C00-000012000000}">
      <formula1>办公内部装修</formula1>
    </dataValidation>
    <dataValidation type="list" allowBlank="1" showInputMessage="1" showErrorMessage="1" sqref="C8 E8 G8 I8" xr:uid="{00000000-0002-0000-1C00-000013000000}">
      <formula1>办公交易情况</formula1>
    </dataValidation>
    <dataValidation type="list" allowBlank="1" showInputMessage="1" showErrorMessage="1" sqref="C22 E22 G22 I22" xr:uid="{00000000-0002-0000-1C00-000014000000}">
      <formula1>基础设施水平</formula1>
    </dataValidation>
    <dataValidation type="list" allowBlank="1" showInputMessage="1" showErrorMessage="1" sqref="F1" xr:uid="{00000000-0002-0000-1C00-000015000000}">
      <formula1>"售价,租金"</formula1>
    </dataValidation>
    <dataValidation type="list" allowBlank="1" showInputMessage="1" showErrorMessage="1" sqref="C2" xr:uid="{00000000-0002-0000-1C00-000016000000}">
      <formula1>"需扣减承租人权益,——"</formula1>
    </dataValidation>
    <dataValidation type="list" allowBlank="1" showInputMessage="1" showErrorMessage="1" sqref="F2" xr:uid="{00000000-0002-0000-1C00-000017000000}">
      <formula1>估价方法</formula1>
    </dataValidation>
    <dataValidation type="list" allowBlank="1" showInputMessage="1" showErrorMessage="1" sqref="D49" xr:uid="{00000000-0002-0000-1C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topLeftCell="A4" zoomScale="60" zoomScaleNormal="60" workbookViewId="0">
      <selection activeCell="D30" activeCellId="1" sqref="H5 D30"/>
    </sheetView>
  </sheetViews>
  <sheetFormatPr defaultColWidth="9" defaultRowHeight="14.25"/>
  <cols>
    <col min="1" max="1" width="10.5" style="363" customWidth="1"/>
    <col min="2" max="2" width="15.62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363"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2349</v>
      </c>
      <c r="B1" s="2143" t="s">
        <v>2523</v>
      </c>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IF(C2="——",ROUND(C43*D3/10000,0),ROUND(C43*D3/10000,0)-D2)</f>
        <v>#DIV/0!</v>
      </c>
      <c r="C2" s="2067"/>
      <c r="D2" s="1038" t="e">
        <f ca="1">SUMIF(INDIRECT("'"&amp;F2&amp;"'"&amp;"!A:A"),"承租人权益价值",INDIRECT("'"&amp;F2&amp;"'"&amp;"!c:c"))</f>
        <v>#REF!</v>
      </c>
      <c r="E2" s="2068" t="s">
        <v>2149</v>
      </c>
      <c r="F2" s="206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198.07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2466</v>
      </c>
      <c r="B4" s="362"/>
      <c r="C4" s="3925" t="s">
        <v>2467</v>
      </c>
      <c r="D4" s="3926"/>
      <c r="E4" s="3927" t="s">
        <v>2468</v>
      </c>
      <c r="F4" s="3928"/>
      <c r="G4" s="3925" t="s">
        <v>2469</v>
      </c>
      <c r="H4" s="3926"/>
      <c r="I4" s="3925" t="s">
        <v>2470</v>
      </c>
      <c r="J4" s="3926"/>
      <c r="K4" s="567" t="s">
        <v>2471</v>
      </c>
      <c r="L4" s="1044"/>
      <c r="M4" s="1045"/>
      <c r="N4" s="1045"/>
      <c r="O4" s="1045"/>
      <c r="P4" s="3929" t="s">
        <v>2472</v>
      </c>
      <c r="Q4" s="3930"/>
      <c r="R4" s="3935" t="s">
        <v>2468</v>
      </c>
      <c r="S4" s="3936"/>
      <c r="T4" s="3935" t="s">
        <v>2469</v>
      </c>
      <c r="U4" s="3936"/>
      <c r="V4" s="3941" t="s">
        <v>2470</v>
      </c>
      <c r="W4" s="3941"/>
      <c r="X4" s="1539"/>
      <c r="Y4" s="3935" t="s">
        <v>2472</v>
      </c>
      <c r="Z4" s="3936"/>
      <c r="AA4" s="3922" t="s">
        <v>2468</v>
      </c>
      <c r="AB4" s="3923" t="s">
        <v>2469</v>
      </c>
      <c r="AC4" s="3922" t="s">
        <v>2470</v>
      </c>
    </row>
    <row r="5" spans="1:29" ht="15">
      <c r="A5" s="364"/>
      <c r="B5" s="365"/>
      <c r="C5" s="3944" t="s">
        <v>2363</v>
      </c>
      <c r="D5" s="3945"/>
      <c r="E5" s="3951" t="s">
        <v>2364</v>
      </c>
      <c r="F5" s="3952"/>
      <c r="G5" s="3944" t="s">
        <v>2365</v>
      </c>
      <c r="H5" s="3945"/>
      <c r="I5" s="3944" t="s">
        <v>2366</v>
      </c>
      <c r="J5" s="3945"/>
      <c r="K5" s="567"/>
      <c r="L5" s="1044"/>
      <c r="M5" s="1045"/>
      <c r="N5" s="1045"/>
      <c r="O5" s="1045"/>
      <c r="P5" s="3931"/>
      <c r="Q5" s="3932"/>
      <c r="R5" s="3937"/>
      <c r="S5" s="3938"/>
      <c r="T5" s="3937"/>
      <c r="U5" s="3938"/>
      <c r="V5" s="3941"/>
      <c r="W5" s="3941"/>
      <c r="X5" s="1539"/>
      <c r="Y5" s="3937"/>
      <c r="Z5" s="3938"/>
      <c r="AA5" s="3923"/>
      <c r="AB5" s="3923"/>
      <c r="AC5" s="3923"/>
    </row>
    <row r="6" spans="1:29" ht="15.75" thickBot="1">
      <c r="A6" s="366"/>
      <c r="B6" s="367"/>
      <c r="C6" s="3942" t="s">
        <v>2367</v>
      </c>
      <c r="D6" s="3943"/>
      <c r="E6" s="3949" t="s">
        <v>2367</v>
      </c>
      <c r="F6" s="3950"/>
      <c r="G6" s="3942" t="s">
        <v>2367</v>
      </c>
      <c r="H6" s="3943"/>
      <c r="I6" s="3942" t="s">
        <v>2367</v>
      </c>
      <c r="J6" s="3943"/>
      <c r="K6" s="567" t="s">
        <v>2368</v>
      </c>
      <c r="L6" s="1044"/>
      <c r="M6" s="1045"/>
      <c r="N6" s="1045"/>
      <c r="O6" s="1045"/>
      <c r="P6" s="3933"/>
      <c r="Q6" s="3934"/>
      <c r="R6" s="3937"/>
      <c r="S6" s="3938"/>
      <c r="T6" s="3939"/>
      <c r="U6" s="3940"/>
      <c r="V6" s="3941"/>
      <c r="W6" s="3941"/>
      <c r="X6" s="1539"/>
      <c r="Y6" s="3939"/>
      <c r="Z6" s="3940"/>
      <c r="AA6" s="3924"/>
      <c r="AB6" s="3924"/>
      <c r="AC6" s="3924"/>
    </row>
    <row r="7" spans="1:29" s="113" customFormat="1" ht="15.75" thickBot="1">
      <c r="A7" s="368" t="s">
        <v>2369</v>
      </c>
      <c r="B7" s="369"/>
      <c r="C7" s="370">
        <f>'数据-取费表'!B2</f>
        <v>44357</v>
      </c>
      <c r="D7" s="371">
        <v>100</v>
      </c>
      <c r="E7" s="372"/>
      <c r="F7" s="373">
        <f>SUMIF(52:52,YEAR(E7)&amp;"-"&amp;MONTH(E7),53:53)</f>
        <v>0</v>
      </c>
      <c r="G7" s="372"/>
      <c r="H7" s="371">
        <f>SUMIF(52:52,YEAR(G7)&amp;"-"&amp;MONTH(G7),53:53)</f>
        <v>0</v>
      </c>
      <c r="I7" s="372"/>
      <c r="J7" s="371">
        <f>SUMIF(52:52,YEAR(I7)&amp;"-"&amp;MONTH(I7),53:53)</f>
        <v>0</v>
      </c>
      <c r="K7" s="568"/>
      <c r="L7" s="1046"/>
      <c r="M7" s="1047"/>
      <c r="N7" s="1047"/>
      <c r="O7" s="1047"/>
      <c r="P7" s="3946" t="s">
        <v>2370</v>
      </c>
      <c r="Q7" s="3948"/>
      <c r="R7" s="710" t="s">
        <v>17</v>
      </c>
      <c r="S7" s="711">
        <f t="shared" ref="S7:S15" si="0">F7</f>
        <v>0</v>
      </c>
      <c r="T7" s="710" t="s">
        <v>17</v>
      </c>
      <c r="U7" s="711">
        <f t="shared" ref="U7:U15" si="1">H7</f>
        <v>0</v>
      </c>
      <c r="V7" s="710" t="s">
        <v>17</v>
      </c>
      <c r="W7" s="711">
        <f t="shared" ref="W7:W15" si="2">J7</f>
        <v>0</v>
      </c>
      <c r="X7" s="712"/>
      <c r="Y7" s="3946" t="s">
        <v>2370</v>
      </c>
      <c r="Z7" s="3947"/>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946" t="s">
        <v>2373</v>
      </c>
      <c r="Q8" s="3947"/>
      <c r="R8" s="710" t="s">
        <v>17</v>
      </c>
      <c r="S8" s="711">
        <f t="shared" si="0"/>
        <v>0</v>
      </c>
      <c r="T8" s="710" t="s">
        <v>17</v>
      </c>
      <c r="U8" s="711">
        <f t="shared" si="1"/>
        <v>0</v>
      </c>
      <c r="V8" s="710" t="s">
        <v>17</v>
      </c>
      <c r="W8" s="711">
        <f t="shared" si="2"/>
        <v>0</v>
      </c>
      <c r="X8" s="712"/>
      <c r="Y8" s="3946" t="s">
        <v>2373</v>
      </c>
      <c r="Z8" s="3947"/>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910"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910"/>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910"/>
      <c r="Q11" s="1527" t="str">
        <f t="shared" si="6"/>
        <v>容积率</v>
      </c>
      <c r="R11" s="710" t="s">
        <v>17</v>
      </c>
      <c r="S11" s="711" t="e">
        <f t="shared" si="0"/>
        <v>#N/A</v>
      </c>
      <c r="T11" s="710" t="s">
        <v>17</v>
      </c>
      <c r="U11" s="711" t="e">
        <f t="shared" si="1"/>
        <v>#N/A</v>
      </c>
      <c r="V11" s="710" t="s">
        <v>17</v>
      </c>
      <c r="W11" s="711" t="e">
        <f t="shared" si="2"/>
        <v>#N/A</v>
      </c>
      <c r="X11" s="712"/>
      <c r="Y11" s="3780"/>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6"/>
      <c r="M12" s="1047"/>
      <c r="N12" s="1047"/>
      <c r="O12" s="1048"/>
      <c r="P12" s="3910"/>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4"/>
      <c r="M13" s="1045"/>
      <c r="N13" s="1045"/>
      <c r="O13" s="1053"/>
      <c r="P13" s="3910"/>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4"/>
      <c r="M14" s="1045"/>
      <c r="N14" s="1045"/>
      <c r="O14" s="1053"/>
      <c r="P14" s="3910"/>
      <c r="Q14" s="1527">
        <f t="shared" si="6"/>
        <v>111</v>
      </c>
      <c r="R14" s="710" t="s">
        <v>17</v>
      </c>
      <c r="S14" s="711">
        <f t="shared" si="0"/>
        <v>100</v>
      </c>
      <c r="T14" s="710" t="s">
        <v>17</v>
      </c>
      <c r="U14" s="711">
        <f t="shared" si="1"/>
        <v>100</v>
      </c>
      <c r="V14" s="710" t="s">
        <v>17</v>
      </c>
      <c r="W14" s="711">
        <f t="shared" si="2"/>
        <v>100</v>
      </c>
      <c r="X14" s="712"/>
      <c r="Y14" s="3780"/>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912" t="s">
        <v>2381</v>
      </c>
      <c r="Q15" s="1536" t="str">
        <f t="shared" si="6"/>
        <v>产业集聚程度</v>
      </c>
      <c r="R15" s="714" t="s">
        <v>17</v>
      </c>
      <c r="S15" s="715">
        <f t="shared" si="0"/>
        <v>100</v>
      </c>
      <c r="T15" s="714" t="s">
        <v>17</v>
      </c>
      <c r="U15" s="715">
        <f t="shared" si="1"/>
        <v>100</v>
      </c>
      <c r="V15" s="714" t="s">
        <v>17</v>
      </c>
      <c r="W15" s="715">
        <f t="shared" si="2"/>
        <v>100</v>
      </c>
      <c r="X15" s="1539"/>
      <c r="Y15" s="3912"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4"/>
      <c r="M16" s="1045"/>
      <c r="N16" s="1045"/>
      <c r="O16" s="1053"/>
      <c r="P16" s="3913"/>
      <c r="Q16" s="1536"/>
      <c r="R16" s="714"/>
      <c r="S16" s="715"/>
      <c r="T16" s="714"/>
      <c r="U16" s="715"/>
      <c r="V16" s="714"/>
      <c r="W16" s="715"/>
      <c r="X16" s="1539"/>
      <c r="Y16" s="3913"/>
      <c r="Z16" s="1540"/>
      <c r="AA16" s="1537">
        <v>1</v>
      </c>
      <c r="AB16" s="1537">
        <v>1</v>
      </c>
      <c r="AC16" s="1537">
        <v>1</v>
      </c>
    </row>
    <row r="17" spans="1:29" ht="85.5">
      <c r="A17" s="387"/>
      <c r="B17" s="410" t="s">
        <v>1945</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913"/>
      <c r="Q17" s="1536" t="str">
        <f>B17</f>
        <v>交通便捷度</v>
      </c>
      <c r="R17" s="714" t="s">
        <v>17</v>
      </c>
      <c r="S17" s="715">
        <f>F17</f>
        <v>100</v>
      </c>
      <c r="T17" s="714" t="s">
        <v>17</v>
      </c>
      <c r="U17" s="715">
        <f>H17</f>
        <v>100</v>
      </c>
      <c r="V17" s="714" t="s">
        <v>17</v>
      </c>
      <c r="W17" s="715">
        <f>J17</f>
        <v>100</v>
      </c>
      <c r="X17" s="1539"/>
      <c r="Y17" s="3913"/>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4"/>
      <c r="M18" s="1045"/>
      <c r="N18" s="1045"/>
      <c r="O18" s="1053"/>
      <c r="P18" s="3913"/>
      <c r="Q18" s="1536"/>
      <c r="R18" s="714"/>
      <c r="S18" s="715"/>
      <c r="T18" s="714"/>
      <c r="U18" s="715"/>
      <c r="V18" s="714"/>
      <c r="W18" s="715"/>
      <c r="X18" s="1539"/>
      <c r="Y18" s="3913"/>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913"/>
      <c r="Q19" s="1536" t="str">
        <f>B19</f>
        <v>公共配套设施</v>
      </c>
      <c r="R19" s="714" t="s">
        <v>17</v>
      </c>
      <c r="S19" s="715">
        <f>F19</f>
        <v>100</v>
      </c>
      <c r="T19" s="714" t="s">
        <v>17</v>
      </c>
      <c r="U19" s="715">
        <f>H19</f>
        <v>100</v>
      </c>
      <c r="V19" s="714" t="s">
        <v>17</v>
      </c>
      <c r="W19" s="715">
        <f>J19</f>
        <v>100</v>
      </c>
      <c r="X19" s="1539"/>
      <c r="Y19" s="3913"/>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4"/>
      <c r="M20" s="1045"/>
      <c r="N20" s="1045"/>
      <c r="O20" s="1053"/>
      <c r="P20" s="3913"/>
      <c r="Q20" s="1536"/>
      <c r="R20" s="714"/>
      <c r="S20" s="715"/>
      <c r="T20" s="714"/>
      <c r="U20" s="715"/>
      <c r="V20" s="714"/>
      <c r="W20" s="715"/>
      <c r="X20" s="1539"/>
      <c r="Y20" s="3913"/>
      <c r="Z20" s="1540"/>
      <c r="AA20" s="1537">
        <v>1</v>
      </c>
      <c r="AB20" s="1537">
        <v>1</v>
      </c>
      <c r="AC20" s="1537">
        <v>1</v>
      </c>
    </row>
    <row r="21" spans="1:29" ht="28.5">
      <c r="A21" s="387"/>
      <c r="B21" s="1293"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913"/>
      <c r="Q21" s="1536" t="str">
        <f>B21</f>
        <v>基础设施水平</v>
      </c>
      <c r="R21" s="714" t="s">
        <v>17</v>
      </c>
      <c r="S21" s="715">
        <f>F21</f>
        <v>100</v>
      </c>
      <c r="T21" s="714" t="s">
        <v>17</v>
      </c>
      <c r="U21" s="715">
        <f>H21</f>
        <v>100</v>
      </c>
      <c r="V21" s="714" t="s">
        <v>17</v>
      </c>
      <c r="W21" s="715">
        <f>J21</f>
        <v>100</v>
      </c>
      <c r="X21" s="1539"/>
      <c r="Y21" s="3913"/>
      <c r="Z21" s="1540" t="str">
        <f>Q21</f>
        <v>基础设施水平</v>
      </c>
      <c r="AA21" s="1537">
        <f t="shared" ref="AA21" si="8">D21/F21</f>
        <v>1</v>
      </c>
      <c r="AB21" s="1537">
        <f t="shared" ref="AB21" si="9">D21/H21</f>
        <v>1</v>
      </c>
      <c r="AC21" s="1537">
        <f t="shared" ref="AC21" si="10">D21/J21</f>
        <v>1</v>
      </c>
    </row>
    <row r="22" spans="1:29" ht="15">
      <c r="A22" s="387"/>
      <c r="B22" s="1293"/>
      <c r="C22" s="2087"/>
      <c r="D22" s="407"/>
      <c r="E22" s="406"/>
      <c r="F22" s="408"/>
      <c r="G22" s="406"/>
      <c r="H22" s="407"/>
      <c r="I22" s="406"/>
      <c r="J22" s="407"/>
      <c r="K22" s="1292"/>
      <c r="L22" s="1054"/>
      <c r="M22" s="1045"/>
      <c r="N22" s="1045"/>
      <c r="O22" s="1053"/>
      <c r="P22" s="3913"/>
      <c r="Q22" s="1536"/>
      <c r="R22" s="714"/>
      <c r="S22" s="715"/>
      <c r="T22" s="714"/>
      <c r="U22" s="715"/>
      <c r="V22" s="714"/>
      <c r="W22" s="715"/>
      <c r="X22" s="1539"/>
      <c r="Y22" s="3913"/>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913"/>
      <c r="Q23" s="1536" t="str">
        <f>B23</f>
        <v>环境质量</v>
      </c>
      <c r="R23" s="714" t="s">
        <v>17</v>
      </c>
      <c r="S23" s="715">
        <f>F23</f>
        <v>100</v>
      </c>
      <c r="T23" s="714" t="s">
        <v>17</v>
      </c>
      <c r="U23" s="715">
        <f>H23</f>
        <v>100</v>
      </c>
      <c r="V23" s="714" t="s">
        <v>17</v>
      </c>
      <c r="W23" s="715">
        <f>J23</f>
        <v>100</v>
      </c>
      <c r="X23" s="1539"/>
      <c r="Y23" s="3913"/>
      <c r="Z23" s="1540" t="str">
        <f>Q23</f>
        <v>环境质量</v>
      </c>
      <c r="AA23" s="1537">
        <f t="shared" si="3"/>
        <v>1</v>
      </c>
      <c r="AB23" s="1537">
        <f t="shared" si="4"/>
        <v>1</v>
      </c>
      <c r="AC23" s="1537">
        <f t="shared" si="5"/>
        <v>1</v>
      </c>
    </row>
    <row r="24" spans="1:29" ht="15">
      <c r="A24" s="387"/>
      <c r="B24" s="1293"/>
      <c r="C24" s="406"/>
      <c r="D24" s="407"/>
      <c r="E24" s="2084"/>
      <c r="F24" s="408"/>
      <c r="G24" s="2083"/>
      <c r="H24" s="407"/>
      <c r="I24" s="2084"/>
      <c r="J24" s="407"/>
      <c r="K24" s="572"/>
      <c r="L24" s="1054"/>
      <c r="M24" s="1045"/>
      <c r="N24" s="1045"/>
      <c r="O24" s="1053"/>
      <c r="P24" s="3913"/>
      <c r="Q24" s="1536"/>
      <c r="R24" s="714"/>
      <c r="S24" s="715"/>
      <c r="T24" s="714"/>
      <c r="U24" s="715"/>
      <c r="V24" s="714"/>
      <c r="W24" s="715"/>
      <c r="X24" s="1539"/>
      <c r="Y24" s="3913"/>
      <c r="Z24" s="1540"/>
      <c r="AA24" s="1537">
        <v>1</v>
      </c>
      <c r="AB24" s="1537">
        <v>1</v>
      </c>
      <c r="AC24" s="1537">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913"/>
      <c r="Q25" s="1536">
        <f>B25</f>
        <v>111</v>
      </c>
      <c r="R25" s="714" t="s">
        <v>17</v>
      </c>
      <c r="S25" s="715">
        <f>F25</f>
        <v>100</v>
      </c>
      <c r="T25" s="714" t="s">
        <v>17</v>
      </c>
      <c r="U25" s="715">
        <f>H25</f>
        <v>100</v>
      </c>
      <c r="V25" s="714" t="s">
        <v>17</v>
      </c>
      <c r="W25" s="715">
        <f>J25</f>
        <v>100</v>
      </c>
      <c r="X25" s="1539"/>
      <c r="Y25" s="3913"/>
      <c r="Z25" s="1540">
        <f>Q25</f>
        <v>111</v>
      </c>
      <c r="AA25" s="1537">
        <f t="shared" si="3"/>
        <v>1</v>
      </c>
      <c r="AB25" s="1537">
        <f t="shared" si="4"/>
        <v>1</v>
      </c>
      <c r="AC25" s="1537">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913"/>
      <c r="Q26" s="1536">
        <f t="shared" ref="Q26:Q40" si="11">B26</f>
        <v>111</v>
      </c>
      <c r="R26" s="714" t="s">
        <v>17</v>
      </c>
      <c r="S26" s="715">
        <f>F26</f>
        <v>100</v>
      </c>
      <c r="T26" s="714" t="s">
        <v>17</v>
      </c>
      <c r="U26" s="715">
        <f>H26</f>
        <v>100</v>
      </c>
      <c r="V26" s="714" t="s">
        <v>17</v>
      </c>
      <c r="W26" s="715">
        <f>J26</f>
        <v>100</v>
      </c>
      <c r="X26" s="1539"/>
      <c r="Y26" s="3913"/>
      <c r="Z26" s="1540">
        <f>Q26</f>
        <v>111</v>
      </c>
      <c r="AA26" s="1537">
        <f t="shared" si="3"/>
        <v>1</v>
      </c>
      <c r="AB26" s="1537">
        <f t="shared" si="4"/>
        <v>1</v>
      </c>
      <c r="AC26" s="1537">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913"/>
      <c r="Q27" s="1527">
        <f t="shared" si="11"/>
        <v>111</v>
      </c>
      <c r="R27" s="710" t="s">
        <v>17</v>
      </c>
      <c r="S27" s="711">
        <f>F27</f>
        <v>100</v>
      </c>
      <c r="T27" s="710" t="s">
        <v>17</v>
      </c>
      <c r="U27" s="711">
        <f>H27</f>
        <v>100</v>
      </c>
      <c r="V27" s="710" t="s">
        <v>17</v>
      </c>
      <c r="W27" s="711">
        <f>J27</f>
        <v>100</v>
      </c>
      <c r="X27" s="712"/>
      <c r="Y27" s="3913"/>
      <c r="Z27" s="55">
        <f>Q27</f>
        <v>111</v>
      </c>
      <c r="AA27" s="1537">
        <f>D27/F27</f>
        <v>1</v>
      </c>
      <c r="AB27" s="1537">
        <f>D27/H27</f>
        <v>1</v>
      </c>
      <c r="AC27" s="1537">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913"/>
      <c r="Q28" s="1536">
        <f t="shared" si="11"/>
        <v>111</v>
      </c>
      <c r="R28" s="714" t="s">
        <v>17</v>
      </c>
      <c r="S28" s="715">
        <f t="shared" ref="S28:S40" si="12">F28</f>
        <v>100</v>
      </c>
      <c r="T28" s="714" t="s">
        <v>17</v>
      </c>
      <c r="U28" s="715">
        <f t="shared" ref="U28:U40" si="13">H28</f>
        <v>100</v>
      </c>
      <c r="V28" s="714" t="s">
        <v>17</v>
      </c>
      <c r="W28" s="715">
        <f t="shared" ref="W28:W40" si="14">J28</f>
        <v>100</v>
      </c>
      <c r="X28" s="1539"/>
      <c r="Y28" s="3913"/>
      <c r="Z28" s="1540">
        <f t="shared" ref="Z28:Z40" si="15">Q28</f>
        <v>111</v>
      </c>
      <c r="AA28" s="1537">
        <f t="shared" si="3"/>
        <v>1</v>
      </c>
      <c r="AB28" s="1537">
        <f t="shared" si="4"/>
        <v>1</v>
      </c>
      <c r="AC28" s="1537">
        <f t="shared" si="5"/>
        <v>1</v>
      </c>
    </row>
    <row r="29" spans="1:29" ht="29.2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4"/>
      <c r="M29" s="1045"/>
      <c r="N29" s="1045"/>
      <c r="O29" s="1053"/>
      <c r="P29" s="3968" t="s">
        <v>2386</v>
      </c>
      <c r="Q29" s="1536" t="str">
        <f t="shared" si="11"/>
        <v>建筑类型</v>
      </c>
      <c r="R29" s="714" t="s">
        <v>17</v>
      </c>
      <c r="S29" s="715">
        <f t="shared" si="12"/>
        <v>100</v>
      </c>
      <c r="T29" s="714" t="s">
        <v>17</v>
      </c>
      <c r="U29" s="715">
        <f t="shared" si="13"/>
        <v>100</v>
      </c>
      <c r="V29" s="714" t="s">
        <v>17</v>
      </c>
      <c r="W29" s="715">
        <f t="shared" si="14"/>
        <v>100</v>
      </c>
      <c r="X29" s="1539"/>
      <c r="Y29" s="3917"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917"/>
      <c r="Q30" s="716" t="str">
        <f t="shared" si="11"/>
        <v>项目建筑规模</v>
      </c>
      <c r="R30" s="717" t="s">
        <v>17</v>
      </c>
      <c r="S30" s="718" t="e">
        <f t="shared" si="12"/>
        <v>#N/A</v>
      </c>
      <c r="T30" s="717" t="s">
        <v>17</v>
      </c>
      <c r="U30" s="718" t="e">
        <f t="shared" si="13"/>
        <v>#N/A</v>
      </c>
      <c r="V30" s="717" t="s">
        <v>17</v>
      </c>
      <c r="W30" s="718" t="e">
        <f t="shared" si="14"/>
        <v>#N/A</v>
      </c>
      <c r="X30" s="719"/>
      <c r="Y30" s="3917"/>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917"/>
      <c r="Q31" s="1536" t="str">
        <f t="shared" si="11"/>
        <v>建筑结构</v>
      </c>
      <c r="R31" s="714" t="s">
        <v>17</v>
      </c>
      <c r="S31" s="715">
        <f t="shared" si="12"/>
        <v>100</v>
      </c>
      <c r="T31" s="714" t="s">
        <v>17</v>
      </c>
      <c r="U31" s="715">
        <f t="shared" si="13"/>
        <v>100</v>
      </c>
      <c r="V31" s="714" t="s">
        <v>17</v>
      </c>
      <c r="W31" s="715">
        <f t="shared" si="14"/>
        <v>100</v>
      </c>
      <c r="X31" s="1539"/>
      <c r="Y31" s="3917"/>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917"/>
      <c r="Q32" s="1536" t="str">
        <f t="shared" si="11"/>
        <v>公共部分装修</v>
      </c>
      <c r="R32" s="714" t="s">
        <v>17</v>
      </c>
      <c r="S32" s="715">
        <f t="shared" si="12"/>
        <v>100</v>
      </c>
      <c r="T32" s="714" t="s">
        <v>17</v>
      </c>
      <c r="U32" s="715">
        <f t="shared" si="13"/>
        <v>100</v>
      </c>
      <c r="V32" s="714" t="s">
        <v>17</v>
      </c>
      <c r="W32" s="715">
        <f t="shared" si="14"/>
        <v>100</v>
      </c>
      <c r="X32" s="1539"/>
      <c r="Y32" s="3917"/>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917"/>
      <c r="Q33" s="1536" t="str">
        <f t="shared" si="11"/>
        <v>成新度</v>
      </c>
      <c r="R33" s="714" t="s">
        <v>17</v>
      </c>
      <c r="S33" s="715" t="e">
        <f t="shared" si="12"/>
        <v>#N/A</v>
      </c>
      <c r="T33" s="714" t="s">
        <v>17</v>
      </c>
      <c r="U33" s="715" t="e">
        <f t="shared" si="13"/>
        <v>#N/A</v>
      </c>
      <c r="V33" s="714" t="s">
        <v>17</v>
      </c>
      <c r="W33" s="715" t="e">
        <f t="shared" si="14"/>
        <v>#N/A</v>
      </c>
      <c r="X33" s="1539"/>
      <c r="Y33" s="3917"/>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917"/>
      <c r="Q34" s="1527" t="str">
        <f t="shared" si="11"/>
        <v>物业管理</v>
      </c>
      <c r="R34" s="710" t="s">
        <v>17</v>
      </c>
      <c r="S34" s="711">
        <f t="shared" si="12"/>
        <v>100</v>
      </c>
      <c r="T34" s="710" t="s">
        <v>17</v>
      </c>
      <c r="U34" s="711">
        <f t="shared" si="13"/>
        <v>100</v>
      </c>
      <c r="V34" s="710" t="s">
        <v>17</v>
      </c>
      <c r="W34" s="711">
        <f t="shared" si="14"/>
        <v>100</v>
      </c>
      <c r="X34" s="712"/>
      <c r="Y34" s="3917"/>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917" t="s">
        <v>2386</v>
      </c>
      <c r="Q35" s="1536" t="str">
        <f t="shared" si="11"/>
        <v>市政基础设施</v>
      </c>
      <c r="R35" s="714" t="s">
        <v>17</v>
      </c>
      <c r="S35" s="715">
        <f t="shared" si="12"/>
        <v>100</v>
      </c>
      <c r="T35" s="714" t="s">
        <v>17</v>
      </c>
      <c r="U35" s="715">
        <f t="shared" si="13"/>
        <v>100</v>
      </c>
      <c r="V35" s="714" t="s">
        <v>17</v>
      </c>
      <c r="W35" s="715">
        <f t="shared" si="14"/>
        <v>100</v>
      </c>
      <c r="X35" s="1539"/>
      <c r="Y35" s="3917"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917"/>
      <c r="Q36" s="1536" t="str">
        <f t="shared" si="11"/>
        <v>内部装修</v>
      </c>
      <c r="R36" s="714" t="s">
        <v>17</v>
      </c>
      <c r="S36" s="715">
        <f t="shared" si="12"/>
        <v>100</v>
      </c>
      <c r="T36" s="714" t="s">
        <v>17</v>
      </c>
      <c r="U36" s="715">
        <f t="shared" si="13"/>
        <v>100</v>
      </c>
      <c r="V36" s="714" t="s">
        <v>17</v>
      </c>
      <c r="W36" s="715">
        <f t="shared" si="14"/>
        <v>100</v>
      </c>
      <c r="X36" s="1539"/>
      <c r="Y36" s="3917"/>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917"/>
      <c r="Q37" s="1536" t="str">
        <f t="shared" si="11"/>
        <v>内部装修状况</v>
      </c>
      <c r="R37" s="714" t="s">
        <v>17</v>
      </c>
      <c r="S37" s="715">
        <f t="shared" si="12"/>
        <v>100</v>
      </c>
      <c r="T37" s="714" t="s">
        <v>17</v>
      </c>
      <c r="U37" s="715">
        <f t="shared" si="13"/>
        <v>100</v>
      </c>
      <c r="V37" s="714" t="s">
        <v>17</v>
      </c>
      <c r="W37" s="715">
        <f t="shared" si="14"/>
        <v>100</v>
      </c>
      <c r="X37" s="1539"/>
      <c r="Y37" s="3917"/>
      <c r="Z37" s="1540" t="str">
        <f t="shared" si="15"/>
        <v>内部装修状况</v>
      </c>
      <c r="AA37" s="1537">
        <f t="shared" si="3"/>
        <v>1</v>
      </c>
      <c r="AB37" s="1537">
        <f t="shared" si="4"/>
        <v>1</v>
      </c>
      <c r="AC37" s="1537">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917"/>
      <c r="Q38" s="716">
        <f t="shared" si="11"/>
        <v>111</v>
      </c>
      <c r="R38" s="717" t="s">
        <v>17</v>
      </c>
      <c r="S38" s="718">
        <f t="shared" si="12"/>
        <v>100</v>
      </c>
      <c r="T38" s="717" t="s">
        <v>17</v>
      </c>
      <c r="U38" s="718">
        <f t="shared" si="13"/>
        <v>100</v>
      </c>
      <c r="V38" s="717" t="s">
        <v>17</v>
      </c>
      <c r="W38" s="718">
        <f t="shared" si="14"/>
        <v>100</v>
      </c>
      <c r="X38" s="719"/>
      <c r="Y38" s="3917"/>
      <c r="Z38" s="720">
        <f t="shared" si="15"/>
        <v>111</v>
      </c>
      <c r="AA38" s="1537">
        <f t="shared" si="3"/>
        <v>1</v>
      </c>
      <c r="AB38" s="1537">
        <f t="shared" si="4"/>
        <v>1</v>
      </c>
      <c r="AC38" s="1537">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917"/>
      <c r="Q39" s="1536">
        <f t="shared" si="11"/>
        <v>111</v>
      </c>
      <c r="R39" s="714" t="s">
        <v>17</v>
      </c>
      <c r="S39" s="715">
        <f t="shared" si="12"/>
        <v>100</v>
      </c>
      <c r="T39" s="714" t="s">
        <v>17</v>
      </c>
      <c r="U39" s="715">
        <f t="shared" si="13"/>
        <v>100</v>
      </c>
      <c r="V39" s="714" t="s">
        <v>17</v>
      </c>
      <c r="W39" s="715">
        <f t="shared" si="14"/>
        <v>100</v>
      </c>
      <c r="X39" s="1539"/>
      <c r="Y39" s="3917"/>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918"/>
      <c r="Q40" s="1536">
        <f t="shared" si="11"/>
        <v>111</v>
      </c>
      <c r="R40" s="714" t="s">
        <v>17</v>
      </c>
      <c r="S40" s="715">
        <f t="shared" si="12"/>
        <v>100</v>
      </c>
      <c r="T40" s="714" t="s">
        <v>17</v>
      </c>
      <c r="U40" s="715">
        <f t="shared" si="13"/>
        <v>100</v>
      </c>
      <c r="V40" s="714" t="s">
        <v>17</v>
      </c>
      <c r="W40" s="715">
        <f t="shared" si="14"/>
        <v>100</v>
      </c>
      <c r="X40" s="1539"/>
      <c r="Y40" s="3918"/>
      <c r="Z40" s="1540">
        <f t="shared" si="15"/>
        <v>111</v>
      </c>
      <c r="AA40" s="1537">
        <f t="shared" si="3"/>
        <v>1</v>
      </c>
      <c r="AB40" s="1537">
        <f t="shared" si="4"/>
        <v>1</v>
      </c>
      <c r="AC40" s="1537">
        <f t="shared" si="5"/>
        <v>1</v>
      </c>
    </row>
    <row r="41" spans="1:29" ht="15">
      <c r="A41" s="438" t="s">
        <v>2398</v>
      </c>
      <c r="B41" s="439"/>
      <c r="C41" s="1316" t="s">
        <v>1</v>
      </c>
      <c r="D41" s="1317"/>
      <c r="E41" s="1318"/>
      <c r="F41" s="1319"/>
      <c r="G41" s="1320"/>
      <c r="H41" s="1321"/>
      <c r="I41" s="1318"/>
      <c r="J41" s="1321"/>
      <c r="K41" s="723"/>
      <c r="L41" s="1057"/>
      <c r="M41" s="1058"/>
      <c r="N41" s="1045"/>
      <c r="O41" s="1058"/>
      <c r="P41" s="3910" t="str">
        <f>A41</f>
        <v>成交单价（元/平方米）</v>
      </c>
      <c r="Q41" s="3910"/>
      <c r="R41" s="3911">
        <f>E41</f>
        <v>0</v>
      </c>
      <c r="S41" s="3911"/>
      <c r="T41" s="3911">
        <f>G41</f>
        <v>0</v>
      </c>
      <c r="U41" s="3911"/>
      <c r="V41" s="3911">
        <f>I41</f>
        <v>0</v>
      </c>
      <c r="W41" s="3911"/>
      <c r="X41" s="699"/>
      <c r="Y41" s="721"/>
      <c r="Z41" s="699"/>
      <c r="AA41" s="699"/>
      <c r="AB41" s="699"/>
      <c r="AC41" s="699"/>
    </row>
    <row r="42" spans="1:29" ht="15.75" thickBot="1">
      <c r="A42" s="445" t="s">
        <v>2490</v>
      </c>
      <c r="B42" s="446"/>
      <c r="C42" s="1322" t="e">
        <f>R43</f>
        <v>#DIV/0!</v>
      </c>
      <c r="D42" s="2538" t="s">
        <v>2881</v>
      </c>
      <c r="E42" s="1323" t="e">
        <f>R42</f>
        <v>#DIV/0!</v>
      </c>
      <c r="F42" s="2539"/>
      <c r="G42" s="1322" t="e">
        <f>T42</f>
        <v>#DIV/0!</v>
      </c>
      <c r="H42" s="2539"/>
      <c r="I42" s="1323" t="e">
        <f>V42</f>
        <v>#DIV/0!</v>
      </c>
      <c r="J42" s="2539"/>
      <c r="K42" s="2541">
        <f>F42+H42+J42</f>
        <v>0</v>
      </c>
      <c r="L42" s="1057"/>
      <c r="M42" s="1058"/>
      <c r="N42" s="1045"/>
      <c r="O42" s="1058"/>
      <c r="P42" s="3910" t="str">
        <f>A42</f>
        <v>比较价值（元/平方米）</v>
      </c>
      <c r="Q42" s="3910"/>
      <c r="R42" s="3911" t="e">
        <f>IF(F1="售价",ROUND(PRODUCT(R41,AA7:AA40),0),ROUND(PRODUCT(R41,AA7:AA40),1))</f>
        <v>#DIV/0!</v>
      </c>
      <c r="S42" s="3911"/>
      <c r="T42" s="3911" t="e">
        <f>IF(F1="售价",ROUND(PRODUCT(T41,AB7:AB40),0),ROUND(PRODUCT(T41,AB7:AB40),1))</f>
        <v>#DIV/0!</v>
      </c>
      <c r="U42" s="3911"/>
      <c r="V42" s="3911" t="e">
        <f>IF(F1="售价",ROUND(PRODUCT(V41,AC7:AC40),0),ROUND(PRODUCT(V41,AC7:AC40),1))</f>
        <v>#DIV/0!</v>
      </c>
      <c r="W42" s="3911"/>
      <c r="X42" s="699"/>
      <c r="Y42" s="699"/>
      <c r="Z42" s="699"/>
      <c r="AA42" s="699"/>
      <c r="AB42" s="699"/>
      <c r="AC42" s="699"/>
    </row>
    <row r="43" spans="1:29" ht="15.75" thickBot="1">
      <c r="A43" s="449" t="s">
        <v>2491</v>
      </c>
      <c r="B43" s="450"/>
      <c r="C43" s="1325" t="e">
        <f>R43</f>
        <v>#DIV/0!</v>
      </c>
      <c r="D43" s="1325"/>
      <c r="E43" s="1325"/>
      <c r="F43" s="1325"/>
      <c r="G43" s="1325"/>
      <c r="H43" s="1325"/>
      <c r="I43" s="1325"/>
      <c r="J43" s="1325"/>
      <c r="K43" s="724"/>
      <c r="L43" s="1057"/>
      <c r="M43" s="1058"/>
      <c r="N43" s="1058"/>
      <c r="O43" s="1058"/>
      <c r="P43" s="3907" t="str">
        <f>A43</f>
        <v>估价对象XX用房的比较价值（楼面单价，元/平方米）</v>
      </c>
      <c r="Q43" s="3908"/>
      <c r="R43" s="3909" t="e">
        <f>IF(F1="售价",ROUND(IF(D42="简单平均",AVERAGE(R42:V42),R42*F42+T42*H42+V42*J42),0),ROUND(IF(D42="简单平均",AVERAGE(R42:V42),R42*F42+T42*H42+V42*J42),1))</f>
        <v>#DIV/0!</v>
      </c>
      <c r="S43" s="3909"/>
      <c r="T43" s="3909"/>
      <c r="U43" s="3909"/>
      <c r="V43" s="3909"/>
      <c r="W43" s="3909"/>
      <c r="X43" s="699"/>
      <c r="Y43" s="699"/>
      <c r="Z43" s="699"/>
      <c r="AA43" s="699"/>
      <c r="AB43" s="699"/>
      <c r="AC43" s="699"/>
    </row>
    <row r="44" spans="1:29">
      <c r="A44" s="2954"/>
      <c r="B44" s="2954"/>
      <c r="C44" s="2954"/>
      <c r="D44" s="2954"/>
      <c r="E44" s="2954"/>
      <c r="F44" s="2954"/>
      <c r="G44" s="2958"/>
      <c r="H44" s="2954"/>
      <c r="I44" s="2954"/>
      <c r="J44" s="2954"/>
      <c r="K44" s="2959"/>
      <c r="L44" s="1020"/>
      <c r="M44" s="1058"/>
      <c r="N44" s="1058"/>
      <c r="O44" s="1058"/>
    </row>
    <row r="45" spans="1:29">
      <c r="A45" s="2954"/>
      <c r="B45" s="2954"/>
      <c r="C45" s="2954"/>
      <c r="D45" s="2954"/>
      <c r="E45" s="2954"/>
      <c r="F45" s="2954"/>
      <c r="G45" s="2954"/>
      <c r="H45" s="2954"/>
      <c r="I45" s="2954"/>
      <c r="J45" s="2954"/>
      <c r="K45" s="2959"/>
      <c r="L45" s="1020"/>
      <c r="M45" s="1058"/>
      <c r="N45" s="1058"/>
      <c r="O45" s="1058"/>
    </row>
    <row r="46" spans="1:29"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1020"/>
      <c r="M46" s="1058"/>
      <c r="N46" s="1058"/>
      <c r="O46" s="1058"/>
    </row>
    <row r="47" spans="1:29"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1020"/>
      <c r="M47" s="1058"/>
      <c r="N47" s="1058"/>
      <c r="O47" s="1058"/>
    </row>
    <row r="48" spans="1:29"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1061"/>
      <c r="M48" s="1059"/>
      <c r="N48" s="1059"/>
      <c r="O48" s="1059"/>
    </row>
    <row r="49" spans="1:17" s="459" customFormat="1">
      <c r="A49" s="2957"/>
      <c r="B49" s="2960"/>
      <c r="C49" s="2961"/>
      <c r="D49" s="2957"/>
      <c r="E49" s="2957"/>
      <c r="F49" s="2957"/>
      <c r="G49" s="2957"/>
      <c r="H49" s="2957"/>
      <c r="I49" s="2957"/>
      <c r="J49" s="2957"/>
      <c r="K49" s="2962"/>
      <c r="L49" s="1061"/>
      <c r="M49" s="1059"/>
      <c r="N49" s="1059"/>
      <c r="O49" s="1059"/>
    </row>
    <row r="50" spans="1:17">
      <c r="A50" s="2954"/>
      <c r="B50" s="2960"/>
      <c r="C50" s="2961"/>
      <c r="D50" s="2954"/>
      <c r="E50" s="2954"/>
      <c r="F50" s="2954"/>
      <c r="G50" s="2954"/>
      <c r="H50" s="2954"/>
      <c r="I50" s="2954"/>
      <c r="J50" s="2954"/>
      <c r="K50" s="2959"/>
      <c r="L50" s="1020"/>
      <c r="M50" s="1058"/>
      <c r="N50" s="1058"/>
      <c r="O50" s="1058"/>
    </row>
    <row r="51" spans="1:17" ht="21.75" thickBot="1">
      <c r="A51" s="703" t="s">
        <v>2495</v>
      </c>
      <c r="B51" s="699"/>
      <c r="C51" s="704"/>
      <c r="D51" s="704"/>
      <c r="E51" s="704"/>
      <c r="F51" s="705"/>
      <c r="G51" s="705"/>
      <c r="H51" s="704"/>
      <c r="I51" s="704"/>
      <c r="J51" s="704"/>
      <c r="K51" s="1072"/>
      <c r="L51" s="1073"/>
      <c r="M51" s="1071"/>
      <c r="N51" s="1071"/>
      <c r="O51" s="1071"/>
      <c r="P51" s="460"/>
      <c r="Q51" s="461"/>
    </row>
    <row r="52" spans="1:17" s="465" customFormat="1" ht="15">
      <c r="A52" s="462" t="s">
        <v>2369</v>
      </c>
      <c r="B52" s="463"/>
      <c r="C52" s="1346" t="str">
        <f>YEAR(C7)&amp;"-"&amp;MONTH(C7)</f>
        <v>2021-6</v>
      </c>
      <c r="D52" s="1347">
        <f>EDATE(C52,-1)</f>
        <v>44317</v>
      </c>
      <c r="E52" s="1347">
        <f t="shared" ref="E52:O52" si="16">EDATE(D52,-1)</f>
        <v>44287</v>
      </c>
      <c r="F52" s="1347">
        <f t="shared" si="16"/>
        <v>44256</v>
      </c>
      <c r="G52" s="1347">
        <f t="shared" si="16"/>
        <v>44228</v>
      </c>
      <c r="H52" s="1347">
        <f t="shared" si="16"/>
        <v>44197</v>
      </c>
      <c r="I52" s="1347">
        <f t="shared" si="16"/>
        <v>44166</v>
      </c>
      <c r="J52" s="1347">
        <f t="shared" si="16"/>
        <v>44136</v>
      </c>
      <c r="K52" s="1347">
        <f t="shared" si="16"/>
        <v>44105</v>
      </c>
      <c r="L52" s="1347">
        <f t="shared" si="16"/>
        <v>44075</v>
      </c>
      <c r="M52" s="1347">
        <f t="shared" si="16"/>
        <v>44044</v>
      </c>
      <c r="N52" s="1347">
        <f t="shared" si="16"/>
        <v>44013</v>
      </c>
      <c r="O52" s="1347">
        <f t="shared" si="16"/>
        <v>43983</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9"/>
      <c r="O54" s="3000"/>
      <c r="P54" s="461"/>
      <c r="Q54" s="461"/>
    </row>
    <row r="55" spans="1:17" s="113" customFormat="1" ht="15">
      <c r="A55" s="478" t="s">
        <v>2371</v>
      </c>
      <c r="B55" s="467"/>
      <c r="C55" s="479" t="s">
        <v>2473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2409</v>
      </c>
      <c r="B57" s="485" t="s">
        <v>2375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4"/>
      <c r="B87" s="526"/>
      <c r="C87" s="527"/>
      <c r="D87" s="527"/>
      <c r="E87" s="527"/>
      <c r="F87" s="527"/>
      <c r="G87" s="548"/>
      <c r="H87" s="548"/>
      <c r="I87" s="548"/>
      <c r="J87" s="548"/>
      <c r="K87" s="548"/>
      <c r="L87" s="548"/>
      <c r="M87" s="549"/>
      <c r="N87" s="1065"/>
      <c r="O87" s="1065"/>
      <c r="P87" s="45"/>
      <c r="Q87" s="461"/>
    </row>
    <row r="88" spans="1:17">
      <c r="A88" s="484" t="s">
        <v>2384</v>
      </c>
      <c r="B88" s="485" t="s">
        <v>2433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15" priority="20" stopIfTrue="1" operator="containsText" text="超过">
      <formula>NOT(ISERROR(SEARCH("超过",F46)))</formula>
    </cfRule>
  </conditionalFormatting>
  <conditionalFormatting sqref="H48">
    <cfRule type="containsText" dxfId="114" priority="19" stopIfTrue="1" operator="containsText" text="超过">
      <formula>NOT(ISERROR(SEARCH("超过",H48)))</formula>
    </cfRule>
  </conditionalFormatting>
  <conditionalFormatting sqref="F48">
    <cfRule type="containsText" dxfId="113" priority="18" stopIfTrue="1" operator="containsText" text="超过">
      <formula>NOT(ISERROR(SEARCH("超过",F48)))</formula>
    </cfRule>
  </conditionalFormatting>
  <conditionalFormatting sqref="F47 H47">
    <cfRule type="containsText" dxfId="112" priority="17" stopIfTrue="1" operator="containsText" text="超过">
      <formula>NOT(ISERROR(SEARCH("超过",F47)))</formula>
    </cfRule>
  </conditionalFormatting>
  <conditionalFormatting sqref="E46">
    <cfRule type="expression" dxfId="111" priority="16" stopIfTrue="1">
      <formula>$F$46="超过30%"</formula>
    </cfRule>
  </conditionalFormatting>
  <conditionalFormatting sqref="E47">
    <cfRule type="expression" dxfId="110" priority="15" stopIfTrue="1">
      <formula>$F$47="超过20%"</formula>
    </cfRule>
  </conditionalFormatting>
  <conditionalFormatting sqref="E48">
    <cfRule type="expression" dxfId="109" priority="14" stopIfTrue="1">
      <formula>$F$48="超过30%"</formula>
    </cfRule>
  </conditionalFormatting>
  <conditionalFormatting sqref="G48">
    <cfRule type="expression" dxfId="108" priority="13" stopIfTrue="1">
      <formula>$H$48="超过30%"</formula>
    </cfRule>
  </conditionalFormatting>
  <conditionalFormatting sqref="G46">
    <cfRule type="expression" dxfId="107" priority="12" stopIfTrue="1">
      <formula>$H$46="超过30%"</formula>
    </cfRule>
  </conditionalFormatting>
  <conditionalFormatting sqref="G47">
    <cfRule type="expression" dxfId="106" priority="11" stopIfTrue="1">
      <formula>$H$47="超过20%"</formula>
    </cfRule>
  </conditionalFormatting>
  <conditionalFormatting sqref="J46">
    <cfRule type="containsText" dxfId="105" priority="10" stopIfTrue="1" operator="containsText" text="超过">
      <formula>NOT(ISERROR(SEARCH("超过",J46)))</formula>
    </cfRule>
  </conditionalFormatting>
  <conditionalFormatting sqref="J48">
    <cfRule type="containsText" dxfId="104" priority="9" stopIfTrue="1" operator="containsText" text="超过">
      <formula>NOT(ISERROR(SEARCH("超过",J48)))</formula>
    </cfRule>
  </conditionalFormatting>
  <conditionalFormatting sqref="J47">
    <cfRule type="containsText" dxfId="103" priority="8" stopIfTrue="1" operator="containsText" text="超过">
      <formula>NOT(ISERROR(SEARCH("超过",J47)))</formula>
    </cfRule>
  </conditionalFormatting>
  <conditionalFormatting sqref="I46">
    <cfRule type="expression" dxfId="102" priority="7" stopIfTrue="1">
      <formula>$J$46="超过30%"</formula>
    </cfRule>
  </conditionalFormatting>
  <conditionalFormatting sqref="I47">
    <cfRule type="expression" dxfId="101" priority="6" stopIfTrue="1">
      <formula>$J$47="超过20%"</formula>
    </cfRule>
  </conditionalFormatting>
  <conditionalFormatting sqref="I48">
    <cfRule type="expression" dxfId="100" priority="5" stopIfTrue="1">
      <formula>$J$48="超过30%"</formula>
    </cfRule>
  </conditionalFormatting>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F7:F40 H7:H40 J7:J40">
    <cfRule type="cellIs" dxfId="96"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C20 G20 E20 I20" xr:uid="{00000000-0002-0000-1D00-000002000000}">
      <formula1>公共配套设施</formula1>
    </dataValidation>
    <dataValidation type="list" allowBlank="1" showInputMessage="1" showErrorMessage="1" sqref="E18 G18 I18 C18" xr:uid="{00000000-0002-0000-1D00-000003000000}">
      <formula1>交通便捷度</formula1>
    </dataValidation>
    <dataValidation type="list" allowBlank="1" showInputMessage="1" showErrorMessage="1" sqref="E24 G24 I24 C24" xr:uid="{00000000-0002-0000-1D00-000004000000}">
      <formula1>环境</formula1>
    </dataValidation>
    <dataValidation type="list" allowBlank="1" showInputMessage="1" showErrorMessage="1" sqref="C8 E8 G8 I8" xr:uid="{00000000-0002-0000-1D00-000005000000}">
      <formula1>工业交易情况</formula1>
    </dataValidation>
    <dataValidation type="list" allowBlank="1" showInputMessage="1" showErrorMessage="1" sqref="E9 G9 I9" xr:uid="{00000000-0002-0000-1D00-000006000000}">
      <formula1>工业用途</formula1>
    </dataValidation>
    <dataValidation type="list" allowBlank="1" showInputMessage="1" showErrorMessage="1" sqref="C29 E29 G29 I29" xr:uid="{00000000-0002-0000-1D00-000007000000}">
      <formula1>工业建筑类型</formula1>
    </dataValidation>
    <dataValidation type="list" allowBlank="1" showInputMessage="1" showErrorMessage="1" sqref="C31 E31 G31 I31" xr:uid="{00000000-0002-0000-1D00-000008000000}">
      <formula1>工业建筑结构</formula1>
    </dataValidation>
    <dataValidation type="list" allowBlank="1" showInputMessage="1" showErrorMessage="1" sqref="C32 E32 G32 I32" xr:uid="{00000000-0002-0000-1D00-000009000000}">
      <formula1>工业公共部分装修</formula1>
    </dataValidation>
    <dataValidation type="list" allowBlank="1" showInputMessage="1" showErrorMessage="1" sqref="C34 E34 G34 I34" xr:uid="{00000000-0002-0000-1D00-00000A000000}">
      <formula1>工业物业管理</formula1>
    </dataValidation>
    <dataValidation type="list" allowBlank="1" showInputMessage="1" showErrorMessage="1" sqref="C35 E35 G35 I35" xr:uid="{00000000-0002-0000-1D00-00000B000000}">
      <formula1>工业基础设施水平</formula1>
    </dataValidation>
    <dataValidation type="list" allowBlank="1" showInputMessage="1" showErrorMessage="1" sqref="C36 E36 G36 I36" xr:uid="{00000000-0002-0000-1D00-00000C000000}">
      <formula1>工业内部装修</formula1>
    </dataValidation>
    <dataValidation type="list" allowBlank="1" showInputMessage="1" showErrorMessage="1" sqref="C37 E37 G37 I37" xr:uid="{00000000-0002-0000-1D00-00000D000000}">
      <formula1>内部装修维护情况</formula1>
    </dataValidation>
    <dataValidation type="list" allowBlank="1" showInputMessage="1" showErrorMessage="1" sqref="C16 E16 G16 I16" xr:uid="{00000000-0002-0000-1D00-00000E000000}">
      <formula1>产业集聚程度</formula1>
    </dataValidation>
    <dataValidation type="list" allowBlank="1" showInputMessage="1" showErrorMessage="1" sqref="C22 E22 G22 I22"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42"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topLeftCell="A5" zoomScale="60" zoomScaleNormal="60" workbookViewId="0">
      <selection activeCell="D30" activeCellId="1" sqref="H5 D30"/>
    </sheetView>
  </sheetViews>
  <sheetFormatPr defaultColWidth="9" defaultRowHeight="14.25"/>
  <cols>
    <col min="1" max="1" width="10.5" style="363" customWidth="1"/>
    <col min="2" max="2" width="15.62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5.5" style="363" customWidth="1"/>
    <col min="10" max="10" width="12.125" style="363" customWidth="1"/>
    <col min="11" max="11" width="12.125" style="452" customWidth="1"/>
    <col min="12" max="12" width="12.125" style="453" customWidth="1"/>
    <col min="13" max="15" width="12.125" style="363" customWidth="1"/>
    <col min="16" max="16" width="4.625" style="1037"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2528</v>
      </c>
      <c r="B1" s="1391"/>
      <c r="C1" s="1392" t="s">
        <v>2351</v>
      </c>
      <c r="D1" s="1393"/>
      <c r="E1" s="1394"/>
      <c r="F1" s="2065"/>
      <c r="G1" s="1395" t="s">
        <v>2464</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2148</v>
      </c>
      <c r="B2" s="1326" t="e">
        <f ca="1">IF(C2="——",IF(B37="元/平方米",ROUND(C39*D3/10000,0),ROUND(F3*C39/10000,0)),IF(B37="元/平方米",ROUND(C39*D3/10000,0),ROUND(F3*C39/10000,0))-D2)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1327"/>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9"/>
      <c r="H3" s="1039"/>
      <c r="I3" s="1039"/>
      <c r="J3" s="1039"/>
      <c r="K3" s="1041"/>
      <c r="L3" s="2963"/>
      <c r="M3" s="2964"/>
      <c r="N3" s="2964"/>
      <c r="O3" s="2964"/>
      <c r="P3" s="1327"/>
      <c r="Q3" s="708"/>
      <c r="R3" s="708"/>
      <c r="S3" s="708"/>
      <c r="T3" s="708"/>
      <c r="U3" s="708"/>
      <c r="V3" s="708"/>
      <c r="W3" s="708"/>
      <c r="X3" s="708"/>
      <c r="Y3" s="708"/>
      <c r="Z3" s="708"/>
      <c r="AA3" s="708"/>
      <c r="AB3" s="725"/>
      <c r="AC3" s="722"/>
    </row>
    <row r="4" spans="1:29" ht="15">
      <c r="A4" s="361" t="s">
        <v>2466</v>
      </c>
      <c r="B4" s="362"/>
      <c r="C4" s="3925" t="s">
        <v>2467</v>
      </c>
      <c r="D4" s="3926"/>
      <c r="E4" s="3927" t="s">
        <v>2468</v>
      </c>
      <c r="F4" s="3928"/>
      <c r="G4" s="3925" t="s">
        <v>2469</v>
      </c>
      <c r="H4" s="3926"/>
      <c r="I4" s="3925" t="s">
        <v>2470</v>
      </c>
      <c r="J4" s="3926"/>
      <c r="K4" s="567" t="s">
        <v>2471</v>
      </c>
      <c r="L4" s="2944"/>
      <c r="M4" s="2945"/>
      <c r="N4" s="2945"/>
      <c r="O4" s="2945"/>
      <c r="P4" s="3929" t="s">
        <v>2472</v>
      </c>
      <c r="Q4" s="3930"/>
      <c r="R4" s="3935" t="s">
        <v>2468</v>
      </c>
      <c r="S4" s="3936"/>
      <c r="T4" s="3935" t="s">
        <v>2469</v>
      </c>
      <c r="U4" s="3936"/>
      <c r="V4" s="3941" t="s">
        <v>2470</v>
      </c>
      <c r="W4" s="3941"/>
      <c r="X4" s="1539"/>
      <c r="Y4" s="3935" t="s">
        <v>2472</v>
      </c>
      <c r="Z4" s="3936"/>
      <c r="AA4" s="3922" t="s">
        <v>2468</v>
      </c>
      <c r="AB4" s="3923" t="s">
        <v>2469</v>
      </c>
      <c r="AC4" s="3922" t="s">
        <v>2470</v>
      </c>
    </row>
    <row r="5" spans="1:29" ht="15">
      <c r="A5" s="364"/>
      <c r="B5" s="365"/>
      <c r="C5" s="3944" t="s">
        <v>2363</v>
      </c>
      <c r="D5" s="3945"/>
      <c r="E5" s="3951" t="s">
        <v>2364</v>
      </c>
      <c r="F5" s="3952"/>
      <c r="G5" s="3944" t="s">
        <v>2365</v>
      </c>
      <c r="H5" s="3945"/>
      <c r="I5" s="3944" t="s">
        <v>2366</v>
      </c>
      <c r="J5" s="3945"/>
      <c r="K5" s="567"/>
      <c r="L5" s="2944"/>
      <c r="M5" s="2945"/>
      <c r="N5" s="2945"/>
      <c r="O5" s="2945"/>
      <c r="P5" s="3931"/>
      <c r="Q5" s="3932"/>
      <c r="R5" s="3937"/>
      <c r="S5" s="3938"/>
      <c r="T5" s="3937"/>
      <c r="U5" s="3938"/>
      <c r="V5" s="3941"/>
      <c r="W5" s="3941"/>
      <c r="X5" s="1539"/>
      <c r="Y5" s="3937"/>
      <c r="Z5" s="3938"/>
      <c r="AA5" s="3923"/>
      <c r="AB5" s="3923"/>
      <c r="AC5" s="3923"/>
    </row>
    <row r="6" spans="1:29" ht="15.75" thickBot="1">
      <c r="A6" s="366"/>
      <c r="B6" s="367"/>
      <c r="C6" s="3942" t="s">
        <v>2367</v>
      </c>
      <c r="D6" s="3943"/>
      <c r="E6" s="3949" t="s">
        <v>2367</v>
      </c>
      <c r="F6" s="3950"/>
      <c r="G6" s="3942" t="s">
        <v>2367</v>
      </c>
      <c r="H6" s="3943"/>
      <c r="I6" s="3942" t="s">
        <v>2367</v>
      </c>
      <c r="J6" s="3943"/>
      <c r="K6" s="567" t="s">
        <v>2368</v>
      </c>
      <c r="L6" s="2944"/>
      <c r="M6" s="2945"/>
      <c r="N6" s="2945"/>
      <c r="O6" s="2945"/>
      <c r="P6" s="3933"/>
      <c r="Q6" s="3934"/>
      <c r="R6" s="3937"/>
      <c r="S6" s="3938"/>
      <c r="T6" s="3939"/>
      <c r="U6" s="3940"/>
      <c r="V6" s="3941"/>
      <c r="W6" s="3941"/>
      <c r="X6" s="1539"/>
      <c r="Y6" s="3939"/>
      <c r="Z6" s="3940"/>
      <c r="AA6" s="3924"/>
      <c r="AB6" s="3924"/>
      <c r="AC6" s="3924"/>
    </row>
    <row r="7" spans="1:29" s="113" customFormat="1" ht="15.75" thickBot="1">
      <c r="A7" s="368" t="s">
        <v>2369</v>
      </c>
      <c r="B7" s="369"/>
      <c r="C7" s="370">
        <f>'数据-取费表'!B2</f>
        <v>44357</v>
      </c>
      <c r="D7" s="371">
        <v>100</v>
      </c>
      <c r="E7" s="372"/>
      <c r="F7" s="373">
        <f>SUMIF(48:48,YEAR(E7)&amp;"-"&amp;MONTH(E7),49:49)</f>
        <v>0</v>
      </c>
      <c r="G7" s="372"/>
      <c r="H7" s="371">
        <f>SUMIF(48:48,YEAR(G7)&amp;"-"&amp;MONTH(G7),49:49)</f>
        <v>0</v>
      </c>
      <c r="I7" s="372"/>
      <c r="J7" s="371">
        <f>SUMIF(48:48,YEAR(I7)&amp;"-"&amp;MONTH(I7),49:49)</f>
        <v>0</v>
      </c>
      <c r="K7" s="568"/>
      <c r="L7" s="2946"/>
      <c r="M7" s="2947"/>
      <c r="N7" s="2947"/>
      <c r="O7" s="2947"/>
      <c r="P7" s="3946" t="s">
        <v>2370</v>
      </c>
      <c r="Q7" s="3948"/>
      <c r="R7" s="710" t="s">
        <v>17</v>
      </c>
      <c r="S7" s="711">
        <f t="shared" ref="S7:S14" si="0">F7</f>
        <v>0</v>
      </c>
      <c r="T7" s="710" t="s">
        <v>17</v>
      </c>
      <c r="U7" s="711">
        <f t="shared" ref="U7:U14" si="1">H7</f>
        <v>0</v>
      </c>
      <c r="V7" s="710" t="s">
        <v>17</v>
      </c>
      <c r="W7" s="711">
        <f t="shared" ref="W7:W14" si="2">J7</f>
        <v>0</v>
      </c>
      <c r="X7" s="712"/>
      <c r="Y7" s="3946" t="s">
        <v>2370</v>
      </c>
      <c r="Z7" s="3947"/>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6"/>
      <c r="M8" s="2947"/>
      <c r="N8" s="2947"/>
      <c r="O8" s="2947"/>
      <c r="P8" s="3946" t="s">
        <v>2373</v>
      </c>
      <c r="Q8" s="3947"/>
      <c r="R8" s="710" t="s">
        <v>17</v>
      </c>
      <c r="S8" s="711">
        <f t="shared" si="0"/>
        <v>0</v>
      </c>
      <c r="T8" s="710" t="s">
        <v>17</v>
      </c>
      <c r="U8" s="711">
        <f t="shared" si="1"/>
        <v>0</v>
      </c>
      <c r="V8" s="710" t="s">
        <v>17</v>
      </c>
      <c r="W8" s="711">
        <f t="shared" si="2"/>
        <v>0</v>
      </c>
      <c r="X8" s="712"/>
      <c r="Y8" s="3946" t="s">
        <v>2373</v>
      </c>
      <c r="Z8" s="3947"/>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6"/>
      <c r="M9" s="2947"/>
      <c r="N9" s="2947"/>
      <c r="O9" s="2947"/>
      <c r="P9" s="3910" t="s">
        <v>2376</v>
      </c>
      <c r="Q9" s="1527" t="str">
        <f t="shared" ref="Q9:Q14" si="6">B9</f>
        <v>用途</v>
      </c>
      <c r="R9" s="710" t="s">
        <v>17</v>
      </c>
      <c r="S9" s="711">
        <f t="shared" si="0"/>
        <v>100</v>
      </c>
      <c r="T9" s="710" t="s">
        <v>17</v>
      </c>
      <c r="U9" s="711">
        <f t="shared" si="1"/>
        <v>100</v>
      </c>
      <c r="V9" s="710" t="s">
        <v>17</v>
      </c>
      <c r="W9" s="711">
        <f t="shared" si="2"/>
        <v>100</v>
      </c>
      <c r="X9" s="712"/>
      <c r="Y9" s="3780"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8"/>
      <c r="M10" s="2949"/>
      <c r="N10" s="2949"/>
      <c r="O10" s="2949"/>
      <c r="P10" s="3910"/>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0"/>
      <c r="M11" s="2945"/>
      <c r="N11" s="2945"/>
      <c r="O11" s="2945"/>
      <c r="P11" s="3910"/>
      <c r="Q11" s="1527">
        <f t="shared" si="6"/>
        <v>111</v>
      </c>
      <c r="R11" s="710" t="s">
        <v>17</v>
      </c>
      <c r="S11" s="711">
        <f t="shared" si="0"/>
        <v>100</v>
      </c>
      <c r="T11" s="710" t="s">
        <v>17</v>
      </c>
      <c r="U11" s="711">
        <f t="shared" si="1"/>
        <v>100</v>
      </c>
      <c r="V11" s="710" t="s">
        <v>17</v>
      </c>
      <c r="W11" s="711">
        <f t="shared" si="2"/>
        <v>100</v>
      </c>
      <c r="X11" s="712"/>
      <c r="Y11" s="3780"/>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6"/>
      <c r="M12" s="2947"/>
      <c r="N12" s="2947"/>
      <c r="O12" s="2947"/>
      <c r="P12" s="3910"/>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1"/>
      <c r="M13" s="2945"/>
      <c r="N13" s="2945"/>
      <c r="O13" s="2945"/>
      <c r="P13" s="3910"/>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1"/>
      <c r="M14" s="2945"/>
      <c r="N14" s="2945"/>
      <c r="O14" s="2945"/>
      <c r="P14" s="3912" t="s">
        <v>2381</v>
      </c>
      <c r="Q14" s="1536" t="str">
        <f t="shared" si="6"/>
        <v>交通便捷度</v>
      </c>
      <c r="R14" s="714" t="s">
        <v>17</v>
      </c>
      <c r="S14" s="715">
        <f t="shared" si="0"/>
        <v>100</v>
      </c>
      <c r="T14" s="714" t="s">
        <v>17</v>
      </c>
      <c r="U14" s="715">
        <f t="shared" si="1"/>
        <v>100</v>
      </c>
      <c r="V14" s="714" t="s">
        <v>17</v>
      </c>
      <c r="W14" s="715">
        <f t="shared" si="2"/>
        <v>100</v>
      </c>
      <c r="X14" s="1539"/>
      <c r="Y14" s="3912"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51"/>
      <c r="M15" s="2945"/>
      <c r="N15" s="2945"/>
      <c r="O15" s="2945"/>
      <c r="P15" s="3913"/>
      <c r="Q15" s="1536"/>
      <c r="R15" s="714"/>
      <c r="S15" s="715"/>
      <c r="T15" s="714"/>
      <c r="U15" s="715"/>
      <c r="V15" s="714"/>
      <c r="W15" s="715"/>
      <c r="X15" s="1539"/>
      <c r="Y15" s="3913"/>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1"/>
      <c r="M16" s="2945"/>
      <c r="N16" s="2945"/>
      <c r="O16" s="2945"/>
      <c r="P16" s="3913"/>
      <c r="Q16" s="1536" t="str">
        <f>B16</f>
        <v>公共配套设施</v>
      </c>
      <c r="R16" s="714" t="s">
        <v>17</v>
      </c>
      <c r="S16" s="715">
        <f>F16</f>
        <v>100</v>
      </c>
      <c r="T16" s="714" t="s">
        <v>17</v>
      </c>
      <c r="U16" s="715">
        <f>H16</f>
        <v>100</v>
      </c>
      <c r="V16" s="714" t="s">
        <v>17</v>
      </c>
      <c r="W16" s="715">
        <f>J16</f>
        <v>100</v>
      </c>
      <c r="X16" s="1539"/>
      <c r="Y16" s="3913"/>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51"/>
      <c r="M17" s="2945"/>
      <c r="N17" s="2945"/>
      <c r="O17" s="2945"/>
      <c r="P17" s="3913"/>
      <c r="Q17" s="1536"/>
      <c r="R17" s="714"/>
      <c r="S17" s="715"/>
      <c r="T17" s="714"/>
      <c r="U17" s="715"/>
      <c r="V17" s="714"/>
      <c r="W17" s="715"/>
      <c r="X17" s="1539"/>
      <c r="Y17" s="3913"/>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1"/>
      <c r="M18" s="2945"/>
      <c r="N18" s="2945"/>
      <c r="O18" s="2945"/>
      <c r="P18" s="3913"/>
      <c r="Q18" s="1536" t="str">
        <f>B18</f>
        <v>基础设施水平</v>
      </c>
      <c r="R18" s="714" t="s">
        <v>17</v>
      </c>
      <c r="S18" s="715">
        <f>F18</f>
        <v>100</v>
      </c>
      <c r="T18" s="714" t="s">
        <v>17</v>
      </c>
      <c r="U18" s="715">
        <f>H18</f>
        <v>100</v>
      </c>
      <c r="V18" s="714" t="s">
        <v>17</v>
      </c>
      <c r="W18" s="715">
        <f>J18</f>
        <v>100</v>
      </c>
      <c r="X18" s="1539"/>
      <c r="Y18" s="3913"/>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2"/>
      <c r="L19" s="2951"/>
      <c r="M19" s="2945"/>
      <c r="N19" s="2945"/>
      <c r="O19" s="2945"/>
      <c r="P19" s="3913"/>
      <c r="Q19" s="1536"/>
      <c r="R19" s="714"/>
      <c r="S19" s="715"/>
      <c r="T19" s="714"/>
      <c r="U19" s="715"/>
      <c r="V19" s="714"/>
      <c r="W19" s="715"/>
      <c r="X19" s="1539"/>
      <c r="Y19" s="3913"/>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1"/>
      <c r="M20" s="2945"/>
      <c r="N20" s="2945"/>
      <c r="O20" s="2945"/>
      <c r="P20" s="3913"/>
      <c r="Q20" s="1536" t="str">
        <f>B20</f>
        <v>自然及人文环境</v>
      </c>
      <c r="R20" s="714" t="s">
        <v>17</v>
      </c>
      <c r="S20" s="715">
        <f>F20</f>
        <v>100</v>
      </c>
      <c r="T20" s="714" t="s">
        <v>17</v>
      </c>
      <c r="U20" s="715">
        <f>H20</f>
        <v>100</v>
      </c>
      <c r="V20" s="714" t="s">
        <v>17</v>
      </c>
      <c r="W20" s="715">
        <f>J20</f>
        <v>100</v>
      </c>
      <c r="X20" s="1539"/>
      <c r="Y20" s="3913"/>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51"/>
      <c r="M21" s="2945"/>
      <c r="N21" s="2945"/>
      <c r="O21" s="2945"/>
      <c r="P21" s="3913"/>
      <c r="Q21" s="1536"/>
      <c r="R21" s="714"/>
      <c r="S21" s="715"/>
      <c r="T21" s="714"/>
      <c r="U21" s="715"/>
      <c r="V21" s="714"/>
      <c r="W21" s="715"/>
      <c r="X21" s="1539"/>
      <c r="Y21" s="3913"/>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51"/>
      <c r="M22" s="2945"/>
      <c r="N22" s="2945"/>
      <c r="O22" s="2945"/>
      <c r="P22" s="3913"/>
      <c r="Q22" s="1536" t="str">
        <f>B22</f>
        <v>楼层</v>
      </c>
      <c r="R22" s="714" t="s">
        <v>17</v>
      </c>
      <c r="S22" s="715">
        <f>F22</f>
        <v>100</v>
      </c>
      <c r="T22" s="714" t="s">
        <v>17</v>
      </c>
      <c r="U22" s="715">
        <f>H22</f>
        <v>100</v>
      </c>
      <c r="V22" s="714" t="s">
        <v>17</v>
      </c>
      <c r="W22" s="715">
        <f>J22</f>
        <v>100</v>
      </c>
      <c r="X22" s="1539"/>
      <c r="Y22" s="3913"/>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1"/>
      <c r="M23" s="2945"/>
      <c r="N23" s="2945"/>
      <c r="O23" s="2945"/>
      <c r="P23" s="3913"/>
      <c r="Q23" s="1536">
        <f>B23</f>
        <v>111</v>
      </c>
      <c r="R23" s="714" t="s">
        <v>17</v>
      </c>
      <c r="S23" s="715">
        <f>F23</f>
        <v>100</v>
      </c>
      <c r="T23" s="714" t="s">
        <v>17</v>
      </c>
      <c r="U23" s="715">
        <f>H23</f>
        <v>100</v>
      </c>
      <c r="V23" s="714" t="s">
        <v>17</v>
      </c>
      <c r="W23" s="715">
        <f>J23</f>
        <v>100</v>
      </c>
      <c r="X23" s="1539"/>
      <c r="Y23" s="3913"/>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1"/>
      <c r="M24" s="2945"/>
      <c r="N24" s="2945"/>
      <c r="O24" s="2945"/>
      <c r="P24" s="3913"/>
      <c r="Q24" s="1536">
        <f t="shared" ref="Q24:Q36" si="11">B24</f>
        <v>111</v>
      </c>
      <c r="R24" s="714" t="s">
        <v>17</v>
      </c>
      <c r="S24" s="715">
        <f>F24</f>
        <v>100</v>
      </c>
      <c r="T24" s="714" t="s">
        <v>17</v>
      </c>
      <c r="U24" s="715">
        <f>H24</f>
        <v>100</v>
      </c>
      <c r="V24" s="714" t="s">
        <v>17</v>
      </c>
      <c r="W24" s="715">
        <f>J24</f>
        <v>100</v>
      </c>
      <c r="X24" s="1539"/>
      <c r="Y24" s="3913"/>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6"/>
      <c r="M25" s="2947"/>
      <c r="N25" s="2947"/>
      <c r="O25" s="2947"/>
      <c r="P25" s="3913"/>
      <c r="Q25" s="1527">
        <f t="shared" si="11"/>
        <v>111</v>
      </c>
      <c r="R25" s="710" t="s">
        <v>17</v>
      </c>
      <c r="S25" s="711">
        <f>F25</f>
        <v>100</v>
      </c>
      <c r="T25" s="710" t="s">
        <v>17</v>
      </c>
      <c r="U25" s="711">
        <f>H25</f>
        <v>100</v>
      </c>
      <c r="V25" s="710" t="s">
        <v>17</v>
      </c>
      <c r="W25" s="711">
        <f>J25</f>
        <v>100</v>
      </c>
      <c r="X25" s="712"/>
      <c r="Y25" s="3913"/>
      <c r="Z25" s="55">
        <f>Q25</f>
        <v>111</v>
      </c>
      <c r="AA25" s="1537">
        <f>D25/F25</f>
        <v>1</v>
      </c>
      <c r="AB25" s="1537">
        <f>D25/H25</f>
        <v>1</v>
      </c>
      <c r="AC25" s="1537">
        <f>D25/J25</f>
        <v>1</v>
      </c>
    </row>
    <row r="26" spans="1:29" ht="29.2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51"/>
      <c r="M26" s="2945"/>
      <c r="N26" s="2945"/>
      <c r="O26" s="2945"/>
      <c r="P26" s="3968"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917"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50"/>
      <c r="M27" s="2952"/>
      <c r="N27" s="2952"/>
      <c r="O27" s="2952"/>
      <c r="P27" s="3917"/>
      <c r="Q27" s="716" t="str">
        <f t="shared" si="11"/>
        <v>项目停车位配比</v>
      </c>
      <c r="R27" s="717" t="s">
        <v>17</v>
      </c>
      <c r="S27" s="718">
        <f t="shared" si="12"/>
        <v>100</v>
      </c>
      <c r="T27" s="717" t="s">
        <v>17</v>
      </c>
      <c r="U27" s="718">
        <f t="shared" si="13"/>
        <v>100</v>
      </c>
      <c r="V27" s="717" t="s">
        <v>17</v>
      </c>
      <c r="W27" s="718">
        <f t="shared" si="14"/>
        <v>100</v>
      </c>
      <c r="X27" s="719"/>
      <c r="Y27" s="3917"/>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51"/>
      <c r="M28" s="2945"/>
      <c r="N28" s="2945"/>
      <c r="O28" s="2945"/>
      <c r="P28" s="3917"/>
      <c r="Q28" s="1536" t="str">
        <f t="shared" si="11"/>
        <v>公共部分装修</v>
      </c>
      <c r="R28" s="714" t="s">
        <v>17</v>
      </c>
      <c r="S28" s="715">
        <f t="shared" si="12"/>
        <v>100</v>
      </c>
      <c r="T28" s="714" t="s">
        <v>17</v>
      </c>
      <c r="U28" s="715">
        <f t="shared" si="13"/>
        <v>100</v>
      </c>
      <c r="V28" s="714" t="s">
        <v>17</v>
      </c>
      <c r="W28" s="715">
        <f t="shared" si="14"/>
        <v>100</v>
      </c>
      <c r="X28" s="1539"/>
      <c r="Y28" s="3917"/>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1"/>
      <c r="M29" s="2945"/>
      <c r="N29" s="2945"/>
      <c r="O29" s="2945"/>
      <c r="P29" s="3917"/>
      <c r="Q29" s="1536" t="str">
        <f t="shared" si="11"/>
        <v>成新率</v>
      </c>
      <c r="R29" s="714" t="s">
        <v>17</v>
      </c>
      <c r="S29" s="715" t="e">
        <f t="shared" si="12"/>
        <v>#N/A</v>
      </c>
      <c r="T29" s="714" t="s">
        <v>17</v>
      </c>
      <c r="U29" s="715" t="e">
        <f t="shared" si="13"/>
        <v>#N/A</v>
      </c>
      <c r="V29" s="714" t="s">
        <v>17</v>
      </c>
      <c r="W29" s="715" t="e">
        <f t="shared" si="14"/>
        <v>#N/A</v>
      </c>
      <c r="X29" s="1539"/>
      <c r="Y29" s="3917"/>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51"/>
      <c r="M30" s="2945"/>
      <c r="N30" s="2945"/>
      <c r="O30" s="2945"/>
      <c r="P30" s="3917"/>
      <c r="Q30" s="1536" t="str">
        <f t="shared" si="11"/>
        <v>物业等级</v>
      </c>
      <c r="R30" s="714" t="s">
        <v>17</v>
      </c>
      <c r="S30" s="715">
        <f t="shared" si="12"/>
        <v>100</v>
      </c>
      <c r="T30" s="714" t="s">
        <v>17</v>
      </c>
      <c r="U30" s="715">
        <f t="shared" si="13"/>
        <v>100</v>
      </c>
      <c r="V30" s="714" t="s">
        <v>17</v>
      </c>
      <c r="W30" s="715">
        <f t="shared" si="14"/>
        <v>100</v>
      </c>
      <c r="X30" s="1539"/>
      <c r="Y30" s="3917"/>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6"/>
      <c r="M31" s="2947"/>
      <c r="N31" s="2947"/>
      <c r="O31" s="2947"/>
      <c r="P31" s="3917"/>
      <c r="Q31" s="1527" t="str">
        <f t="shared" si="11"/>
        <v>停车位面积</v>
      </c>
      <c r="R31" s="710" t="s">
        <v>17</v>
      </c>
      <c r="S31" s="711" t="e">
        <f t="shared" si="12"/>
        <v>#N/A</v>
      </c>
      <c r="T31" s="710" t="s">
        <v>17</v>
      </c>
      <c r="U31" s="711" t="e">
        <f t="shared" si="13"/>
        <v>#N/A</v>
      </c>
      <c r="V31" s="710" t="s">
        <v>17</v>
      </c>
      <c r="W31" s="711" t="e">
        <f t="shared" si="14"/>
        <v>#N/A</v>
      </c>
      <c r="X31" s="712"/>
      <c r="Y31" s="3917"/>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51"/>
      <c r="M32" s="2945"/>
      <c r="N32" s="2945"/>
      <c r="O32" s="2945"/>
      <c r="P32" s="3917" t="s">
        <v>2386</v>
      </c>
      <c r="Q32" s="1536" t="str">
        <f t="shared" si="11"/>
        <v>车位类型</v>
      </c>
      <c r="R32" s="714" t="s">
        <v>17</v>
      </c>
      <c r="S32" s="715">
        <f t="shared" si="12"/>
        <v>100</v>
      </c>
      <c r="T32" s="714" t="s">
        <v>17</v>
      </c>
      <c r="U32" s="715">
        <f t="shared" si="13"/>
        <v>100</v>
      </c>
      <c r="V32" s="714" t="s">
        <v>17</v>
      </c>
      <c r="W32" s="715">
        <f t="shared" si="14"/>
        <v>100</v>
      </c>
      <c r="X32" s="1539"/>
      <c r="Y32" s="3917"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51"/>
      <c r="M33" s="2945"/>
      <c r="N33" s="2945"/>
      <c r="O33" s="2945"/>
      <c r="P33" s="3917"/>
      <c r="Q33" s="1536" t="str">
        <f t="shared" si="11"/>
        <v>是否直接入户</v>
      </c>
      <c r="R33" s="714" t="s">
        <v>17</v>
      </c>
      <c r="S33" s="715">
        <f t="shared" si="12"/>
        <v>100</v>
      </c>
      <c r="T33" s="714" t="s">
        <v>17</v>
      </c>
      <c r="U33" s="715">
        <f t="shared" si="13"/>
        <v>100</v>
      </c>
      <c r="V33" s="714" t="s">
        <v>17</v>
      </c>
      <c r="W33" s="715">
        <f t="shared" si="14"/>
        <v>100</v>
      </c>
      <c r="X33" s="1539"/>
      <c r="Y33" s="3917"/>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1"/>
      <c r="M34" s="2945"/>
      <c r="N34" s="2945"/>
      <c r="O34" s="2945"/>
      <c r="P34" s="3917"/>
      <c r="Q34" s="1536">
        <f t="shared" si="11"/>
        <v>111</v>
      </c>
      <c r="R34" s="714" t="s">
        <v>17</v>
      </c>
      <c r="S34" s="715">
        <f t="shared" si="12"/>
        <v>100</v>
      </c>
      <c r="T34" s="714" t="s">
        <v>17</v>
      </c>
      <c r="U34" s="715">
        <f t="shared" si="13"/>
        <v>100</v>
      </c>
      <c r="V34" s="714" t="s">
        <v>17</v>
      </c>
      <c r="W34" s="715">
        <f t="shared" si="14"/>
        <v>100</v>
      </c>
      <c r="X34" s="1539"/>
      <c r="Y34" s="3917"/>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0"/>
      <c r="M35" s="2952"/>
      <c r="N35" s="2952"/>
      <c r="O35" s="2952"/>
      <c r="P35" s="3917"/>
      <c r="Q35" s="716">
        <f t="shared" si="11"/>
        <v>111</v>
      </c>
      <c r="R35" s="717" t="s">
        <v>17</v>
      </c>
      <c r="S35" s="718">
        <f t="shared" si="12"/>
        <v>100</v>
      </c>
      <c r="T35" s="717" t="s">
        <v>17</v>
      </c>
      <c r="U35" s="718">
        <f t="shared" si="13"/>
        <v>100</v>
      </c>
      <c r="V35" s="717" t="s">
        <v>17</v>
      </c>
      <c r="W35" s="718">
        <f t="shared" si="14"/>
        <v>100</v>
      </c>
      <c r="X35" s="719"/>
      <c r="Y35" s="3917"/>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1"/>
      <c r="M36" s="2945"/>
      <c r="N36" s="2945"/>
      <c r="O36" s="2945"/>
      <c r="P36" s="3917"/>
      <c r="Q36" s="1536">
        <f t="shared" si="11"/>
        <v>111</v>
      </c>
      <c r="R36" s="714" t="s">
        <v>17</v>
      </c>
      <c r="S36" s="715">
        <f t="shared" si="12"/>
        <v>100</v>
      </c>
      <c r="T36" s="714" t="s">
        <v>17</v>
      </c>
      <c r="U36" s="715">
        <f t="shared" si="13"/>
        <v>100</v>
      </c>
      <c r="V36" s="714" t="s">
        <v>17</v>
      </c>
      <c r="W36" s="715">
        <f t="shared" si="14"/>
        <v>100</v>
      </c>
      <c r="X36" s="1539"/>
      <c r="Y36" s="3917"/>
      <c r="Z36" s="1540">
        <f t="shared" si="15"/>
        <v>111</v>
      </c>
      <c r="AA36" s="1537">
        <f t="shared" si="3"/>
        <v>1</v>
      </c>
      <c r="AB36" s="1537">
        <f t="shared" si="4"/>
        <v>1</v>
      </c>
      <c r="AC36" s="1537">
        <f t="shared" si="5"/>
        <v>1</v>
      </c>
    </row>
    <row r="37" spans="1:29" ht="15">
      <c r="A37" s="438" t="s">
        <v>2541</v>
      </c>
      <c r="B37" s="2159" t="s">
        <v>2542</v>
      </c>
      <c r="C37" s="1316" t="s">
        <v>1</v>
      </c>
      <c r="D37" s="1317"/>
      <c r="E37" s="1318"/>
      <c r="F37" s="1319"/>
      <c r="G37" s="1320"/>
      <c r="H37" s="1321"/>
      <c r="I37" s="1318"/>
      <c r="J37" s="1321"/>
      <c r="K37" s="576"/>
      <c r="L37" s="2953"/>
      <c r="M37" s="2954"/>
      <c r="N37" s="2945"/>
      <c r="O37" s="2954"/>
      <c r="P37" s="3910" t="str">
        <f>A37</f>
        <v>成交单价</v>
      </c>
      <c r="Q37" s="3910"/>
      <c r="R37" s="3911">
        <f>E37</f>
        <v>0</v>
      </c>
      <c r="S37" s="3911"/>
      <c r="T37" s="3911">
        <f>G37</f>
        <v>0</v>
      </c>
      <c r="U37" s="3911"/>
      <c r="V37" s="3911">
        <f>I37</f>
        <v>0</v>
      </c>
      <c r="W37" s="3911"/>
      <c r="X37" s="699"/>
      <c r="Y37" s="721"/>
      <c r="Z37" s="699"/>
      <c r="AA37" s="699"/>
      <c r="AB37" s="699"/>
      <c r="AC37" s="699"/>
    </row>
    <row r="38" spans="1:29" ht="15.75" thickBot="1">
      <c r="A38" s="445" t="s">
        <v>2543</v>
      </c>
      <c r="B38" s="446" t="str">
        <f>B37</f>
        <v>元/车位</v>
      </c>
      <c r="C38" s="1322" t="e">
        <f>R39</f>
        <v>#DIV/0!</v>
      </c>
      <c r="D38" s="2538" t="s">
        <v>2881</v>
      </c>
      <c r="E38" s="1323" t="e">
        <f>R38</f>
        <v>#DIV/0!</v>
      </c>
      <c r="F38" s="2539"/>
      <c r="G38" s="1322" t="e">
        <f>T38</f>
        <v>#DIV/0!</v>
      </c>
      <c r="H38" s="2539"/>
      <c r="I38" s="1323" t="e">
        <f>V38</f>
        <v>#DIV/0!</v>
      </c>
      <c r="J38" s="2539"/>
      <c r="K38" s="2541">
        <f>F38+H38+J38</f>
        <v>0</v>
      </c>
      <c r="L38" s="2953"/>
      <c r="M38" s="2954"/>
      <c r="N38" s="2954"/>
      <c r="O38" s="2954"/>
      <c r="P38" s="3910" t="str">
        <f>A38</f>
        <v>比较价值（元/平方米）</v>
      </c>
      <c r="Q38" s="3910"/>
      <c r="R38" s="3911" t="e">
        <f>IF(F1="售价",ROUND(PRODUCT(R37,AA7:AA36),0),ROUND(PRODUCT(R37,AA7:AA36),1))</f>
        <v>#DIV/0!</v>
      </c>
      <c r="S38" s="3911"/>
      <c r="T38" s="3911" t="e">
        <f>IF(F1="售价",ROUND(PRODUCT(T37,AB7:AB36),0),ROUND(PRODUCT(T37,AB7:AB36),1))</f>
        <v>#DIV/0!</v>
      </c>
      <c r="U38" s="3911"/>
      <c r="V38" s="3911" t="e">
        <f>IF(F1="售价",ROUND(PRODUCT(V37,AC7:AC36),0),ROUND(PRODUCT(V37,AC7:AC36),1))</f>
        <v>#DIV/0!</v>
      </c>
      <c r="W38" s="3911"/>
      <c r="X38" s="699"/>
      <c r="Y38" s="699"/>
      <c r="Z38" s="699"/>
      <c r="AA38" s="699"/>
      <c r="AB38" s="699"/>
      <c r="AC38" s="699"/>
    </row>
    <row r="39" spans="1:29" ht="15.75" thickBot="1">
      <c r="A39" s="449" t="s">
        <v>2544</v>
      </c>
      <c r="B39" s="450"/>
      <c r="C39" s="1325" t="e">
        <f>R39</f>
        <v>#DIV/0!</v>
      </c>
      <c r="D39" s="1325"/>
      <c r="E39" s="1325"/>
      <c r="F39" s="1325"/>
      <c r="G39" s="1325"/>
      <c r="H39" s="1325"/>
      <c r="I39" s="1325"/>
      <c r="J39" s="1325"/>
      <c r="K39" s="577"/>
      <c r="L39" s="2953"/>
      <c r="M39" s="2954"/>
      <c r="N39" s="2954"/>
      <c r="O39" s="2954"/>
      <c r="P39" s="3907" t="str">
        <f>A39</f>
        <v>估价对象XX用房的比较价值（楼面单价，元/平方米）</v>
      </c>
      <c r="Q39" s="3908"/>
      <c r="R39" s="3969" t="e">
        <f>IF(F1="售价",ROUND(IF(D38="简单平均",AVERAGE(R38:W38),R38*F38+T38*H38+V38*J38),0),ROUND(IF(D38="简单平均",AVERAGE(R38:V38),R38*F38+T38*H38+V38*J38),1))</f>
        <v>#DIV/0!</v>
      </c>
      <c r="S39" s="3969"/>
      <c r="T39" s="3969"/>
      <c r="U39" s="3969"/>
      <c r="V39" s="3969"/>
      <c r="W39" s="3969"/>
      <c r="X39" s="699"/>
      <c r="Y39" s="699"/>
      <c r="Z39" s="699"/>
      <c r="AA39" s="699"/>
      <c r="AB39" s="699"/>
      <c r="AC39" s="699"/>
    </row>
    <row r="40" spans="1:29">
      <c r="A40" s="2954"/>
      <c r="B40" s="2954"/>
      <c r="C40" s="2954"/>
      <c r="D40" s="2954"/>
      <c r="E40" s="2954"/>
      <c r="F40" s="2954"/>
      <c r="G40" s="2958"/>
      <c r="H40" s="2954"/>
      <c r="I40" s="2954"/>
      <c r="J40" s="2954"/>
      <c r="K40" s="2959"/>
      <c r="L40" s="2955"/>
      <c r="M40" s="2954"/>
      <c r="N40" s="2954"/>
      <c r="O40" s="2954"/>
      <c r="P40" s="2985"/>
      <c r="Q40" s="2954"/>
      <c r="R40" s="2954"/>
      <c r="S40" s="2954"/>
      <c r="T40" s="2954"/>
      <c r="U40" s="2954"/>
      <c r="V40" s="2954"/>
      <c r="W40" s="2954"/>
      <c r="X40" s="2954"/>
      <c r="Y40" s="2954"/>
      <c r="Z40" s="2954"/>
      <c r="AA40" s="2954"/>
      <c r="AB40" s="2954"/>
      <c r="AC40" s="2954"/>
    </row>
    <row r="41" spans="1:29">
      <c r="A41" s="2954"/>
      <c r="B41" s="2954"/>
      <c r="C41" s="2954"/>
      <c r="D41" s="2954"/>
      <c r="E41" s="2954"/>
      <c r="F41" s="2954"/>
      <c r="G41" s="2954"/>
      <c r="H41" s="2954"/>
      <c r="I41" s="2954"/>
      <c r="J41" s="2954"/>
      <c r="K41" s="2959"/>
      <c r="L41" s="2955"/>
      <c r="M41" s="2954"/>
      <c r="N41" s="2954"/>
      <c r="O41" s="2954"/>
      <c r="P41" s="2985"/>
      <c r="Q41" s="2954"/>
      <c r="R41" s="2954"/>
      <c r="S41" s="2954"/>
      <c r="T41" s="2954"/>
      <c r="U41" s="2954"/>
      <c r="V41" s="2954"/>
      <c r="W41" s="2954"/>
      <c r="X41" s="2954"/>
      <c r="Y41" s="2954"/>
      <c r="Z41" s="2954"/>
      <c r="AA41" s="2954"/>
      <c r="AB41" s="2954"/>
      <c r="AC41" s="2954"/>
    </row>
    <row r="42" spans="1:29" ht="13.5" customHeight="1">
      <c r="A42" s="2954"/>
      <c r="B42" s="2954"/>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9"/>
      <c r="L42" s="2955"/>
      <c r="M42" s="2954"/>
      <c r="N42" s="2954"/>
      <c r="O42" s="2954"/>
      <c r="P42" s="2985"/>
      <c r="Q42" s="2954"/>
      <c r="R42" s="2954"/>
      <c r="S42" s="2954"/>
      <c r="T42" s="2954"/>
      <c r="U42" s="2954"/>
      <c r="V42" s="2954"/>
      <c r="W42" s="2954"/>
      <c r="X42" s="2954"/>
      <c r="Y42" s="2954"/>
      <c r="Z42" s="2954"/>
      <c r="AA42" s="2954"/>
      <c r="AB42" s="2954"/>
      <c r="AC42" s="2954"/>
    </row>
    <row r="43" spans="1:29" ht="13.5" customHeight="1">
      <c r="A43" s="2954"/>
      <c r="B43" s="2954"/>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9"/>
      <c r="L43" s="2955"/>
      <c r="M43" s="2954"/>
      <c r="N43" s="2954"/>
      <c r="O43" s="2954"/>
      <c r="P43" s="2985"/>
      <c r="Q43" s="2954"/>
      <c r="R43" s="2954"/>
      <c r="S43" s="2954"/>
      <c r="T43" s="2954"/>
      <c r="U43" s="2954"/>
      <c r="V43" s="2954"/>
      <c r="W43" s="2954"/>
      <c r="X43" s="2954"/>
      <c r="Y43" s="2954"/>
      <c r="Z43" s="2954"/>
      <c r="AA43" s="2954"/>
      <c r="AB43" s="2954"/>
      <c r="AC43" s="2954"/>
    </row>
    <row r="44" spans="1:29" s="459" customFormat="1" ht="13.5" customHeight="1">
      <c r="A44" s="2957"/>
      <c r="B44" s="2957"/>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2"/>
      <c r="L44" s="2956"/>
      <c r="M44" s="2957"/>
      <c r="N44" s="2957"/>
      <c r="O44" s="2957"/>
      <c r="P44" s="2986"/>
      <c r="Q44" s="2957"/>
      <c r="R44" s="2957"/>
      <c r="S44" s="2957"/>
      <c r="T44" s="2957"/>
      <c r="U44" s="2957"/>
      <c r="V44" s="2957"/>
      <c r="W44" s="2957"/>
      <c r="X44" s="2957"/>
      <c r="Y44" s="2957"/>
      <c r="Z44" s="2957"/>
      <c r="AA44" s="2957"/>
      <c r="AB44" s="2957"/>
      <c r="AC44" s="2957"/>
    </row>
    <row r="45" spans="1:29" s="459" customFormat="1">
      <c r="A45" s="2957"/>
      <c r="B45" s="2960"/>
      <c r="C45" s="2961"/>
      <c r="D45" s="2957"/>
      <c r="E45" s="2957"/>
      <c r="F45" s="2957"/>
      <c r="G45" s="2957"/>
      <c r="H45" s="2957"/>
      <c r="I45" s="2957"/>
      <c r="J45" s="2957"/>
      <c r="K45" s="2962"/>
      <c r="L45" s="2956"/>
      <c r="M45" s="2957"/>
      <c r="N45" s="2957"/>
      <c r="O45" s="2957"/>
      <c r="P45" s="2986"/>
      <c r="Q45" s="2957"/>
      <c r="R45" s="2957"/>
      <c r="S45" s="2957"/>
      <c r="T45" s="2957"/>
      <c r="U45" s="2957"/>
      <c r="V45" s="2957"/>
      <c r="W45" s="2957"/>
      <c r="X45" s="2957"/>
      <c r="Y45" s="2957"/>
      <c r="Z45" s="2957"/>
      <c r="AA45" s="2957"/>
      <c r="AB45" s="2957"/>
      <c r="AC45" s="2957"/>
    </row>
    <row r="46" spans="1:29">
      <c r="A46" s="2954"/>
      <c r="B46" s="2960"/>
      <c r="C46" s="2961"/>
      <c r="D46" s="2954"/>
      <c r="E46" s="2954"/>
      <c r="F46" s="2954"/>
      <c r="G46" s="2954"/>
      <c r="H46" s="2954"/>
      <c r="I46" s="2954"/>
      <c r="J46" s="2954"/>
      <c r="K46" s="2959"/>
      <c r="L46" s="2955"/>
      <c r="M46" s="2954"/>
      <c r="N46" s="2954"/>
      <c r="O46" s="2954"/>
      <c r="P46" s="2985"/>
      <c r="Q46" s="2954"/>
      <c r="R46" s="2954"/>
      <c r="S46" s="2954"/>
      <c r="T46" s="2954"/>
      <c r="U46" s="2954"/>
      <c r="V46" s="2954"/>
      <c r="W46" s="2954"/>
      <c r="X46" s="2954"/>
      <c r="Y46" s="2954"/>
      <c r="Z46" s="2954"/>
      <c r="AA46" s="2954"/>
      <c r="AB46" s="2954"/>
      <c r="AC46" s="2954"/>
    </row>
    <row r="47" spans="1:29" ht="21.75" thickBot="1">
      <c r="A47" s="1328" t="s">
        <v>2548</v>
      </c>
      <c r="B47" s="1058"/>
      <c r="C47" s="1071"/>
      <c r="D47" s="1071"/>
      <c r="E47" s="1071"/>
      <c r="F47" s="1329"/>
      <c r="G47" s="1329"/>
      <c r="H47" s="1071"/>
      <c r="I47" s="1071"/>
      <c r="J47" s="1071"/>
      <c r="K47" s="1072"/>
      <c r="L47" s="1073"/>
      <c r="M47" s="1071"/>
      <c r="N47" s="2998"/>
      <c r="O47" s="2998"/>
      <c r="P47" s="2987"/>
      <c r="Q47" s="2968"/>
      <c r="R47" s="2954"/>
      <c r="S47" s="2954"/>
      <c r="T47" s="2954"/>
      <c r="U47" s="2954"/>
      <c r="V47" s="2954"/>
      <c r="W47" s="2954"/>
      <c r="X47" s="2954"/>
      <c r="Y47" s="2954"/>
      <c r="Z47" s="2954"/>
      <c r="AA47" s="2954"/>
      <c r="AB47" s="2954"/>
      <c r="AC47" s="2954"/>
    </row>
    <row r="48" spans="1:29" s="465" customFormat="1" ht="15">
      <c r="A48" s="462" t="s">
        <v>2549</v>
      </c>
      <c r="B48" s="463"/>
      <c r="C48" s="1346" t="str">
        <f>YEAR(C7)&amp;"-"&amp;MONTH(C7)</f>
        <v>2021-6</v>
      </c>
      <c r="D48" s="1347">
        <f>EDATE(C48,-1)</f>
        <v>44317</v>
      </c>
      <c r="E48" s="1347">
        <f t="shared" ref="E48:O48" si="16">EDATE(D48,-1)</f>
        <v>44287</v>
      </c>
      <c r="F48" s="1347">
        <f t="shared" si="16"/>
        <v>44256</v>
      </c>
      <c r="G48" s="1347">
        <f t="shared" si="16"/>
        <v>44228</v>
      </c>
      <c r="H48" s="1347">
        <f t="shared" si="16"/>
        <v>44197</v>
      </c>
      <c r="I48" s="1347">
        <f t="shared" si="16"/>
        <v>44166</v>
      </c>
      <c r="J48" s="1347">
        <f t="shared" si="16"/>
        <v>44136</v>
      </c>
      <c r="K48" s="1347">
        <f t="shared" si="16"/>
        <v>44105</v>
      </c>
      <c r="L48" s="1347">
        <f t="shared" si="16"/>
        <v>44075</v>
      </c>
      <c r="M48" s="1347">
        <f t="shared" si="16"/>
        <v>44044</v>
      </c>
      <c r="N48" s="1347">
        <f t="shared" si="16"/>
        <v>44013</v>
      </c>
      <c r="O48" s="1347">
        <f t="shared" si="16"/>
        <v>43983</v>
      </c>
      <c r="P48" s="2988"/>
      <c r="Q48" s="2970"/>
      <c r="R48" s="2970"/>
      <c r="S48" s="2970"/>
      <c r="T48" s="2970"/>
      <c r="U48" s="2970"/>
      <c r="V48" s="2970"/>
      <c r="W48" s="2970"/>
      <c r="X48" s="2970"/>
      <c r="Y48" s="2970"/>
      <c r="Z48" s="2970"/>
      <c r="AA48" s="2970"/>
      <c r="AB48" s="2970"/>
      <c r="AC48" s="2970"/>
    </row>
    <row r="49" spans="1:29" s="113" customFormat="1" ht="15">
      <c r="A49" s="466"/>
      <c r="B49" s="467"/>
      <c r="C49" s="1339">
        <v>100</v>
      </c>
      <c r="D49" s="469"/>
      <c r="E49" s="469"/>
      <c r="F49" s="469"/>
      <c r="G49" s="469"/>
      <c r="H49" s="469"/>
      <c r="I49" s="469"/>
      <c r="J49" s="469"/>
      <c r="K49" s="469"/>
      <c r="L49" s="469"/>
      <c r="M49" s="470"/>
      <c r="N49" s="469"/>
      <c r="O49" s="470"/>
      <c r="P49" s="2989"/>
      <c r="Q49" s="2888"/>
      <c r="R49" s="2888"/>
      <c r="S49" s="2888"/>
      <c r="T49" s="2888"/>
      <c r="U49" s="2888"/>
      <c r="V49" s="2888"/>
      <c r="W49" s="2888"/>
      <c r="X49" s="2888"/>
      <c r="Y49" s="2888"/>
      <c r="Z49" s="2888"/>
      <c r="AA49" s="2888"/>
      <c r="AB49" s="2888"/>
      <c r="AC49" s="2888"/>
    </row>
    <row r="50" spans="1:29" s="113" customFormat="1" ht="15.75" thickBot="1">
      <c r="A50" s="472" t="s">
        <v>2406</v>
      </c>
      <c r="B50" s="473"/>
      <c r="C50" s="474"/>
      <c r="D50" s="475"/>
      <c r="E50" s="475"/>
      <c r="F50" s="475"/>
      <c r="G50" s="475"/>
      <c r="H50" s="475"/>
      <c r="I50" s="475"/>
      <c r="J50" s="475"/>
      <c r="K50" s="475"/>
      <c r="L50" s="475"/>
      <c r="M50" s="476"/>
      <c r="N50" s="475"/>
      <c r="O50" s="476"/>
      <c r="P50" s="2989"/>
      <c r="Q50" s="2968"/>
      <c r="R50" s="2888"/>
      <c r="S50" s="2888"/>
      <c r="T50" s="2888"/>
      <c r="U50" s="2888"/>
      <c r="V50" s="2888"/>
      <c r="W50" s="2888"/>
      <c r="X50" s="2888"/>
      <c r="Y50" s="2888"/>
      <c r="Z50" s="2888"/>
      <c r="AA50" s="2888"/>
      <c r="AB50" s="2888"/>
      <c r="AC50" s="2888"/>
    </row>
    <row r="51" spans="1:29" s="113" customFormat="1" ht="15">
      <c r="A51" s="478" t="s">
        <v>2371</v>
      </c>
      <c r="B51" s="467"/>
      <c r="C51" s="479" t="s">
        <v>2473</v>
      </c>
      <c r="D51" s="480"/>
      <c r="E51" s="480"/>
      <c r="F51" s="480"/>
      <c r="G51" s="480"/>
      <c r="H51" s="480"/>
      <c r="I51" s="480"/>
      <c r="J51" s="480"/>
      <c r="K51" s="480"/>
      <c r="L51" s="481"/>
      <c r="M51" s="482"/>
      <c r="N51" s="2981"/>
      <c r="O51" s="2981"/>
      <c r="P51" s="2990"/>
      <c r="Q51" s="2968"/>
      <c r="R51" s="2888"/>
      <c r="S51" s="2888"/>
      <c r="T51" s="2888"/>
      <c r="U51" s="2888"/>
      <c r="V51" s="2888"/>
      <c r="W51" s="2888"/>
      <c r="X51" s="2888"/>
      <c r="Y51" s="2888"/>
      <c r="Z51" s="2888"/>
      <c r="AA51" s="2888"/>
      <c r="AB51" s="2888"/>
      <c r="AC51" s="2888"/>
    </row>
    <row r="52" spans="1:29" s="113" customFormat="1" ht="15.75" thickBot="1">
      <c r="A52" s="478"/>
      <c r="B52" s="467"/>
      <c r="C52" s="595">
        <v>100</v>
      </c>
      <c r="D52" s="469"/>
      <c r="E52" s="469"/>
      <c r="F52" s="469"/>
      <c r="G52" s="469"/>
      <c r="H52" s="469"/>
      <c r="I52" s="469"/>
      <c r="J52" s="469"/>
      <c r="K52" s="469"/>
      <c r="L52" s="469"/>
      <c r="M52" s="471"/>
      <c r="N52" s="2981"/>
      <c r="O52" s="2981"/>
      <c r="P52" s="2989"/>
      <c r="Q52" s="2968"/>
      <c r="R52" s="2888"/>
      <c r="S52" s="2888"/>
      <c r="T52" s="2888"/>
      <c r="U52" s="2888"/>
      <c r="V52" s="2888"/>
      <c r="W52" s="2888"/>
      <c r="X52" s="2888"/>
      <c r="Y52" s="2888"/>
      <c r="Z52" s="2888"/>
      <c r="AA52" s="2888"/>
      <c r="AB52" s="2888"/>
      <c r="AC52" s="2888"/>
    </row>
    <row r="53" spans="1:29">
      <c r="A53" s="484" t="s">
        <v>2409</v>
      </c>
      <c r="B53" s="485" t="s">
        <v>2375</v>
      </c>
      <c r="C53" s="486">
        <f>C9</f>
        <v>0</v>
      </c>
      <c r="D53" s="487"/>
      <c r="E53" s="487"/>
      <c r="F53" s="487"/>
      <c r="G53" s="487"/>
      <c r="H53" s="487"/>
      <c r="I53" s="487"/>
      <c r="J53" s="487"/>
      <c r="K53" s="488"/>
      <c r="L53" s="489"/>
      <c r="M53" s="490"/>
      <c r="N53" s="2982"/>
      <c r="O53" s="2982"/>
      <c r="P53" s="2991"/>
      <c r="Q53" s="2968"/>
      <c r="R53" s="2954"/>
      <c r="S53" s="2954"/>
      <c r="T53" s="2954"/>
      <c r="U53" s="2954"/>
      <c r="V53" s="2954"/>
      <c r="W53" s="2954"/>
      <c r="X53" s="2954"/>
      <c r="Y53" s="2954"/>
      <c r="Z53" s="2954"/>
      <c r="AA53" s="2954"/>
      <c r="AB53" s="2954"/>
      <c r="AC53" s="2954"/>
    </row>
    <row r="54" spans="1:29" ht="15.75" thickBot="1">
      <c r="A54" s="491"/>
      <c r="B54" s="492"/>
      <c r="C54" s="493">
        <v>100</v>
      </c>
      <c r="D54" s="493"/>
      <c r="E54" s="493"/>
      <c r="F54" s="493"/>
      <c r="G54" s="493"/>
      <c r="H54" s="493"/>
      <c r="I54" s="493"/>
      <c r="J54" s="493"/>
      <c r="K54" s="493"/>
      <c r="L54" s="493"/>
      <c r="M54" s="494"/>
      <c r="N54" s="2983"/>
      <c r="O54" s="2983"/>
      <c r="P54" s="2991"/>
      <c r="Q54" s="2968"/>
      <c r="R54" s="2954"/>
      <c r="S54" s="2954"/>
      <c r="T54" s="2954"/>
      <c r="U54" s="2954"/>
      <c r="V54" s="2954"/>
      <c r="W54" s="2954"/>
      <c r="X54" s="2954"/>
      <c r="Y54" s="2954"/>
      <c r="Z54" s="2954"/>
      <c r="AA54" s="2954"/>
      <c r="AB54" s="2954"/>
      <c r="AC54" s="2954"/>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82"/>
      <c r="O55" s="2982"/>
      <c r="P55" s="2991"/>
      <c r="Q55" s="2968"/>
      <c r="R55" s="2954"/>
      <c r="S55" s="2954"/>
      <c r="T55" s="2954"/>
      <c r="U55" s="2954"/>
      <c r="V55" s="2954"/>
      <c r="W55" s="2954"/>
      <c r="X55" s="2954"/>
      <c r="Y55" s="2954"/>
      <c r="Z55" s="2954"/>
      <c r="AA55" s="2954"/>
      <c r="AB55" s="2954"/>
      <c r="AC55" s="295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3"/>
      <c r="O56" s="2983"/>
      <c r="P56" s="2991"/>
      <c r="Q56" s="2968"/>
      <c r="R56" s="2954"/>
      <c r="S56" s="2954"/>
      <c r="T56" s="2954"/>
      <c r="U56" s="2954"/>
      <c r="V56" s="2954"/>
      <c r="W56" s="2954"/>
      <c r="X56" s="2954"/>
      <c r="Y56" s="2954"/>
      <c r="Z56" s="2954"/>
      <c r="AA56" s="2954"/>
      <c r="AB56" s="2954"/>
      <c r="AC56" s="2954"/>
    </row>
    <row r="57" spans="1:29" ht="15.75" thickTop="1">
      <c r="A57" s="491"/>
      <c r="B57" s="616">
        <f>B11</f>
        <v>111</v>
      </c>
      <c r="C57" s="506"/>
      <c r="D57" s="506"/>
      <c r="E57" s="506"/>
      <c r="F57" s="506"/>
      <c r="G57" s="506"/>
      <c r="H57" s="506"/>
      <c r="I57" s="506"/>
      <c r="J57" s="506"/>
      <c r="K57" s="507"/>
      <c r="L57" s="508"/>
      <c r="M57" s="509"/>
      <c r="N57" s="2982"/>
      <c r="O57" s="2982"/>
      <c r="P57" s="2991"/>
      <c r="Q57" s="2968"/>
      <c r="R57" s="2954"/>
      <c r="S57" s="2954"/>
      <c r="T57" s="2954"/>
      <c r="U57" s="2954"/>
      <c r="V57" s="2954"/>
      <c r="W57" s="2954"/>
      <c r="X57" s="2954"/>
      <c r="Y57" s="2954"/>
      <c r="Z57" s="2954"/>
      <c r="AA57" s="2954"/>
      <c r="AB57" s="2954"/>
      <c r="AC57" s="2954"/>
    </row>
    <row r="58" spans="1:29" ht="15.75" thickBot="1">
      <c r="A58" s="491"/>
      <c r="B58" s="492"/>
      <c r="C58" s="517"/>
      <c r="D58" s="493"/>
      <c r="E58" s="493"/>
      <c r="F58" s="493"/>
      <c r="G58" s="493"/>
      <c r="H58" s="493"/>
      <c r="I58" s="493"/>
      <c r="J58" s="493"/>
      <c r="K58" s="493"/>
      <c r="L58" s="493"/>
      <c r="M58" s="494"/>
      <c r="N58" s="2983"/>
      <c r="O58" s="2983"/>
      <c r="P58" s="2991"/>
      <c r="Q58" s="2968"/>
      <c r="R58" s="2954"/>
      <c r="S58" s="2954"/>
      <c r="T58" s="2954"/>
      <c r="U58" s="2954"/>
      <c r="V58" s="2954"/>
      <c r="W58" s="2954"/>
      <c r="X58" s="2954"/>
      <c r="Y58" s="2954"/>
      <c r="Z58" s="2954"/>
      <c r="AA58" s="2954"/>
      <c r="AB58" s="2954"/>
      <c r="AC58" s="2954"/>
    </row>
    <row r="59" spans="1:29" s="430" customFormat="1" ht="15.75" thickTop="1">
      <c r="A59" s="510"/>
      <c r="B59" s="495">
        <f>B12</f>
        <v>111</v>
      </c>
      <c r="C59" s="506"/>
      <c r="D59" s="506"/>
      <c r="E59" s="506"/>
      <c r="F59" s="506"/>
      <c r="G59" s="511"/>
      <c r="H59" s="512"/>
      <c r="I59" s="512"/>
      <c r="J59" s="512"/>
      <c r="K59" s="512"/>
      <c r="L59" s="513"/>
      <c r="M59" s="514"/>
      <c r="N59" s="2984"/>
      <c r="O59" s="2984"/>
      <c r="P59" s="2992"/>
      <c r="Q59" s="2975"/>
      <c r="R59" s="2976"/>
      <c r="S59" s="2976"/>
      <c r="T59" s="2976"/>
      <c r="U59" s="2976"/>
      <c r="V59" s="2976"/>
      <c r="W59" s="2976"/>
      <c r="X59" s="2976"/>
      <c r="Y59" s="2976"/>
      <c r="Z59" s="2976"/>
      <c r="AA59" s="2976"/>
      <c r="AB59" s="2976"/>
      <c r="AC59" s="2976"/>
    </row>
    <row r="60" spans="1:29" s="430" customFormat="1" ht="15.75" thickBot="1">
      <c r="A60" s="510"/>
      <c r="B60" s="500"/>
      <c r="C60" s="517"/>
      <c r="D60" s="493"/>
      <c r="E60" s="493"/>
      <c r="F60" s="493"/>
      <c r="G60" s="493"/>
      <c r="H60" s="493"/>
      <c r="I60" s="493"/>
      <c r="J60" s="493"/>
      <c r="K60" s="493"/>
      <c r="L60" s="493"/>
      <c r="M60" s="494"/>
      <c r="N60" s="2983"/>
      <c r="O60" s="2983"/>
      <c r="P60" s="2992"/>
      <c r="Q60" s="2975"/>
      <c r="R60" s="2976"/>
      <c r="S60" s="2976"/>
      <c r="T60" s="2976"/>
      <c r="U60" s="2976"/>
      <c r="V60" s="2976"/>
      <c r="W60" s="2976"/>
      <c r="X60" s="2976"/>
      <c r="Y60" s="2976"/>
      <c r="Z60" s="2976"/>
      <c r="AA60" s="2976"/>
      <c r="AB60" s="2976"/>
      <c r="AC60" s="2976"/>
    </row>
    <row r="61" spans="1:29" s="430" customFormat="1" ht="15.75" thickTop="1">
      <c r="A61" s="510"/>
      <c r="B61" s="495">
        <f>B13</f>
        <v>111</v>
      </c>
      <c r="C61" s="511"/>
      <c r="D61" s="511"/>
      <c r="E61" s="511"/>
      <c r="F61" s="511"/>
      <c r="G61" s="511"/>
      <c r="H61" s="512"/>
      <c r="I61" s="512"/>
      <c r="J61" s="512"/>
      <c r="K61" s="512"/>
      <c r="L61" s="513"/>
      <c r="M61" s="514"/>
      <c r="N61" s="2984"/>
      <c r="O61" s="2984"/>
      <c r="P61" s="2993"/>
      <c r="Q61" s="2978"/>
      <c r="R61" s="2976"/>
      <c r="S61" s="2976"/>
      <c r="T61" s="2976"/>
      <c r="U61" s="2976"/>
      <c r="V61" s="2976"/>
      <c r="W61" s="2976"/>
      <c r="X61" s="2976"/>
      <c r="Y61" s="2976"/>
      <c r="Z61" s="2976"/>
      <c r="AA61" s="2976"/>
      <c r="AB61" s="2976"/>
      <c r="AC61" s="2976"/>
    </row>
    <row r="62" spans="1:29" s="430" customFormat="1" ht="15.75" thickBot="1">
      <c r="A62" s="510"/>
      <c r="B62" s="500"/>
      <c r="C62" s="517"/>
      <c r="D62" s="517"/>
      <c r="E62" s="517"/>
      <c r="F62" s="517"/>
      <c r="G62" s="517"/>
      <c r="H62" s="519"/>
      <c r="I62" s="519"/>
      <c r="J62" s="519"/>
      <c r="K62" s="519"/>
      <c r="L62" s="519"/>
      <c r="M62" s="520"/>
      <c r="N62" s="2984"/>
      <c r="O62" s="2984"/>
      <c r="P62" s="2992"/>
      <c r="Q62" s="2975"/>
      <c r="R62" s="2976"/>
      <c r="S62" s="2976"/>
      <c r="T62" s="2976"/>
      <c r="U62" s="2976"/>
      <c r="V62" s="2976"/>
      <c r="W62" s="2976"/>
      <c r="X62" s="2976"/>
      <c r="Y62" s="2976"/>
      <c r="Z62" s="2976"/>
      <c r="AA62" s="2976"/>
      <c r="AB62" s="2976"/>
      <c r="AC62" s="2976"/>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82"/>
      <c r="O63" s="2982"/>
      <c r="P63" s="2995"/>
      <c r="Q63" s="2968"/>
      <c r="R63" s="2954"/>
      <c r="S63" s="2954"/>
      <c r="T63" s="2954"/>
      <c r="U63" s="2954"/>
      <c r="V63" s="2954"/>
      <c r="W63" s="2954"/>
      <c r="X63" s="2954"/>
      <c r="Y63" s="2954"/>
      <c r="Z63" s="2954"/>
      <c r="AA63" s="2954"/>
      <c r="AB63" s="2954"/>
      <c r="AC63" s="295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3"/>
      <c r="O64" s="2983"/>
      <c r="P64" s="2991"/>
      <c r="Q64" s="2968"/>
      <c r="R64" s="2954"/>
      <c r="S64" s="2954"/>
      <c r="T64" s="2954"/>
      <c r="U64" s="2954"/>
      <c r="V64" s="2954"/>
      <c r="W64" s="2954"/>
      <c r="X64" s="2954"/>
      <c r="Y64" s="2954"/>
      <c r="Z64" s="2954"/>
      <c r="AA64" s="2954"/>
      <c r="AB64" s="2954"/>
      <c r="AC64" s="2954"/>
    </row>
    <row r="65" spans="1:29" ht="15.75" thickTop="1">
      <c r="A65" s="491"/>
      <c r="B65" s="495" t="s">
        <v>2424</v>
      </c>
      <c r="C65" s="535" t="s">
        <v>2418</v>
      </c>
      <c r="D65" s="535" t="s">
        <v>2419</v>
      </c>
      <c r="E65" s="535" t="s">
        <v>2420</v>
      </c>
      <c r="F65" s="535" t="s">
        <v>2421</v>
      </c>
      <c r="G65" s="535" t="s">
        <v>2422</v>
      </c>
      <c r="H65" s="496"/>
      <c r="I65" s="496"/>
      <c r="J65" s="496"/>
      <c r="K65" s="497"/>
      <c r="L65" s="498"/>
      <c r="M65" s="499"/>
      <c r="N65" s="2982"/>
      <c r="O65" s="2982"/>
      <c r="P65" s="2991"/>
      <c r="Q65" s="2968"/>
      <c r="R65" s="2954"/>
      <c r="S65" s="2954"/>
      <c r="T65" s="2954"/>
      <c r="U65" s="2954"/>
      <c r="V65" s="2954"/>
      <c r="W65" s="2954"/>
      <c r="X65" s="2954"/>
      <c r="Y65" s="2954"/>
      <c r="Z65" s="2954"/>
      <c r="AA65" s="2954"/>
      <c r="AB65" s="2954"/>
      <c r="AC65" s="295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3"/>
      <c r="O66" s="2983"/>
      <c r="P66" s="2991"/>
      <c r="Q66" s="2968"/>
      <c r="R66" s="2954"/>
      <c r="S66" s="2954"/>
      <c r="T66" s="2954"/>
      <c r="U66" s="2954"/>
      <c r="V66" s="2954"/>
      <c r="W66" s="2954"/>
      <c r="X66" s="2954"/>
      <c r="Y66" s="2954"/>
      <c r="Z66" s="2954"/>
      <c r="AA66" s="2954"/>
      <c r="AB66" s="2954"/>
      <c r="AC66" s="2954"/>
    </row>
    <row r="67" spans="1:29" ht="15.75" thickTop="1">
      <c r="A67" s="491"/>
      <c r="B67" s="503" t="s">
        <v>2510</v>
      </c>
      <c r="C67" s="616" t="s">
        <v>2496</v>
      </c>
      <c r="D67" s="616" t="s">
        <v>2497</v>
      </c>
      <c r="E67" s="616" t="s">
        <v>2498</v>
      </c>
      <c r="F67" s="616" t="s">
        <v>2499</v>
      </c>
      <c r="G67" s="616" t="s">
        <v>2500</v>
      </c>
      <c r="H67" s="496"/>
      <c r="I67" s="496"/>
      <c r="J67" s="496"/>
      <c r="K67" s="496"/>
      <c r="L67" s="496"/>
      <c r="M67" s="1291"/>
      <c r="N67" s="2983"/>
      <c r="O67" s="2983"/>
      <c r="P67" s="2991"/>
      <c r="Q67" s="2968"/>
      <c r="R67" s="2954"/>
      <c r="S67" s="2954"/>
      <c r="T67" s="2954"/>
      <c r="U67" s="2954"/>
      <c r="V67" s="2954"/>
      <c r="W67" s="2954"/>
      <c r="X67" s="2954"/>
      <c r="Y67" s="2954"/>
      <c r="Z67" s="2954"/>
      <c r="AA67" s="2954"/>
      <c r="AB67" s="2954"/>
      <c r="AC67" s="295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3"/>
      <c r="O68" s="2983"/>
      <c r="P68" s="2991"/>
      <c r="Q68" s="2968"/>
      <c r="R68" s="2954"/>
      <c r="S68" s="2954"/>
      <c r="T68" s="2954"/>
      <c r="U68" s="2954"/>
      <c r="V68" s="2954"/>
      <c r="W68" s="2954"/>
      <c r="X68" s="2954"/>
      <c r="Y68" s="2954"/>
      <c r="Z68" s="2954"/>
      <c r="AA68" s="2954"/>
      <c r="AB68" s="2954"/>
      <c r="AC68" s="2954"/>
    </row>
    <row r="69" spans="1:29" ht="15.75" thickTop="1">
      <c r="A69" s="491"/>
      <c r="B69" s="495" t="s">
        <v>2430</v>
      </c>
      <c r="C69" s="535" t="s">
        <v>2418</v>
      </c>
      <c r="D69" s="535" t="s">
        <v>2419</v>
      </c>
      <c r="E69" s="535" t="s">
        <v>2420</v>
      </c>
      <c r="F69" s="535" t="s">
        <v>2421</v>
      </c>
      <c r="G69" s="535" t="s">
        <v>2422</v>
      </c>
      <c r="H69" s="496"/>
      <c r="I69" s="496"/>
      <c r="J69" s="496"/>
      <c r="K69" s="497"/>
      <c r="L69" s="498"/>
      <c r="M69" s="499"/>
      <c r="N69" s="2982"/>
      <c r="O69" s="2982"/>
      <c r="P69" s="2991"/>
      <c r="Q69" s="2968"/>
      <c r="R69" s="2954"/>
      <c r="S69" s="2954"/>
      <c r="T69" s="2954"/>
      <c r="U69" s="2954"/>
      <c r="V69" s="2954"/>
      <c r="W69" s="2954"/>
      <c r="X69" s="2954"/>
      <c r="Y69" s="2954"/>
      <c r="Z69" s="2954"/>
      <c r="AA69" s="2954"/>
      <c r="AB69" s="2954"/>
      <c r="AC69" s="295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3"/>
      <c r="O70" s="2983"/>
      <c r="P70" s="2991"/>
      <c r="Q70" s="2968"/>
      <c r="R70" s="2954"/>
      <c r="S70" s="2954"/>
      <c r="T70" s="2954"/>
      <c r="U70" s="2954"/>
      <c r="V70" s="2954"/>
      <c r="W70" s="2954"/>
      <c r="X70" s="2954"/>
      <c r="Y70" s="2954"/>
      <c r="Z70" s="2954"/>
      <c r="AA70" s="2954"/>
      <c r="AB70" s="2954"/>
      <c r="AC70" s="2954"/>
    </row>
    <row r="71" spans="1:29" ht="15.75" thickTop="1">
      <c r="A71" s="491"/>
      <c r="B71" s="495" t="s">
        <v>2550</v>
      </c>
      <c r="C71" s="511"/>
      <c r="D71" s="511"/>
      <c r="E71" s="511"/>
      <c r="F71" s="511"/>
      <c r="G71" s="511"/>
      <c r="H71" s="540"/>
      <c r="I71" s="540"/>
      <c r="J71" s="540"/>
      <c r="K71" s="541"/>
      <c r="L71" s="542"/>
      <c r="M71" s="543"/>
      <c r="N71" s="2982"/>
      <c r="O71" s="2982"/>
      <c r="P71" s="2991"/>
      <c r="Q71" s="2968"/>
      <c r="R71" s="2954"/>
      <c r="S71" s="2954"/>
      <c r="T71" s="2954"/>
      <c r="U71" s="2954"/>
      <c r="V71" s="2954"/>
      <c r="W71" s="2954"/>
      <c r="X71" s="2954"/>
      <c r="Y71" s="2954"/>
      <c r="Z71" s="2954"/>
      <c r="AA71" s="2954"/>
      <c r="AB71" s="2954"/>
      <c r="AC71" s="295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3"/>
      <c r="O72" s="2983"/>
      <c r="P72" s="2991"/>
      <c r="Q72" s="2968"/>
      <c r="R72" s="2954"/>
      <c r="S72" s="2954"/>
      <c r="T72" s="2954"/>
      <c r="U72" s="2954"/>
      <c r="V72" s="2954"/>
      <c r="W72" s="2954"/>
      <c r="X72" s="2954"/>
      <c r="Y72" s="2954"/>
      <c r="Z72" s="2954"/>
      <c r="AA72" s="2954"/>
      <c r="AB72" s="2954"/>
      <c r="AC72" s="2954"/>
    </row>
    <row r="73" spans="1:29" s="113" customFormat="1" ht="15.75" thickTop="1">
      <c r="A73" s="536"/>
      <c r="B73" s="495">
        <f>B23</f>
        <v>111</v>
      </c>
      <c r="C73" s="506"/>
      <c r="D73" s="506"/>
      <c r="E73" s="506"/>
      <c r="F73" s="506"/>
      <c r="G73" s="511"/>
      <c r="H73" s="511"/>
      <c r="I73" s="511"/>
      <c r="J73" s="511"/>
      <c r="K73" s="511"/>
      <c r="L73" s="537"/>
      <c r="M73" s="538"/>
      <c r="N73" s="2981"/>
      <c r="O73" s="2981"/>
      <c r="P73" s="2991"/>
      <c r="Q73" s="2968"/>
      <c r="R73" s="2888"/>
      <c r="S73" s="2888"/>
      <c r="T73" s="2888"/>
      <c r="U73" s="2888"/>
      <c r="V73" s="2888"/>
      <c r="W73" s="2888"/>
      <c r="X73" s="2888"/>
      <c r="Y73" s="2888"/>
      <c r="Z73" s="2888"/>
      <c r="AA73" s="2888"/>
      <c r="AB73" s="2888"/>
      <c r="AC73" s="2888"/>
    </row>
    <row r="74" spans="1:29" s="113" customFormat="1" ht="15.75" thickBot="1">
      <c r="A74" s="536"/>
      <c r="B74" s="500"/>
      <c r="C74" s="517"/>
      <c r="D74" s="493"/>
      <c r="E74" s="493"/>
      <c r="F74" s="493"/>
      <c r="G74" s="493"/>
      <c r="H74" s="493"/>
      <c r="I74" s="493"/>
      <c r="J74" s="493"/>
      <c r="K74" s="493"/>
      <c r="L74" s="493"/>
      <c r="M74" s="494"/>
      <c r="N74" s="2983"/>
      <c r="O74" s="2983"/>
      <c r="P74" s="2991"/>
      <c r="Q74" s="2968"/>
      <c r="R74" s="2888"/>
      <c r="S74" s="2888"/>
      <c r="T74" s="2888"/>
      <c r="U74" s="2888"/>
      <c r="V74" s="2888"/>
      <c r="W74" s="2888"/>
      <c r="X74" s="2888"/>
      <c r="Y74" s="2888"/>
      <c r="Z74" s="2888"/>
      <c r="AA74" s="2888"/>
      <c r="AB74" s="2888"/>
      <c r="AC74" s="2888"/>
    </row>
    <row r="75" spans="1:29" s="113" customFormat="1" ht="15.75" thickTop="1">
      <c r="A75" s="536"/>
      <c r="B75" s="495">
        <f>B24</f>
        <v>111</v>
      </c>
      <c r="C75" s="506"/>
      <c r="D75" s="506"/>
      <c r="E75" s="506"/>
      <c r="F75" s="506"/>
      <c r="G75" s="511"/>
      <c r="H75" s="511"/>
      <c r="I75" s="511"/>
      <c r="J75" s="511"/>
      <c r="K75" s="511"/>
      <c r="L75" s="511"/>
      <c r="M75" s="538"/>
      <c r="N75" s="2981"/>
      <c r="O75" s="2981"/>
      <c r="P75" s="2991"/>
      <c r="Q75" s="2968"/>
      <c r="R75" s="2888"/>
      <c r="S75" s="2888"/>
      <c r="T75" s="2888"/>
      <c r="U75" s="2888"/>
      <c r="V75" s="2888"/>
      <c r="W75" s="2888"/>
      <c r="X75" s="2888"/>
      <c r="Y75" s="2888"/>
      <c r="Z75" s="2888"/>
      <c r="AA75" s="2888"/>
      <c r="AB75" s="2888"/>
      <c r="AC75" s="2888"/>
    </row>
    <row r="76" spans="1:29" s="113" customFormat="1" ht="15.75" thickBot="1">
      <c r="A76" s="536"/>
      <c r="B76" s="500"/>
      <c r="C76" s="517"/>
      <c r="D76" s="493"/>
      <c r="E76" s="493"/>
      <c r="F76" s="493"/>
      <c r="G76" s="493"/>
      <c r="H76" s="493"/>
      <c r="I76" s="493"/>
      <c r="J76" s="493"/>
      <c r="K76" s="493"/>
      <c r="L76" s="493"/>
      <c r="M76" s="494"/>
      <c r="N76" s="2983"/>
      <c r="O76" s="2983"/>
      <c r="P76" s="2991"/>
      <c r="Q76" s="2968"/>
      <c r="R76" s="2888"/>
      <c r="S76" s="2888"/>
      <c r="T76" s="2888"/>
      <c r="U76" s="2888"/>
      <c r="V76" s="2888"/>
      <c r="W76" s="2888"/>
      <c r="X76" s="2888"/>
      <c r="Y76" s="2888"/>
      <c r="Z76" s="2888"/>
      <c r="AA76" s="2888"/>
      <c r="AB76" s="2888"/>
      <c r="AC76" s="2888"/>
    </row>
    <row r="77" spans="1:29" s="430" customFormat="1" ht="15.75" thickTop="1">
      <c r="A77" s="510"/>
      <c r="B77" s="495">
        <f>B25</f>
        <v>111</v>
      </c>
      <c r="C77" s="511"/>
      <c r="D77" s="511"/>
      <c r="E77" s="511"/>
      <c r="F77" s="511"/>
      <c r="G77" s="511"/>
      <c r="H77" s="512"/>
      <c r="I77" s="512"/>
      <c r="J77" s="512"/>
      <c r="K77" s="512"/>
      <c r="L77" s="513"/>
      <c r="M77" s="514"/>
      <c r="N77" s="2984"/>
      <c r="O77" s="2984"/>
      <c r="P77" s="2992"/>
      <c r="Q77" s="2975"/>
      <c r="R77" s="2976"/>
      <c r="S77" s="2976"/>
      <c r="T77" s="2976"/>
      <c r="U77" s="2976"/>
      <c r="V77" s="2976"/>
      <c r="W77" s="2976"/>
      <c r="X77" s="2976"/>
      <c r="Y77" s="2976"/>
      <c r="Z77" s="2976"/>
      <c r="AA77" s="2976"/>
      <c r="AB77" s="2976"/>
      <c r="AC77" s="2976"/>
    </row>
    <row r="78" spans="1:29" s="430" customFormat="1" ht="15.75" thickBot="1">
      <c r="A78" s="510"/>
      <c r="B78" s="500"/>
      <c r="C78" s="517"/>
      <c r="D78" s="517"/>
      <c r="E78" s="517"/>
      <c r="F78" s="517"/>
      <c r="G78" s="493"/>
      <c r="H78" s="493"/>
      <c r="I78" s="493"/>
      <c r="J78" s="493"/>
      <c r="K78" s="493"/>
      <c r="L78" s="493"/>
      <c r="M78" s="494"/>
      <c r="N78" s="2984"/>
      <c r="O78" s="2984"/>
      <c r="P78" s="2992"/>
      <c r="Q78" s="2975"/>
      <c r="R78" s="2976"/>
      <c r="S78" s="2976"/>
      <c r="T78" s="2976"/>
      <c r="U78" s="2976"/>
      <c r="V78" s="2976"/>
      <c r="W78" s="2976"/>
      <c r="X78" s="2976"/>
      <c r="Y78" s="2976"/>
      <c r="Z78" s="2976"/>
      <c r="AA78" s="2976"/>
      <c r="AB78" s="2976"/>
      <c r="AC78" s="2976"/>
    </row>
    <row r="79" spans="1:29" ht="27.75" thickTop="1">
      <c r="A79" s="484" t="s">
        <v>2384</v>
      </c>
      <c r="B79" s="485" t="s">
        <v>2551</v>
      </c>
      <c r="C79" s="486">
        <f>C26</f>
        <v>0</v>
      </c>
      <c r="D79" s="487"/>
      <c r="E79" s="487"/>
      <c r="F79" s="487"/>
      <c r="G79" s="487"/>
      <c r="H79" s="487"/>
      <c r="I79" s="487"/>
      <c r="J79" s="487"/>
      <c r="K79" s="488"/>
      <c r="L79" s="489"/>
      <c r="M79" s="490"/>
      <c r="N79" s="2982"/>
      <c r="O79" s="2982"/>
      <c r="P79" s="2991"/>
      <c r="Q79" s="2968"/>
      <c r="R79" s="2954"/>
      <c r="S79" s="2954"/>
      <c r="T79" s="2954"/>
      <c r="U79" s="2954"/>
      <c r="V79" s="2954"/>
      <c r="W79" s="2954"/>
      <c r="X79" s="2954"/>
      <c r="Y79" s="2954"/>
      <c r="Z79" s="2954"/>
      <c r="AA79" s="2954"/>
      <c r="AB79" s="2954"/>
      <c r="AC79" s="295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3"/>
      <c r="O80" s="2983"/>
      <c r="P80" s="2991"/>
      <c r="Q80" s="2968"/>
      <c r="R80" s="2954"/>
      <c r="S80" s="2954"/>
      <c r="T80" s="2954"/>
      <c r="U80" s="2954"/>
      <c r="V80" s="2954"/>
      <c r="W80" s="2954"/>
      <c r="X80" s="2954"/>
      <c r="Y80" s="2954"/>
      <c r="Z80" s="2954"/>
      <c r="AA80" s="2954"/>
      <c r="AB80" s="2954"/>
      <c r="AC80" s="2954"/>
    </row>
    <row r="81" spans="1:29" ht="15.75" thickTop="1">
      <c r="A81" s="491"/>
      <c r="B81" s="495" t="s">
        <v>2552</v>
      </c>
      <c r="C81" s="617"/>
      <c r="D81" s="617"/>
      <c r="E81" s="617"/>
      <c r="F81" s="617"/>
      <c r="G81" s="617"/>
      <c r="H81" s="617"/>
      <c r="I81" s="617"/>
      <c r="J81" s="617"/>
      <c r="K81" s="618"/>
      <c r="L81" s="619"/>
      <c r="M81" s="620"/>
      <c r="N81" s="2981"/>
      <c r="O81" s="2981"/>
      <c r="P81" s="2991"/>
      <c r="Q81" s="2968"/>
      <c r="R81" s="2954"/>
      <c r="S81" s="2954"/>
      <c r="T81" s="2954"/>
      <c r="U81" s="2954"/>
      <c r="V81" s="2954"/>
      <c r="W81" s="2954"/>
      <c r="X81" s="2954"/>
      <c r="Y81" s="2954"/>
      <c r="Z81" s="2954"/>
      <c r="AA81" s="2954"/>
      <c r="AB81" s="2954"/>
      <c r="AC81" s="2954"/>
    </row>
    <row r="82" spans="1:29" s="430" customFormat="1" ht="15.75" thickBot="1">
      <c r="A82" s="510"/>
      <c r="B82" s="500"/>
      <c r="C82" s="517"/>
      <c r="D82" s="493"/>
      <c r="E82" s="493"/>
      <c r="F82" s="493"/>
      <c r="G82" s="493"/>
      <c r="H82" s="493"/>
      <c r="I82" s="493"/>
      <c r="J82" s="493"/>
      <c r="K82" s="493"/>
      <c r="L82" s="493"/>
      <c r="M82" s="494"/>
      <c r="N82" s="2983"/>
      <c r="O82" s="2983"/>
      <c r="P82" s="2992"/>
      <c r="Q82" s="2975"/>
      <c r="R82" s="2976"/>
      <c r="S82" s="2976"/>
      <c r="T82" s="2976"/>
      <c r="U82" s="2976"/>
      <c r="V82" s="2976"/>
      <c r="W82" s="2976"/>
      <c r="X82" s="2976"/>
      <c r="Y82" s="2976"/>
      <c r="Z82" s="2976"/>
      <c r="AA82" s="2976"/>
      <c r="AB82" s="2976"/>
      <c r="AC82" s="2976"/>
    </row>
    <row r="83" spans="1:29" ht="15" thickTop="1">
      <c r="A83" s="556"/>
      <c r="B83" s="495" t="s">
        <v>2437</v>
      </c>
      <c r="C83" s="511"/>
      <c r="D83" s="511"/>
      <c r="E83" s="540"/>
      <c r="F83" s="540"/>
      <c r="G83" s="540"/>
      <c r="H83" s="540"/>
      <c r="I83" s="540"/>
      <c r="J83" s="540"/>
      <c r="K83" s="541"/>
      <c r="L83" s="542"/>
      <c r="M83" s="543"/>
      <c r="N83" s="2982"/>
      <c r="O83" s="2982"/>
      <c r="P83" s="2991"/>
      <c r="Q83" s="2968"/>
      <c r="R83" s="2954"/>
      <c r="S83" s="2954"/>
      <c r="T83" s="2954"/>
      <c r="U83" s="2954"/>
      <c r="V83" s="2954"/>
      <c r="W83" s="2954"/>
      <c r="X83" s="2954"/>
      <c r="Y83" s="2954"/>
      <c r="Z83" s="2954"/>
      <c r="AA83" s="2954"/>
      <c r="AB83" s="2954"/>
      <c r="AC83" s="295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3"/>
      <c r="O84" s="2983"/>
      <c r="P84" s="2991"/>
      <c r="Q84" s="2968"/>
      <c r="R84" s="2954"/>
      <c r="S84" s="2954"/>
      <c r="T84" s="2954"/>
      <c r="U84" s="2954"/>
      <c r="V84" s="2954"/>
      <c r="W84" s="2954"/>
      <c r="X84" s="2954"/>
      <c r="Y84" s="2954"/>
      <c r="Z84" s="2954"/>
      <c r="AA84" s="2954"/>
      <c r="AB84" s="2954"/>
      <c r="AC84" s="2954"/>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2"/>
      <c r="O85" s="2982"/>
      <c r="P85" s="2991"/>
      <c r="Q85" s="2968"/>
      <c r="R85" s="2954"/>
      <c r="S85" s="2954"/>
      <c r="T85" s="2954"/>
      <c r="U85" s="2954"/>
      <c r="V85" s="2954"/>
      <c r="W85" s="2954"/>
      <c r="X85" s="2954"/>
      <c r="Y85" s="2954"/>
      <c r="Z85" s="2954"/>
      <c r="AA85" s="2954"/>
      <c r="AB85" s="2954"/>
      <c r="AC85" s="2954"/>
    </row>
    <row r="86" spans="1:29">
      <c r="A86" s="556"/>
      <c r="B86" s="503"/>
      <c r="C86" s="560">
        <v>0.5</v>
      </c>
      <c r="D86" s="560">
        <v>0.6</v>
      </c>
      <c r="E86" s="560">
        <v>0.7</v>
      </c>
      <c r="F86" s="560">
        <v>0.8</v>
      </c>
      <c r="G86" s="560">
        <v>0.9</v>
      </c>
      <c r="H86" s="560">
        <v>1.0001</v>
      </c>
      <c r="I86" s="579"/>
      <c r="J86" s="579"/>
      <c r="K86" s="580"/>
      <c r="L86" s="581"/>
      <c r="M86" s="582"/>
      <c r="N86" s="2982"/>
      <c r="O86" s="2982"/>
      <c r="P86" s="2991"/>
      <c r="Q86" s="2968"/>
      <c r="R86" s="2954"/>
      <c r="S86" s="2954"/>
      <c r="T86" s="2954"/>
      <c r="U86" s="2954"/>
      <c r="V86" s="2954"/>
      <c r="W86" s="2954"/>
      <c r="X86" s="2954"/>
      <c r="Y86" s="2954"/>
      <c r="Z86" s="2954"/>
      <c r="AA86" s="2954"/>
      <c r="AB86" s="2954"/>
      <c r="AC86" s="295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3"/>
      <c r="O87" s="2983"/>
      <c r="P87" s="2991"/>
      <c r="Q87" s="2968"/>
      <c r="R87" s="2954"/>
      <c r="S87" s="2954"/>
      <c r="T87" s="2954"/>
      <c r="U87" s="2954"/>
      <c r="V87" s="2954"/>
      <c r="W87" s="2954"/>
      <c r="X87" s="2954"/>
      <c r="Y87" s="2954"/>
      <c r="Z87" s="2954"/>
      <c r="AA87" s="2954"/>
      <c r="AB87" s="2954"/>
      <c r="AC87" s="2954"/>
    </row>
    <row r="88" spans="1:29" ht="15" thickTop="1">
      <c r="A88" s="556"/>
      <c r="B88" s="503" t="s">
        <v>2554</v>
      </c>
      <c r="C88" s="487"/>
      <c r="D88" s="487"/>
      <c r="E88" s="487"/>
      <c r="F88" s="487"/>
      <c r="G88" s="487"/>
      <c r="H88" s="487"/>
      <c r="I88" s="487"/>
      <c r="J88" s="487"/>
      <c r="K88" s="488"/>
      <c r="L88" s="489"/>
      <c r="M88" s="490"/>
      <c r="N88" s="2982"/>
      <c r="O88" s="2982"/>
      <c r="P88" s="2991"/>
      <c r="Q88" s="2968"/>
      <c r="R88" s="2954"/>
      <c r="S88" s="2954"/>
      <c r="T88" s="2954"/>
      <c r="U88" s="2954"/>
      <c r="V88" s="2954"/>
      <c r="W88" s="2954"/>
      <c r="X88" s="2954"/>
      <c r="Y88" s="2954"/>
      <c r="Z88" s="2954"/>
      <c r="AA88" s="2954"/>
      <c r="AB88" s="2954"/>
      <c r="AC88" s="295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3"/>
      <c r="O89" s="2983"/>
      <c r="P89" s="2991"/>
      <c r="Q89" s="2968"/>
      <c r="R89" s="2954"/>
      <c r="S89" s="2954"/>
      <c r="T89" s="2954"/>
      <c r="U89" s="2954"/>
      <c r="V89" s="2954"/>
      <c r="W89" s="2954"/>
      <c r="X89" s="2954"/>
      <c r="Y89" s="2954"/>
      <c r="Z89" s="2954"/>
      <c r="AA89" s="2954"/>
      <c r="AB89" s="2954"/>
      <c r="AC89" s="2954"/>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4"/>
      <c r="O90" s="2984"/>
      <c r="P90" s="2992"/>
      <c r="Q90" s="2975"/>
      <c r="R90" s="2976"/>
      <c r="S90" s="2976"/>
      <c r="T90" s="2976"/>
      <c r="U90" s="2976"/>
      <c r="V90" s="2976"/>
      <c r="W90" s="2976"/>
      <c r="X90" s="2976"/>
      <c r="Y90" s="2976"/>
      <c r="Z90" s="2976"/>
      <c r="AA90" s="2976"/>
      <c r="AB90" s="2976"/>
      <c r="AC90" s="2976"/>
    </row>
    <row r="91" spans="1:29" s="430" customFormat="1">
      <c r="A91" s="550"/>
      <c r="B91" s="503"/>
      <c r="C91" s="552"/>
      <c r="D91" s="552"/>
      <c r="E91" s="552"/>
      <c r="F91" s="552"/>
      <c r="G91" s="552"/>
      <c r="H91" s="552"/>
      <c r="I91" s="552"/>
      <c r="J91" s="553"/>
      <c r="K91" s="553"/>
      <c r="L91" s="554"/>
      <c r="M91" s="555"/>
      <c r="N91" s="2984"/>
      <c r="O91" s="2984"/>
      <c r="P91" s="2992"/>
      <c r="Q91" s="2975"/>
      <c r="R91" s="2976"/>
      <c r="S91" s="2976"/>
      <c r="T91" s="2976"/>
      <c r="U91" s="2976"/>
      <c r="V91" s="2976"/>
      <c r="W91" s="2976"/>
      <c r="X91" s="2976"/>
      <c r="Y91" s="2976"/>
      <c r="Z91" s="2976"/>
      <c r="AA91" s="2976"/>
      <c r="AB91" s="2976"/>
      <c r="AC91" s="2976"/>
    </row>
    <row r="92" spans="1:29" s="430" customFormat="1" ht="15.75" thickBot="1">
      <c r="A92" s="510"/>
      <c r="B92" s="500"/>
      <c r="C92" s="517"/>
      <c r="D92" s="493"/>
      <c r="E92" s="493"/>
      <c r="F92" s="493"/>
      <c r="G92" s="493"/>
      <c r="H92" s="493"/>
      <c r="I92" s="493"/>
      <c r="J92" s="493"/>
      <c r="K92" s="493"/>
      <c r="L92" s="493"/>
      <c r="M92" s="494"/>
      <c r="N92" s="2984"/>
      <c r="O92" s="2984"/>
      <c r="P92" s="2992"/>
      <c r="Q92" s="2975"/>
      <c r="R92" s="2976"/>
      <c r="S92" s="2976"/>
      <c r="T92" s="2976"/>
      <c r="U92" s="2976"/>
      <c r="V92" s="2976"/>
      <c r="W92" s="2976"/>
      <c r="X92" s="2976"/>
      <c r="Y92" s="2976"/>
      <c r="Z92" s="2976"/>
      <c r="AA92" s="2976"/>
      <c r="AB92" s="2976"/>
      <c r="AC92" s="2976"/>
    </row>
    <row r="93" spans="1:29" ht="15" thickTop="1">
      <c r="A93" s="556"/>
      <c r="B93" s="495" t="s">
        <v>2556</v>
      </c>
      <c r="C93" s="511"/>
      <c r="D93" s="511"/>
      <c r="E93" s="540"/>
      <c r="F93" s="540"/>
      <c r="G93" s="540"/>
      <c r="H93" s="540"/>
      <c r="I93" s="540"/>
      <c r="J93" s="540"/>
      <c r="K93" s="541"/>
      <c r="L93" s="542"/>
      <c r="M93" s="543"/>
      <c r="N93" s="2982"/>
      <c r="O93" s="2982"/>
      <c r="P93" s="2991"/>
      <c r="Q93" s="2968"/>
      <c r="R93" s="2954"/>
      <c r="S93" s="2954"/>
      <c r="T93" s="2954"/>
      <c r="U93" s="2954"/>
      <c r="V93" s="2954"/>
      <c r="W93" s="2954"/>
      <c r="X93" s="2954"/>
      <c r="Y93" s="2954"/>
      <c r="Z93" s="2954"/>
      <c r="AA93" s="2954"/>
      <c r="AB93" s="2954"/>
      <c r="AC93" s="295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3"/>
      <c r="O94" s="2983"/>
      <c r="P94" s="2991"/>
      <c r="Q94" s="2968"/>
      <c r="R94" s="2954"/>
      <c r="S94" s="2954"/>
      <c r="T94" s="2954"/>
      <c r="U94" s="2954"/>
      <c r="V94" s="2954"/>
      <c r="W94" s="2954"/>
      <c r="X94" s="2954"/>
      <c r="Y94" s="2954"/>
      <c r="Z94" s="2954"/>
      <c r="AA94" s="2954"/>
      <c r="AB94" s="2954"/>
      <c r="AC94" s="2954"/>
    </row>
    <row r="95" spans="1:29" ht="15" thickTop="1">
      <c r="A95" s="556"/>
      <c r="B95" s="495" t="s">
        <v>2557</v>
      </c>
      <c r="C95" s="487"/>
      <c r="D95" s="487"/>
      <c r="E95" s="487"/>
      <c r="F95" s="487"/>
      <c r="G95" s="487"/>
      <c r="H95" s="487"/>
      <c r="I95" s="487"/>
      <c r="J95" s="487"/>
      <c r="K95" s="488"/>
      <c r="L95" s="489"/>
      <c r="M95" s="490"/>
      <c r="N95" s="2982"/>
      <c r="O95" s="2982"/>
      <c r="P95" s="2991"/>
      <c r="Q95" s="2968"/>
      <c r="R95" s="2954"/>
      <c r="S95" s="2954"/>
      <c r="T95" s="2954"/>
      <c r="U95" s="2954"/>
      <c r="V95" s="2954"/>
      <c r="W95" s="2954"/>
      <c r="X95" s="2954"/>
      <c r="Y95" s="2954"/>
      <c r="Z95" s="2954"/>
      <c r="AA95" s="2954"/>
      <c r="AB95" s="2954"/>
      <c r="AC95" s="295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3"/>
      <c r="O96" s="2983"/>
      <c r="P96" s="2991"/>
      <c r="Q96" s="2968"/>
      <c r="R96" s="2954"/>
      <c r="S96" s="2954"/>
      <c r="T96" s="2954"/>
      <c r="U96" s="2954"/>
      <c r="V96" s="2954"/>
      <c r="W96" s="2954"/>
      <c r="X96" s="2954"/>
      <c r="Y96" s="2954"/>
      <c r="Z96" s="2954"/>
      <c r="AA96" s="2954"/>
      <c r="AB96" s="2954"/>
      <c r="AC96" s="2954"/>
    </row>
    <row r="97" spans="1:29" ht="15" thickTop="1">
      <c r="A97" s="556"/>
      <c r="B97" s="592">
        <f>B34</f>
        <v>111</v>
      </c>
      <c r="C97" s="506"/>
      <c r="D97" s="506"/>
      <c r="E97" s="506"/>
      <c r="F97" s="506"/>
      <c r="G97" s="511"/>
      <c r="H97" s="512"/>
      <c r="I97" s="512"/>
      <c r="J97" s="512"/>
      <c r="K97" s="512"/>
      <c r="L97" s="513"/>
      <c r="M97" s="514"/>
      <c r="N97" s="2983"/>
      <c r="O97" s="2983"/>
      <c r="P97" s="2996"/>
      <c r="Q97" s="2997"/>
      <c r="R97" s="2954"/>
      <c r="S97" s="2954"/>
      <c r="T97" s="2954"/>
      <c r="U97" s="2954"/>
      <c r="V97" s="2954"/>
      <c r="W97" s="2954"/>
      <c r="X97" s="2954"/>
      <c r="Y97" s="2954"/>
      <c r="Z97" s="2954"/>
      <c r="AA97" s="2954"/>
      <c r="AB97" s="2954"/>
      <c r="AC97" s="2954"/>
    </row>
    <row r="98" spans="1:29" ht="15.75" thickBot="1">
      <c r="A98" s="491"/>
      <c r="B98" s="500"/>
      <c r="C98" s="517"/>
      <c r="D98" s="493"/>
      <c r="E98" s="493"/>
      <c r="F98" s="493"/>
      <c r="G98" s="517"/>
      <c r="H98" s="519"/>
      <c r="I98" s="519"/>
      <c r="J98" s="519"/>
      <c r="K98" s="519"/>
      <c r="L98" s="519"/>
      <c r="M98" s="520"/>
      <c r="N98" s="2983"/>
      <c r="O98" s="2983"/>
      <c r="P98" s="2991"/>
      <c r="Q98" s="2968"/>
      <c r="R98" s="2954"/>
      <c r="S98" s="2954"/>
      <c r="T98" s="2954"/>
      <c r="U98" s="2954"/>
      <c r="V98" s="2954"/>
      <c r="W98" s="2954"/>
      <c r="X98" s="2954"/>
      <c r="Y98" s="2954"/>
      <c r="Z98" s="2954"/>
      <c r="AA98" s="2954"/>
      <c r="AB98" s="2954"/>
      <c r="AC98" s="2954"/>
    </row>
    <row r="99" spans="1:29" s="430" customFormat="1" ht="15" thickTop="1">
      <c r="A99" s="550"/>
      <c r="B99" s="495">
        <f>B35</f>
        <v>111</v>
      </c>
      <c r="C99" s="506"/>
      <c r="D99" s="506"/>
      <c r="E99" s="506"/>
      <c r="F99" s="506"/>
      <c r="G99" s="511"/>
      <c r="H99" s="512"/>
      <c r="I99" s="512"/>
      <c r="J99" s="512"/>
      <c r="K99" s="512"/>
      <c r="L99" s="513"/>
      <c r="M99" s="514"/>
      <c r="N99" s="2984"/>
      <c r="O99" s="2984"/>
      <c r="P99" s="2992"/>
      <c r="Q99" s="2975"/>
      <c r="R99" s="2976"/>
      <c r="S99" s="2976"/>
      <c r="T99" s="2976"/>
      <c r="U99" s="2976"/>
      <c r="V99" s="2976"/>
      <c r="W99" s="2976"/>
      <c r="X99" s="2976"/>
      <c r="Y99" s="2976"/>
      <c r="Z99" s="2976"/>
      <c r="AA99" s="2976"/>
      <c r="AB99" s="2976"/>
      <c r="AC99" s="2976"/>
    </row>
    <row r="100" spans="1:29" s="430" customFormat="1" ht="15.75" thickBot="1">
      <c r="A100" s="510"/>
      <c r="B100" s="492"/>
      <c r="C100" s="517"/>
      <c r="D100" s="493"/>
      <c r="E100" s="493"/>
      <c r="F100" s="493"/>
      <c r="G100" s="517"/>
      <c r="H100" s="519"/>
      <c r="I100" s="519"/>
      <c r="J100" s="519"/>
      <c r="K100" s="519"/>
      <c r="L100" s="519"/>
      <c r="M100" s="520"/>
      <c r="N100" s="2984"/>
      <c r="O100" s="2984"/>
      <c r="P100" s="2992"/>
      <c r="Q100" s="2975"/>
      <c r="R100" s="2976"/>
      <c r="S100" s="2976"/>
      <c r="T100" s="2976"/>
      <c r="U100" s="2976"/>
      <c r="V100" s="2976"/>
      <c r="W100" s="2976"/>
      <c r="X100" s="2976"/>
      <c r="Y100" s="2976"/>
      <c r="Z100" s="2976"/>
      <c r="AA100" s="2976"/>
      <c r="AB100" s="2976"/>
      <c r="AC100" s="2976"/>
    </row>
    <row r="101" spans="1:29" ht="15" thickTop="1">
      <c r="A101" s="556"/>
      <c r="B101" s="495">
        <f>B36</f>
        <v>111</v>
      </c>
      <c r="C101" s="511"/>
      <c r="D101" s="511"/>
      <c r="E101" s="511"/>
      <c r="F101" s="511"/>
      <c r="G101" s="511"/>
      <c r="H101" s="512"/>
      <c r="I101" s="512"/>
      <c r="J101" s="512"/>
      <c r="K101" s="512"/>
      <c r="L101" s="513"/>
      <c r="M101" s="514"/>
      <c r="N101" s="2982"/>
      <c r="O101" s="2982"/>
      <c r="P101" s="2991"/>
      <c r="Q101" s="2968"/>
      <c r="R101" s="2954"/>
      <c r="S101" s="2954"/>
      <c r="T101" s="2954"/>
      <c r="U101" s="2954"/>
      <c r="V101" s="2954"/>
      <c r="W101" s="2954"/>
      <c r="X101" s="2954"/>
      <c r="Y101" s="2954"/>
      <c r="Z101" s="2954"/>
      <c r="AA101" s="2954"/>
      <c r="AB101" s="2954"/>
      <c r="AC101" s="2954"/>
    </row>
    <row r="102" spans="1:29" ht="15.75" thickBot="1">
      <c r="A102" s="491"/>
      <c r="B102" s="500"/>
      <c r="C102" s="517"/>
      <c r="D102" s="517"/>
      <c r="E102" s="517"/>
      <c r="F102" s="517"/>
      <c r="G102" s="517"/>
      <c r="H102" s="519"/>
      <c r="I102" s="519"/>
      <c r="J102" s="519"/>
      <c r="K102" s="519"/>
      <c r="L102" s="519"/>
      <c r="M102" s="520"/>
      <c r="N102" s="2983"/>
      <c r="O102" s="2983"/>
      <c r="P102" s="2991"/>
      <c r="Q102" s="2968"/>
      <c r="R102" s="2954"/>
      <c r="S102" s="2954"/>
      <c r="T102" s="2954"/>
      <c r="U102" s="2954"/>
      <c r="V102" s="2954"/>
      <c r="W102" s="2954"/>
      <c r="X102" s="2954"/>
      <c r="Y102" s="2954"/>
      <c r="Z102" s="2954"/>
      <c r="AA102" s="2954"/>
      <c r="AB102" s="2954"/>
      <c r="AC102" s="2954"/>
    </row>
    <row r="103" spans="1:29" ht="15" thickTop="1">
      <c r="N103" s="2954"/>
      <c r="O103" s="2954"/>
      <c r="P103" s="2985"/>
      <c r="Q103" s="2954"/>
      <c r="R103" s="2954"/>
      <c r="S103" s="2954"/>
      <c r="T103" s="2954"/>
      <c r="U103" s="2954"/>
      <c r="V103" s="2954"/>
      <c r="W103" s="2954"/>
      <c r="X103" s="2954"/>
      <c r="Y103" s="2954"/>
      <c r="Z103" s="2954"/>
      <c r="AA103" s="2954"/>
      <c r="AB103" s="2954"/>
      <c r="AC103" s="295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95" priority="18" stopIfTrue="1" operator="containsText" text="超过">
      <formula>NOT(ISERROR(SEARCH("超过",F42)))</formula>
    </cfRule>
  </conditionalFormatting>
  <conditionalFormatting sqref="J44">
    <cfRule type="containsText" dxfId="94" priority="17" stopIfTrue="1" operator="containsText" text="超过">
      <formula>NOT(ISERROR(SEARCH("超过",J44)))</formula>
    </cfRule>
  </conditionalFormatting>
  <conditionalFormatting sqref="H44">
    <cfRule type="containsText" dxfId="93" priority="16" stopIfTrue="1" operator="containsText" text="超过">
      <formula>NOT(ISERROR(SEARCH("超过",H44)))</formula>
    </cfRule>
  </conditionalFormatting>
  <conditionalFormatting sqref="F44">
    <cfRule type="containsText" dxfId="92" priority="15" stopIfTrue="1" operator="containsText" text="超过">
      <formula>NOT(ISERROR(SEARCH("超过",F44)))</formula>
    </cfRule>
  </conditionalFormatting>
  <conditionalFormatting sqref="F43 H43 J43">
    <cfRule type="containsText" dxfId="91" priority="14" stopIfTrue="1" operator="containsText" text="超过">
      <formula>NOT(ISERROR(SEARCH("超过",F43)))</formula>
    </cfRule>
  </conditionalFormatting>
  <conditionalFormatting sqref="E42">
    <cfRule type="expression" dxfId="90" priority="13" stopIfTrue="1">
      <formula>$F$42="超过30%"</formula>
    </cfRule>
  </conditionalFormatting>
  <conditionalFormatting sqref="G44">
    <cfRule type="expression" dxfId="89" priority="12" stopIfTrue="1">
      <formula>$H$54+$H$44="超过30%"</formula>
    </cfRule>
  </conditionalFormatting>
  <conditionalFormatting sqref="E43">
    <cfRule type="expression" dxfId="88" priority="11" stopIfTrue="1">
      <formula>$F$43="超过20%"</formula>
    </cfRule>
  </conditionalFormatting>
  <conditionalFormatting sqref="E44">
    <cfRule type="expression" dxfId="87" priority="10" stopIfTrue="1">
      <formula>$F$44="超过30%"</formula>
    </cfRule>
  </conditionalFormatting>
  <conditionalFormatting sqref="G42">
    <cfRule type="expression" dxfId="86" priority="9" stopIfTrue="1">
      <formula>$H$52+$H$42="超过30%"</formula>
    </cfRule>
  </conditionalFormatting>
  <conditionalFormatting sqref="G43">
    <cfRule type="expression" dxfId="85" priority="8" stopIfTrue="1">
      <formula>$H$43="超过20%"</formula>
    </cfRule>
  </conditionalFormatting>
  <conditionalFormatting sqref="I42">
    <cfRule type="expression" dxfId="84" priority="7" stopIfTrue="1">
      <formula>$J$52+$J$42="超过30%"</formula>
    </cfRule>
  </conditionalFormatting>
  <conditionalFormatting sqref="I43">
    <cfRule type="expression" dxfId="83" priority="6" stopIfTrue="1">
      <formula>$J$53+$J$43="超过20%"</formula>
    </cfRule>
  </conditionalFormatting>
  <conditionalFormatting sqref="I44">
    <cfRule type="expression" dxfId="82" priority="5" stopIfTrue="1">
      <formula>$J$44="超过30%"</formula>
    </cfRule>
  </conditionalFormatting>
  <conditionalFormatting sqref="F38">
    <cfRule type="expression" dxfId="81" priority="4">
      <formula>$D$38="简单平均"</formula>
    </cfRule>
  </conditionalFormatting>
  <conditionalFormatting sqref="H38">
    <cfRule type="expression" dxfId="80" priority="3">
      <formula>$D$38="简单平均"</formula>
    </cfRule>
  </conditionalFormatting>
  <conditionalFormatting sqref="J38">
    <cfRule type="expression" dxfId="79" priority="2">
      <formula>$D$38="简单平均"</formula>
    </cfRule>
  </conditionalFormatting>
  <conditionalFormatting sqref="F7:F36 H7:H36 J7:J36">
    <cfRule type="cellIs" dxfId="78" priority="1" operator="notEqual">
      <formula>100</formula>
    </cfRule>
  </conditionalFormatting>
  <dataValidations count="20">
    <dataValidation type="list" allowBlank="1" showInputMessage="1" showErrorMessage="1" sqref="C10 E10 G10 I10" xr:uid="{00000000-0002-0000-1E00-000000000000}">
      <formula1>土地年限区间</formula1>
    </dataValidation>
    <dataValidation type="list" allowBlank="1" showInputMessage="1" showErrorMessage="1" sqref="D1" xr:uid="{00000000-0002-0000-1E00-000001000000}">
      <formula1>项目类型</formula1>
    </dataValidation>
    <dataValidation type="list" allowBlank="1" showInputMessage="1" showErrorMessage="1" sqref="G17 C17 E17 I17" xr:uid="{00000000-0002-0000-1E00-000002000000}">
      <formula1>公共配套设施</formula1>
    </dataValidation>
    <dataValidation type="list" allowBlank="1" showInputMessage="1" showErrorMessage="1" sqref="G15 E15 C15 I15" xr:uid="{00000000-0002-0000-1E00-000003000000}">
      <formula1>交通便捷度</formula1>
    </dataValidation>
    <dataValidation type="list" allowBlank="1" showInputMessage="1" showErrorMessage="1" sqref="C8 E8 G8 I8" xr:uid="{00000000-0002-0000-1E00-000004000000}">
      <formula1>车位交易情况</formula1>
    </dataValidation>
    <dataValidation type="list" allowBlank="1" showInputMessage="1" showErrorMessage="1" sqref="E9 G9 I9" xr:uid="{00000000-0002-0000-1E00-000005000000}">
      <formula1>车位用途</formula1>
    </dataValidation>
    <dataValidation type="list" allowBlank="1" showInputMessage="1" showErrorMessage="1" sqref="C22 E22 G22 I22" xr:uid="{00000000-0002-0000-1E00-000006000000}">
      <formula1>车位楼层</formula1>
    </dataValidation>
    <dataValidation type="list" allowBlank="1" showInputMessage="1" showErrorMessage="1" sqref="C30 E30 G30 I30" xr:uid="{00000000-0002-0000-1E00-000007000000}">
      <formula1>车位物业等级</formula1>
    </dataValidation>
    <dataValidation type="list" allowBlank="1" showInputMessage="1" showErrorMessage="1" sqref="C32 E32 G32 I32" xr:uid="{00000000-0002-0000-1E00-000008000000}">
      <formula1>车位类型</formula1>
    </dataValidation>
    <dataValidation type="list" allowBlank="1" showInputMessage="1" showErrorMessage="1" sqref="C33 E33 G33 I33" xr:uid="{00000000-0002-0000-1E00-000009000000}">
      <formula1>是否直接入户</formula1>
    </dataValidation>
    <dataValidation type="list" allowBlank="1" showInputMessage="1" showErrorMessage="1" sqref="B1" xr:uid="{00000000-0002-0000-1E00-00000A000000}">
      <formula1>地类判定</formula1>
    </dataValidation>
    <dataValidation type="list" allowBlank="1" showInputMessage="1" showErrorMessage="1" sqref="I26 E26 G26" xr:uid="{00000000-0002-0000-1E00-00000B000000}">
      <formula1>车位配套类型</formula1>
    </dataValidation>
    <dataValidation type="list" allowBlank="1" showInputMessage="1" showErrorMessage="1" sqref="C28 E28 G28 I28" xr:uid="{00000000-0002-0000-1E00-00000C000000}">
      <formula1>车位公共部分装修</formula1>
    </dataValidation>
    <dataValidation type="list" allowBlank="1" showInputMessage="1" showErrorMessage="1" sqref="B37" xr:uid="{00000000-0002-0000-1E00-00000D000000}">
      <formula1>"元/平方米,元/车位"</formula1>
    </dataValidation>
    <dataValidation type="list" allowBlank="1" showInputMessage="1" showErrorMessage="1" sqref="C21 E21 G21 I21" xr:uid="{00000000-0002-0000-1E00-00000E000000}">
      <formula1>环境</formula1>
    </dataValidation>
    <dataValidation type="list" allowBlank="1" showInputMessage="1" showErrorMessage="1" sqref="C19 E19 G19 I19" xr:uid="{00000000-0002-0000-1E00-00000F000000}">
      <formula1>基础设施水平</formula1>
    </dataValidation>
    <dataValidation type="list" allowBlank="1" showInputMessage="1" showErrorMessage="1" sqref="F1" xr:uid="{00000000-0002-0000-1E00-000010000000}">
      <formula1>"售价,租金"</formula1>
    </dataValidation>
    <dataValidation type="list" allowBlank="1" showInputMessage="1" showErrorMessage="1" sqref="C2" xr:uid="{00000000-0002-0000-1E00-000011000000}">
      <formula1>"需扣减承租人权益,——"</formula1>
    </dataValidation>
    <dataValidation type="list" allowBlank="1" showInputMessage="1" showErrorMessage="1" sqref="F2" xr:uid="{00000000-0002-0000-1E00-000012000000}">
      <formula1>估价方法</formula1>
    </dataValidation>
    <dataValidation type="list" allowBlank="1" showInputMessage="1" showErrorMessage="1" sqref="D38" xr:uid="{00000000-0002-0000-1E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view="pageBreakPreview" zoomScale="60" zoomScaleNormal="70" workbookViewId="0">
      <selection activeCell="D30" activeCellId="1" sqref="H5 D30"/>
    </sheetView>
  </sheetViews>
  <sheetFormatPr defaultColWidth="9" defaultRowHeight="14.25"/>
  <cols>
    <col min="1" max="1" width="10.5" style="363" customWidth="1"/>
    <col min="2" max="2" width="15.62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363"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1401" customFormat="1" ht="28.5" customHeight="1" thickBot="1">
      <c r="A1" s="1390" t="s">
        <v>2528</v>
      </c>
      <c r="B1" s="1391"/>
      <c r="C1" s="1392" t="s">
        <v>2351</v>
      </c>
      <c r="D1" s="1393"/>
      <c r="E1" s="1402"/>
      <c r="F1" s="2065"/>
      <c r="G1" s="1403" t="s">
        <v>2464</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2148</v>
      </c>
      <c r="B2" s="1326" t="e">
        <f ca="1">IF(C2="——",ROUND(C37*D3/10000,0),ROUND(C37*D3/10000,0)-D2)</f>
        <v>#DIV/0!</v>
      </c>
      <c r="C2" s="2067"/>
      <c r="D2" s="1038" t="e">
        <f ca="1">SUMIF(INDIRECT("'"&amp;F2&amp;"'"&amp;"!A:A"),"承租人权益价值",INDIRECT("'"&amp;F2&amp;"'"&amp;"!c:c"))</f>
        <v>#REF!</v>
      </c>
      <c r="E2" s="2068" t="s">
        <v>2149</v>
      </c>
      <c r="F2" s="2069"/>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925" t="s">
        <v>2467</v>
      </c>
      <c r="D4" s="3926"/>
      <c r="E4" s="3927" t="s">
        <v>2468</v>
      </c>
      <c r="F4" s="3928"/>
      <c r="G4" s="3925" t="s">
        <v>2469</v>
      </c>
      <c r="H4" s="3926"/>
      <c r="I4" s="3925" t="s">
        <v>2470</v>
      </c>
      <c r="J4" s="3926"/>
      <c r="K4" s="567" t="s">
        <v>2471</v>
      </c>
      <c r="L4" s="2944"/>
      <c r="M4" s="2945"/>
      <c r="N4" s="2945"/>
      <c r="O4" s="2945"/>
      <c r="P4" s="3929" t="s">
        <v>2472</v>
      </c>
      <c r="Q4" s="3930"/>
      <c r="R4" s="3935" t="s">
        <v>2468</v>
      </c>
      <c r="S4" s="3936"/>
      <c r="T4" s="3935" t="s">
        <v>2469</v>
      </c>
      <c r="U4" s="3936"/>
      <c r="V4" s="3941" t="s">
        <v>2470</v>
      </c>
      <c r="W4" s="3941"/>
      <c r="X4" s="1539"/>
      <c r="Y4" s="3935" t="s">
        <v>2472</v>
      </c>
      <c r="Z4" s="3936"/>
      <c r="AA4" s="3922" t="s">
        <v>2468</v>
      </c>
      <c r="AB4" s="3923" t="s">
        <v>2469</v>
      </c>
      <c r="AC4" s="3922" t="s">
        <v>2470</v>
      </c>
    </row>
    <row r="5" spans="1:29" ht="15">
      <c r="A5" s="364"/>
      <c r="B5" s="365"/>
      <c r="C5" s="3944" t="s">
        <v>2363</v>
      </c>
      <c r="D5" s="3945"/>
      <c r="E5" s="3951" t="s">
        <v>2364</v>
      </c>
      <c r="F5" s="3952"/>
      <c r="G5" s="3944" t="s">
        <v>2365</v>
      </c>
      <c r="H5" s="3945"/>
      <c r="I5" s="3944" t="s">
        <v>2366</v>
      </c>
      <c r="J5" s="3945"/>
      <c r="K5" s="567"/>
      <c r="L5" s="2944"/>
      <c r="M5" s="2945"/>
      <c r="N5" s="2945"/>
      <c r="O5" s="2945"/>
      <c r="P5" s="3931"/>
      <c r="Q5" s="3932"/>
      <c r="R5" s="3937"/>
      <c r="S5" s="3938"/>
      <c r="T5" s="3937"/>
      <c r="U5" s="3938"/>
      <c r="V5" s="3941"/>
      <c r="W5" s="3941"/>
      <c r="X5" s="1539"/>
      <c r="Y5" s="3937"/>
      <c r="Z5" s="3938"/>
      <c r="AA5" s="3923"/>
      <c r="AB5" s="3923"/>
      <c r="AC5" s="3923"/>
    </row>
    <row r="6" spans="1:29" ht="15.75" thickBot="1">
      <c r="A6" s="366"/>
      <c r="B6" s="367"/>
      <c r="C6" s="3942" t="s">
        <v>2367</v>
      </c>
      <c r="D6" s="3943"/>
      <c r="E6" s="3949" t="s">
        <v>2367</v>
      </c>
      <c r="F6" s="3950"/>
      <c r="G6" s="3942" t="s">
        <v>2367</v>
      </c>
      <c r="H6" s="3943"/>
      <c r="I6" s="3942" t="s">
        <v>2367</v>
      </c>
      <c r="J6" s="3943"/>
      <c r="K6" s="567" t="s">
        <v>2368</v>
      </c>
      <c r="L6" s="2944"/>
      <c r="M6" s="2945"/>
      <c r="N6" s="2945"/>
      <c r="O6" s="2945"/>
      <c r="P6" s="3933"/>
      <c r="Q6" s="3934"/>
      <c r="R6" s="3937"/>
      <c r="S6" s="3938"/>
      <c r="T6" s="3939"/>
      <c r="U6" s="3940"/>
      <c r="V6" s="3941"/>
      <c r="W6" s="3941"/>
      <c r="X6" s="1539"/>
      <c r="Y6" s="3939"/>
      <c r="Z6" s="3940"/>
      <c r="AA6" s="3924"/>
      <c r="AB6" s="3924"/>
      <c r="AC6" s="3924"/>
    </row>
    <row r="7" spans="1:29" s="113" customFormat="1" ht="15.75" thickBot="1">
      <c r="A7" s="368" t="s">
        <v>2369</v>
      </c>
      <c r="B7" s="369"/>
      <c r="C7" s="370">
        <f>'数据-取费表'!B2</f>
        <v>44357</v>
      </c>
      <c r="D7" s="371">
        <v>100</v>
      </c>
      <c r="E7" s="372"/>
      <c r="F7" s="373">
        <f>SUMIF(46:46,YEAR(E7)&amp;"-"&amp;MONTH(E7),47:47)</f>
        <v>0</v>
      </c>
      <c r="G7" s="2160"/>
      <c r="H7" s="371">
        <f>SUMIF(46:46,YEAR(G7)&amp;"-"&amp;MONTH(G7),47:47)</f>
        <v>0</v>
      </c>
      <c r="I7" s="372"/>
      <c r="J7" s="371">
        <f>SUMIF(46:46,YEAR(I7)&amp;"-"&amp;MONTH(I7),47:47)</f>
        <v>0</v>
      </c>
      <c r="K7" s="568"/>
      <c r="L7" s="2946"/>
      <c r="M7" s="2947"/>
      <c r="N7" s="2947"/>
      <c r="O7" s="2947"/>
      <c r="P7" s="3946" t="s">
        <v>2370</v>
      </c>
      <c r="Q7" s="3948"/>
      <c r="R7" s="710" t="s">
        <v>17</v>
      </c>
      <c r="S7" s="711">
        <f t="shared" ref="S7:S14" si="0">F7</f>
        <v>0</v>
      </c>
      <c r="T7" s="710" t="s">
        <v>17</v>
      </c>
      <c r="U7" s="711">
        <f t="shared" ref="U7:U14" si="1">H7</f>
        <v>0</v>
      </c>
      <c r="V7" s="710" t="s">
        <v>17</v>
      </c>
      <c r="W7" s="711">
        <f t="shared" ref="W7:W14" si="2">J7</f>
        <v>0</v>
      </c>
      <c r="X7" s="712"/>
      <c r="Y7" s="3946" t="s">
        <v>2370</v>
      </c>
      <c r="Z7" s="3947"/>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6"/>
      <c r="M8" s="2947"/>
      <c r="N8" s="2947"/>
      <c r="O8" s="2947"/>
      <c r="P8" s="3946" t="s">
        <v>2373</v>
      </c>
      <c r="Q8" s="3947"/>
      <c r="R8" s="710" t="s">
        <v>17</v>
      </c>
      <c r="S8" s="711">
        <f t="shared" si="0"/>
        <v>0</v>
      </c>
      <c r="T8" s="710" t="s">
        <v>17</v>
      </c>
      <c r="U8" s="711">
        <f t="shared" si="1"/>
        <v>0</v>
      </c>
      <c r="V8" s="710" t="s">
        <v>17</v>
      </c>
      <c r="W8" s="711">
        <f t="shared" si="2"/>
        <v>0</v>
      </c>
      <c r="X8" s="712"/>
      <c r="Y8" s="3946" t="s">
        <v>2373</v>
      </c>
      <c r="Z8" s="3947"/>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6"/>
      <c r="M9" s="2947"/>
      <c r="N9" s="2947"/>
      <c r="O9" s="3001"/>
      <c r="P9" s="3910" t="s">
        <v>2376</v>
      </c>
      <c r="Q9" s="1527" t="str">
        <f t="shared" ref="Q9:Q14" si="6">B9</f>
        <v>用途</v>
      </c>
      <c r="R9" s="710" t="s">
        <v>17</v>
      </c>
      <c r="S9" s="711">
        <f t="shared" si="0"/>
        <v>100</v>
      </c>
      <c r="T9" s="710" t="s">
        <v>17</v>
      </c>
      <c r="U9" s="711">
        <f t="shared" si="1"/>
        <v>100</v>
      </c>
      <c r="V9" s="710" t="s">
        <v>17</v>
      </c>
      <c r="W9" s="711">
        <f t="shared" si="2"/>
        <v>100</v>
      </c>
      <c r="X9" s="712"/>
      <c r="Y9" s="3780"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8"/>
      <c r="M10" s="2949"/>
      <c r="N10" s="2949"/>
      <c r="O10" s="3002"/>
      <c r="P10" s="3910"/>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50"/>
      <c r="M11" s="2945"/>
      <c r="N11" s="2945"/>
      <c r="O11" s="3003"/>
      <c r="P11" s="3910"/>
      <c r="Q11" s="1527">
        <f t="shared" si="6"/>
        <v>111</v>
      </c>
      <c r="R11" s="710" t="s">
        <v>17</v>
      </c>
      <c r="S11" s="711">
        <f t="shared" si="0"/>
        <v>100</v>
      </c>
      <c r="T11" s="710" t="s">
        <v>17</v>
      </c>
      <c r="U11" s="711">
        <f t="shared" si="1"/>
        <v>100</v>
      </c>
      <c r="V11" s="710" t="s">
        <v>17</v>
      </c>
      <c r="W11" s="711">
        <f t="shared" si="2"/>
        <v>100</v>
      </c>
      <c r="X11" s="712"/>
      <c r="Y11" s="3780"/>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6"/>
      <c r="M12" s="2947"/>
      <c r="N12" s="2947"/>
      <c r="O12" s="3001"/>
      <c r="P12" s="3910"/>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51"/>
      <c r="M13" s="2945"/>
      <c r="N13" s="2945"/>
      <c r="O13" s="3003"/>
      <c r="P13" s="3910"/>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1"/>
      <c r="M14" s="2945"/>
      <c r="N14" s="2945"/>
      <c r="O14" s="3003"/>
      <c r="P14" s="3912" t="s">
        <v>2381</v>
      </c>
      <c r="Q14" s="1536" t="str">
        <f t="shared" si="6"/>
        <v>交通便捷度</v>
      </c>
      <c r="R14" s="714" t="s">
        <v>17</v>
      </c>
      <c r="S14" s="715">
        <f t="shared" si="0"/>
        <v>100</v>
      </c>
      <c r="T14" s="714" t="s">
        <v>17</v>
      </c>
      <c r="U14" s="715">
        <f t="shared" si="1"/>
        <v>100</v>
      </c>
      <c r="V14" s="714" t="s">
        <v>17</v>
      </c>
      <c r="W14" s="715">
        <f t="shared" si="2"/>
        <v>100</v>
      </c>
      <c r="X14" s="1539"/>
      <c r="Y14" s="3912"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51"/>
      <c r="M15" s="2945"/>
      <c r="N15" s="2945"/>
      <c r="O15" s="3003"/>
      <c r="P15" s="3913"/>
      <c r="Q15" s="1536"/>
      <c r="R15" s="714"/>
      <c r="S15" s="715"/>
      <c r="T15" s="714"/>
      <c r="U15" s="715"/>
      <c r="V15" s="714"/>
      <c r="W15" s="715"/>
      <c r="X15" s="1539"/>
      <c r="Y15" s="3913"/>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1"/>
      <c r="M16" s="2945"/>
      <c r="N16" s="2945"/>
      <c r="O16" s="3003"/>
      <c r="P16" s="3913"/>
      <c r="Q16" s="1536" t="str">
        <f>B16</f>
        <v>公共配套设施</v>
      </c>
      <c r="R16" s="714" t="s">
        <v>17</v>
      </c>
      <c r="S16" s="715">
        <f>F16</f>
        <v>100</v>
      </c>
      <c r="T16" s="714" t="s">
        <v>17</v>
      </c>
      <c r="U16" s="715">
        <f>H16</f>
        <v>100</v>
      </c>
      <c r="V16" s="714" t="s">
        <v>17</v>
      </c>
      <c r="W16" s="715">
        <f>J16</f>
        <v>100</v>
      </c>
      <c r="X16" s="1539"/>
      <c r="Y16" s="3913"/>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51"/>
      <c r="M17" s="2945"/>
      <c r="N17" s="2945"/>
      <c r="O17" s="3003"/>
      <c r="P17" s="3913"/>
      <c r="Q17" s="1536"/>
      <c r="R17" s="714"/>
      <c r="S17" s="715"/>
      <c r="T17" s="714"/>
      <c r="U17" s="715"/>
      <c r="V17" s="714"/>
      <c r="W17" s="715"/>
      <c r="X17" s="1539"/>
      <c r="Y17" s="3913"/>
      <c r="Z17" s="1540"/>
      <c r="AA17" s="1537">
        <v>1</v>
      </c>
      <c r="AB17" s="1537">
        <v>1</v>
      </c>
      <c r="AC17" s="1537">
        <v>1</v>
      </c>
    </row>
    <row r="18" spans="1:29" ht="28.5">
      <c r="A18" s="387"/>
      <c r="B18" s="1293"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1"/>
      <c r="M18" s="2945"/>
      <c r="N18" s="2945"/>
      <c r="O18" s="3003"/>
      <c r="P18" s="3913"/>
      <c r="Q18" s="1536" t="str">
        <f>B18</f>
        <v>基础设施水平</v>
      </c>
      <c r="R18" s="714" t="s">
        <v>17</v>
      </c>
      <c r="S18" s="715">
        <f>F18</f>
        <v>100</v>
      </c>
      <c r="T18" s="714" t="s">
        <v>17</v>
      </c>
      <c r="U18" s="715">
        <f>H18</f>
        <v>100</v>
      </c>
      <c r="V18" s="714" t="s">
        <v>17</v>
      </c>
      <c r="W18" s="715">
        <f>J18</f>
        <v>100</v>
      </c>
      <c r="X18" s="1539"/>
      <c r="Y18" s="3913"/>
      <c r="Z18" s="1540" t="str">
        <f>Q18</f>
        <v>基础设施水平</v>
      </c>
      <c r="AA18" s="1537">
        <f t="shared" ref="AA18" si="8">D18/F18</f>
        <v>1</v>
      </c>
      <c r="AB18" s="1537">
        <f t="shared" ref="AB18" si="9">D18/H18</f>
        <v>1</v>
      </c>
      <c r="AC18" s="1537">
        <f t="shared" ref="AC18" si="10">D18/J18</f>
        <v>1</v>
      </c>
    </row>
    <row r="19" spans="1:29" ht="15">
      <c r="A19" s="387"/>
      <c r="B19" s="1293"/>
      <c r="C19" s="2087"/>
      <c r="D19" s="409"/>
      <c r="E19" s="2087"/>
      <c r="F19" s="412"/>
      <c r="G19" s="2087"/>
      <c r="H19" s="407"/>
      <c r="I19" s="406"/>
      <c r="J19" s="407"/>
      <c r="K19" s="1292"/>
      <c r="L19" s="2951"/>
      <c r="M19" s="2945"/>
      <c r="N19" s="2945"/>
      <c r="O19" s="3003"/>
      <c r="P19" s="3913"/>
      <c r="Q19" s="1536"/>
      <c r="R19" s="714"/>
      <c r="S19" s="715"/>
      <c r="T19" s="714"/>
      <c r="U19" s="715"/>
      <c r="V19" s="714"/>
      <c r="W19" s="715"/>
      <c r="X19" s="1539"/>
      <c r="Y19" s="3913"/>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1"/>
      <c r="M20" s="2945"/>
      <c r="N20" s="2945"/>
      <c r="O20" s="3003"/>
      <c r="P20" s="3913"/>
      <c r="Q20" s="1536" t="str">
        <f>B20</f>
        <v>自然及人文环境</v>
      </c>
      <c r="R20" s="714" t="s">
        <v>17</v>
      </c>
      <c r="S20" s="715">
        <f>F20</f>
        <v>100</v>
      </c>
      <c r="T20" s="714" t="s">
        <v>17</v>
      </c>
      <c r="U20" s="715">
        <f>H20</f>
        <v>100</v>
      </c>
      <c r="V20" s="714" t="s">
        <v>17</v>
      </c>
      <c r="W20" s="715">
        <f>J20</f>
        <v>100</v>
      </c>
      <c r="X20" s="1539"/>
      <c r="Y20" s="3913"/>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51"/>
      <c r="M21" s="2945"/>
      <c r="N21" s="2945"/>
      <c r="O21" s="3003"/>
      <c r="P21" s="3913"/>
      <c r="Q21" s="1536"/>
      <c r="R21" s="714"/>
      <c r="S21" s="715"/>
      <c r="T21" s="714"/>
      <c r="U21" s="715"/>
      <c r="V21" s="714"/>
      <c r="W21" s="715"/>
      <c r="X21" s="1539"/>
      <c r="Y21" s="3913"/>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51"/>
      <c r="M22" s="2945"/>
      <c r="N22" s="2945"/>
      <c r="O22" s="3003"/>
      <c r="P22" s="3913"/>
      <c r="Q22" s="1536" t="str">
        <f>B22</f>
        <v>楼层</v>
      </c>
      <c r="R22" s="714" t="s">
        <v>17</v>
      </c>
      <c r="S22" s="715">
        <f>F22</f>
        <v>100</v>
      </c>
      <c r="T22" s="714" t="s">
        <v>17</v>
      </c>
      <c r="U22" s="715">
        <f>H22</f>
        <v>100</v>
      </c>
      <c r="V22" s="714" t="s">
        <v>17</v>
      </c>
      <c r="W22" s="715">
        <f>J22</f>
        <v>100</v>
      </c>
      <c r="X22" s="1539"/>
      <c r="Y22" s="3913"/>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51"/>
      <c r="M23" s="2945"/>
      <c r="N23" s="2945"/>
      <c r="O23" s="3003"/>
      <c r="P23" s="3913"/>
      <c r="Q23" s="1536">
        <f>B23</f>
        <v>111</v>
      </c>
      <c r="R23" s="714" t="s">
        <v>17</v>
      </c>
      <c r="S23" s="715">
        <f>F23</f>
        <v>100</v>
      </c>
      <c r="T23" s="714" t="s">
        <v>17</v>
      </c>
      <c r="U23" s="715">
        <f>H23</f>
        <v>100</v>
      </c>
      <c r="V23" s="714" t="s">
        <v>17</v>
      </c>
      <c r="W23" s="715">
        <f>J23</f>
        <v>100</v>
      </c>
      <c r="X23" s="1539"/>
      <c r="Y23" s="3913"/>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51"/>
      <c r="M24" s="2945"/>
      <c r="N24" s="2945"/>
      <c r="O24" s="3003"/>
      <c r="P24" s="3913"/>
      <c r="Q24" s="1536">
        <f t="shared" ref="Q24:Q34" si="11">B24</f>
        <v>111</v>
      </c>
      <c r="R24" s="714" t="s">
        <v>17</v>
      </c>
      <c r="S24" s="715">
        <f>F24</f>
        <v>100</v>
      </c>
      <c r="T24" s="714" t="s">
        <v>17</v>
      </c>
      <c r="U24" s="715">
        <f>H24</f>
        <v>100</v>
      </c>
      <c r="V24" s="714" t="s">
        <v>17</v>
      </c>
      <c r="W24" s="715">
        <f>J24</f>
        <v>100</v>
      </c>
      <c r="X24" s="1539"/>
      <c r="Y24" s="3913"/>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6"/>
      <c r="M25" s="2947"/>
      <c r="N25" s="2947"/>
      <c r="O25" s="3001"/>
      <c r="P25" s="3913"/>
      <c r="Q25" s="1527">
        <f t="shared" si="11"/>
        <v>111</v>
      </c>
      <c r="R25" s="710" t="s">
        <v>17</v>
      </c>
      <c r="S25" s="711">
        <f>F25</f>
        <v>100</v>
      </c>
      <c r="T25" s="710" t="s">
        <v>17</v>
      </c>
      <c r="U25" s="711">
        <f>H25</f>
        <v>100</v>
      </c>
      <c r="V25" s="710" t="s">
        <v>17</v>
      </c>
      <c r="W25" s="711">
        <f>J25</f>
        <v>100</v>
      </c>
      <c r="X25" s="712"/>
      <c r="Y25" s="3913"/>
      <c r="Z25" s="55">
        <f>Q25</f>
        <v>111</v>
      </c>
      <c r="AA25" s="1537">
        <f>D25/F25</f>
        <v>1</v>
      </c>
      <c r="AB25" s="1537">
        <f>D25/H25</f>
        <v>1</v>
      </c>
      <c r="AC25" s="1537">
        <f>D25/J25</f>
        <v>1</v>
      </c>
    </row>
    <row r="26" spans="1:29" ht="29.2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51"/>
      <c r="M26" s="2945"/>
      <c r="N26" s="2945"/>
      <c r="O26" s="3003"/>
      <c r="P26" s="3968"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917"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0"/>
      <c r="M27" s="2952"/>
      <c r="N27" s="2952"/>
      <c r="O27" s="3004"/>
      <c r="P27" s="3917"/>
      <c r="Q27" s="716" t="str">
        <f t="shared" si="11"/>
        <v>成新率</v>
      </c>
      <c r="R27" s="717" t="s">
        <v>17</v>
      </c>
      <c r="S27" s="718" t="e">
        <f t="shared" si="12"/>
        <v>#N/A</v>
      </c>
      <c r="T27" s="717" t="s">
        <v>17</v>
      </c>
      <c r="U27" s="718" t="e">
        <f t="shared" si="13"/>
        <v>#N/A</v>
      </c>
      <c r="V27" s="717" t="s">
        <v>17</v>
      </c>
      <c r="W27" s="718" t="e">
        <f t="shared" si="14"/>
        <v>#N/A</v>
      </c>
      <c r="X27" s="719"/>
      <c r="Y27" s="3917"/>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51"/>
      <c r="M28" s="2945"/>
      <c r="N28" s="2945"/>
      <c r="O28" s="3003"/>
      <c r="P28" s="3917"/>
      <c r="Q28" s="1536" t="str">
        <f t="shared" si="11"/>
        <v>物业等级</v>
      </c>
      <c r="R28" s="714" t="s">
        <v>17</v>
      </c>
      <c r="S28" s="715">
        <f t="shared" si="12"/>
        <v>100</v>
      </c>
      <c r="T28" s="714" t="s">
        <v>17</v>
      </c>
      <c r="U28" s="715">
        <f t="shared" si="13"/>
        <v>100</v>
      </c>
      <c r="V28" s="714" t="s">
        <v>17</v>
      </c>
      <c r="W28" s="715">
        <f t="shared" si="14"/>
        <v>100</v>
      </c>
      <c r="X28" s="1539"/>
      <c r="Y28" s="3917"/>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51"/>
      <c r="M29" s="2945"/>
      <c r="N29" s="2945"/>
      <c r="O29" s="3003"/>
      <c r="P29" s="3917"/>
      <c r="Q29" s="1536" t="str">
        <f t="shared" si="11"/>
        <v>有无电梯</v>
      </c>
      <c r="R29" s="714" t="s">
        <v>17</v>
      </c>
      <c r="S29" s="715">
        <f t="shared" si="12"/>
        <v>100</v>
      </c>
      <c r="T29" s="714" t="s">
        <v>17</v>
      </c>
      <c r="U29" s="715">
        <f t="shared" si="13"/>
        <v>100</v>
      </c>
      <c r="V29" s="714" t="s">
        <v>17</v>
      </c>
      <c r="W29" s="715">
        <f t="shared" si="14"/>
        <v>100</v>
      </c>
      <c r="X29" s="1539"/>
      <c r="Y29" s="3917"/>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1"/>
      <c r="M30" s="2945"/>
      <c r="N30" s="2945"/>
      <c r="O30" s="3003"/>
      <c r="P30" s="3917"/>
      <c r="Q30" s="1536" t="str">
        <f t="shared" si="11"/>
        <v>建筑面积</v>
      </c>
      <c r="R30" s="714" t="s">
        <v>17</v>
      </c>
      <c r="S30" s="715" t="e">
        <f t="shared" si="12"/>
        <v>#N/A</v>
      </c>
      <c r="T30" s="714" t="s">
        <v>17</v>
      </c>
      <c r="U30" s="715" t="e">
        <f t="shared" si="13"/>
        <v>#N/A</v>
      </c>
      <c r="V30" s="714" t="s">
        <v>17</v>
      </c>
      <c r="W30" s="715" t="e">
        <f t="shared" si="14"/>
        <v>#N/A</v>
      </c>
      <c r="X30" s="1539"/>
      <c r="Y30" s="3917"/>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6"/>
      <c r="M31" s="2947"/>
      <c r="N31" s="2947"/>
      <c r="O31" s="3001"/>
      <c r="P31" s="3917"/>
      <c r="Q31" s="1527" t="str">
        <f t="shared" si="11"/>
        <v>是否封闭</v>
      </c>
      <c r="R31" s="710" t="s">
        <v>17</v>
      </c>
      <c r="S31" s="711">
        <f t="shared" si="12"/>
        <v>100</v>
      </c>
      <c r="T31" s="710" t="s">
        <v>17</v>
      </c>
      <c r="U31" s="711">
        <f t="shared" si="13"/>
        <v>100</v>
      </c>
      <c r="V31" s="710" t="s">
        <v>17</v>
      </c>
      <c r="W31" s="711">
        <f t="shared" si="14"/>
        <v>100</v>
      </c>
      <c r="X31" s="712"/>
      <c r="Y31" s="3917"/>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51"/>
      <c r="M32" s="2945"/>
      <c r="N32" s="2945"/>
      <c r="O32" s="3003"/>
      <c r="P32" s="3917" t="s">
        <v>2386</v>
      </c>
      <c r="Q32" s="1536">
        <f t="shared" si="11"/>
        <v>111</v>
      </c>
      <c r="R32" s="714" t="s">
        <v>17</v>
      </c>
      <c r="S32" s="715">
        <f t="shared" si="12"/>
        <v>100</v>
      </c>
      <c r="T32" s="714" t="s">
        <v>17</v>
      </c>
      <c r="U32" s="715">
        <f t="shared" si="13"/>
        <v>100</v>
      </c>
      <c r="V32" s="714" t="s">
        <v>17</v>
      </c>
      <c r="W32" s="715">
        <f t="shared" si="14"/>
        <v>100</v>
      </c>
      <c r="X32" s="1539"/>
      <c r="Y32" s="3917"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51"/>
      <c r="M33" s="2945"/>
      <c r="N33" s="2945"/>
      <c r="O33" s="3003"/>
      <c r="P33" s="3917"/>
      <c r="Q33" s="1536">
        <f t="shared" si="11"/>
        <v>111</v>
      </c>
      <c r="R33" s="714" t="s">
        <v>17</v>
      </c>
      <c r="S33" s="715">
        <f t="shared" si="12"/>
        <v>100</v>
      </c>
      <c r="T33" s="714" t="s">
        <v>17</v>
      </c>
      <c r="U33" s="715">
        <f t="shared" si="13"/>
        <v>100</v>
      </c>
      <c r="V33" s="714" t="s">
        <v>17</v>
      </c>
      <c r="W33" s="715">
        <f t="shared" si="14"/>
        <v>100</v>
      </c>
      <c r="X33" s="1539"/>
      <c r="Y33" s="3917"/>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51"/>
      <c r="M34" s="2945"/>
      <c r="N34" s="2945"/>
      <c r="O34" s="3003"/>
      <c r="P34" s="3917"/>
      <c r="Q34" s="1536">
        <f t="shared" si="11"/>
        <v>111</v>
      </c>
      <c r="R34" s="714" t="s">
        <v>17</v>
      </c>
      <c r="S34" s="715">
        <f t="shared" si="12"/>
        <v>100</v>
      </c>
      <c r="T34" s="714" t="s">
        <v>17</v>
      </c>
      <c r="U34" s="715">
        <f t="shared" si="13"/>
        <v>100</v>
      </c>
      <c r="V34" s="714" t="s">
        <v>17</v>
      </c>
      <c r="W34" s="715">
        <f t="shared" si="14"/>
        <v>100</v>
      </c>
      <c r="X34" s="1539"/>
      <c r="Y34" s="3917"/>
      <c r="Z34" s="1540">
        <f t="shared" si="15"/>
        <v>111</v>
      </c>
      <c r="AA34" s="1537">
        <f t="shared" si="3"/>
        <v>1</v>
      </c>
      <c r="AB34" s="1537">
        <f t="shared" si="4"/>
        <v>1</v>
      </c>
      <c r="AC34" s="1537">
        <f t="shared" si="5"/>
        <v>1</v>
      </c>
    </row>
    <row r="35" spans="1:30" ht="15">
      <c r="A35" s="438" t="s">
        <v>2398</v>
      </c>
      <c r="B35" s="439"/>
      <c r="C35" s="1316" t="s">
        <v>1</v>
      </c>
      <c r="D35" s="1317"/>
      <c r="E35" s="1318"/>
      <c r="F35" s="1319"/>
      <c r="G35" s="1320"/>
      <c r="H35" s="1321"/>
      <c r="I35" s="1318"/>
      <c r="J35" s="1321"/>
      <c r="K35" s="723"/>
      <c r="L35" s="2953"/>
      <c r="M35" s="2954"/>
      <c r="N35" s="2945"/>
      <c r="O35" s="2954"/>
      <c r="P35" s="3910" t="str">
        <f>A35</f>
        <v>成交单价（元/平方米）</v>
      </c>
      <c r="Q35" s="3910"/>
      <c r="R35" s="3911">
        <f>E35</f>
        <v>0</v>
      </c>
      <c r="S35" s="3911"/>
      <c r="T35" s="3911">
        <f>G35</f>
        <v>0</v>
      </c>
      <c r="U35" s="3911"/>
      <c r="V35" s="3911">
        <f>I35</f>
        <v>0</v>
      </c>
      <c r="W35" s="3911"/>
      <c r="X35" s="699"/>
      <c r="Y35" s="721"/>
      <c r="Z35" s="699"/>
      <c r="AA35" s="699"/>
      <c r="AB35" s="699"/>
      <c r="AC35" s="699"/>
    </row>
    <row r="36" spans="1:30" ht="15.75" thickBot="1">
      <c r="A36" s="445" t="s">
        <v>2490</v>
      </c>
      <c r="B36" s="446"/>
      <c r="C36" s="1322" t="e">
        <f>R37</f>
        <v>#DIV/0!</v>
      </c>
      <c r="D36" s="2538" t="s">
        <v>2881</v>
      </c>
      <c r="E36" s="1323" t="e">
        <f>R36</f>
        <v>#DIV/0!</v>
      </c>
      <c r="F36" s="2539"/>
      <c r="G36" s="1322" t="e">
        <f>T36</f>
        <v>#DIV/0!</v>
      </c>
      <c r="H36" s="2539"/>
      <c r="I36" s="1323" t="e">
        <f>V36</f>
        <v>#DIV/0!</v>
      </c>
      <c r="J36" s="2539"/>
      <c r="K36" s="2541">
        <f>F36+H36+J36</f>
        <v>0</v>
      </c>
      <c r="L36" s="2953"/>
      <c r="M36" s="2954"/>
      <c r="N36" s="2945"/>
      <c r="O36" s="2954"/>
      <c r="P36" s="3910" t="str">
        <f>A36</f>
        <v>比较价值（元/平方米）</v>
      </c>
      <c r="Q36" s="3910"/>
      <c r="R36" s="3911" t="e">
        <f>IF(F1="售价",ROUND(PRODUCT(R35,AA7:AA34),0),ROUND(PRODUCT(R35,AA7:AA34),1))</f>
        <v>#DIV/0!</v>
      </c>
      <c r="S36" s="3911"/>
      <c r="T36" s="3911" t="e">
        <f>IF(F1="售价",ROUND(PRODUCT(T35,AB7:AB34),0),ROUND(PRODUCT(T35,AB7:AB34),1))</f>
        <v>#DIV/0!</v>
      </c>
      <c r="U36" s="3911"/>
      <c r="V36" s="3911" t="e">
        <f>IF(F1="售价",ROUND(PRODUCT(V35,AC7:AC34),0),ROUND(PRODUCT(V35,AC7:AC34),1))</f>
        <v>#DIV/0!</v>
      </c>
      <c r="W36" s="3911"/>
      <c r="X36" s="699"/>
      <c r="Y36" s="699"/>
      <c r="Z36" s="699"/>
      <c r="AA36" s="699"/>
      <c r="AB36" s="699"/>
      <c r="AC36" s="699"/>
    </row>
    <row r="37" spans="1:30" ht="15.75" thickBot="1">
      <c r="A37" s="449" t="s">
        <v>2491</v>
      </c>
      <c r="B37" s="450"/>
      <c r="C37" s="1325" t="e">
        <f>R37</f>
        <v>#DIV/0!</v>
      </c>
      <c r="D37" s="1325"/>
      <c r="E37" s="1325"/>
      <c r="F37" s="1325"/>
      <c r="G37" s="1325"/>
      <c r="H37" s="1325"/>
      <c r="I37" s="1325"/>
      <c r="J37" s="1325"/>
      <c r="K37" s="724"/>
      <c r="L37" s="2953"/>
      <c r="M37" s="2954"/>
      <c r="N37" s="2954"/>
      <c r="O37" s="2954"/>
      <c r="P37" s="3907" t="str">
        <f>A37</f>
        <v>估价对象XX用房的比较价值（楼面单价，元/平方米）</v>
      </c>
      <c r="Q37" s="3908"/>
      <c r="R37" s="3969" t="e">
        <f>IF(F1="售价",ROUND(IF(D36="简单平均",AVERAGE(R36:W36),R36*F36+T36*H36+V36*J36),0),ROUND(IF(D36="简单平均",AVERAGE(R36:V36),R36*F36+T36*H36+V36*J36),1))</f>
        <v>#DIV/0!</v>
      </c>
      <c r="S37" s="3969"/>
      <c r="T37" s="3969"/>
      <c r="U37" s="3969"/>
      <c r="V37" s="3969"/>
      <c r="W37" s="3969"/>
      <c r="X37" s="699"/>
      <c r="Y37" s="699"/>
      <c r="Z37" s="699"/>
      <c r="AA37" s="699"/>
      <c r="AB37" s="699"/>
      <c r="AC37" s="699"/>
    </row>
    <row r="38" spans="1:30">
      <c r="A38" s="2954"/>
      <c r="B38" s="2954"/>
      <c r="C38" s="2954"/>
      <c r="D38" s="2954"/>
      <c r="E38" s="2954"/>
      <c r="F38" s="2954"/>
      <c r="G38" s="2958"/>
      <c r="H38" s="2954"/>
      <c r="I38" s="2954"/>
      <c r="J38" s="2954"/>
      <c r="K38" s="2959"/>
      <c r="L38" s="2955"/>
      <c r="M38" s="2954"/>
      <c r="N38" s="2954"/>
      <c r="O38" s="2954"/>
      <c r="P38" s="2954"/>
      <c r="Q38" s="2954"/>
      <c r="R38" s="2954"/>
      <c r="S38" s="2954"/>
      <c r="T38" s="2954"/>
      <c r="U38" s="2954"/>
      <c r="V38" s="2954"/>
      <c r="W38" s="2954"/>
      <c r="X38" s="2954"/>
      <c r="Y38" s="2954"/>
      <c r="Z38" s="2954"/>
      <c r="AA38" s="2954"/>
      <c r="AB38" s="2954"/>
      <c r="AC38" s="2954"/>
      <c r="AD38" s="2954"/>
    </row>
    <row r="39" spans="1:30">
      <c r="A39" s="2954"/>
      <c r="B39" s="2954"/>
      <c r="C39" s="2954"/>
      <c r="D39" s="2954"/>
      <c r="E39" s="2954"/>
      <c r="F39" s="2954"/>
      <c r="G39" s="2954"/>
      <c r="H39" s="2954"/>
      <c r="I39" s="2954"/>
      <c r="J39" s="2954"/>
      <c r="K39" s="2959"/>
      <c r="L39" s="2955"/>
      <c r="M39" s="2954"/>
      <c r="N39" s="2954"/>
      <c r="O39" s="2954"/>
      <c r="P39" s="2954"/>
      <c r="Q39" s="2954"/>
      <c r="R39" s="2954"/>
      <c r="S39" s="2954"/>
      <c r="T39" s="2954"/>
      <c r="U39" s="2954"/>
      <c r="V39" s="2954"/>
      <c r="W39" s="2954"/>
      <c r="X39" s="2954"/>
      <c r="Y39" s="2954"/>
      <c r="Z39" s="2954"/>
      <c r="AA39" s="2954"/>
      <c r="AB39" s="2954"/>
      <c r="AC39" s="2954"/>
      <c r="AD39" s="2954"/>
    </row>
    <row r="40" spans="1:30" ht="13.5" customHeight="1">
      <c r="A40" s="2954"/>
      <c r="B40" s="2954"/>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9"/>
      <c r="L40" s="2955"/>
      <c r="M40" s="2954"/>
      <c r="N40" s="2954"/>
      <c r="O40" s="2954"/>
      <c r="P40" s="2954"/>
      <c r="Q40" s="2954"/>
      <c r="R40" s="2954"/>
      <c r="S40" s="2954"/>
      <c r="T40" s="2954"/>
      <c r="U40" s="2954"/>
      <c r="V40" s="2954"/>
      <c r="W40" s="2954"/>
      <c r="X40" s="2954"/>
      <c r="Y40" s="2954"/>
      <c r="Z40" s="2954"/>
      <c r="AA40" s="2954"/>
      <c r="AB40" s="2954"/>
      <c r="AC40" s="2954"/>
      <c r="AD40" s="2954"/>
    </row>
    <row r="41" spans="1:30" ht="13.5" customHeight="1">
      <c r="A41" s="2954"/>
      <c r="B41" s="2954"/>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9"/>
      <c r="L41" s="2955"/>
      <c r="M41" s="2954"/>
      <c r="N41" s="2954"/>
      <c r="O41" s="2954"/>
      <c r="P41" s="2954"/>
      <c r="Q41" s="2954"/>
      <c r="R41" s="2954"/>
      <c r="S41" s="2954"/>
      <c r="T41" s="2954"/>
      <c r="U41" s="2954"/>
      <c r="V41" s="2954"/>
      <c r="W41" s="2954"/>
      <c r="X41" s="2954"/>
      <c r="Y41" s="2954"/>
      <c r="Z41" s="2954"/>
      <c r="AA41" s="2954"/>
      <c r="AB41" s="2954"/>
      <c r="AC41" s="2954"/>
      <c r="AD41" s="2954"/>
    </row>
    <row r="42" spans="1:30" s="459" customFormat="1" ht="13.5" customHeight="1">
      <c r="A42" s="2957"/>
      <c r="B42" s="2957"/>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2"/>
      <c r="L42" s="2956"/>
      <c r="M42" s="2957"/>
      <c r="N42" s="2957"/>
      <c r="O42" s="2957"/>
      <c r="P42" s="2957"/>
      <c r="Q42" s="2957"/>
      <c r="R42" s="2957"/>
      <c r="S42" s="2957"/>
      <c r="T42" s="2957"/>
      <c r="U42" s="2957"/>
      <c r="V42" s="2957"/>
      <c r="W42" s="2957"/>
      <c r="X42" s="2957"/>
      <c r="Y42" s="2957"/>
      <c r="Z42" s="2957"/>
      <c r="AA42" s="2957"/>
      <c r="AB42" s="2957"/>
      <c r="AC42" s="2957"/>
      <c r="AD42" s="2957"/>
    </row>
    <row r="43" spans="1:30" s="459" customFormat="1">
      <c r="A43" s="2957"/>
      <c r="B43" s="2960"/>
      <c r="C43" s="2961"/>
      <c r="D43" s="2957"/>
      <c r="E43" s="2957"/>
      <c r="F43" s="2957"/>
      <c r="G43" s="2957"/>
      <c r="H43" s="2957"/>
      <c r="I43" s="2957"/>
      <c r="J43" s="2957"/>
      <c r="K43" s="2962"/>
      <c r="L43" s="2956"/>
      <c r="M43" s="2957"/>
      <c r="N43" s="2957"/>
      <c r="O43" s="2957"/>
      <c r="P43" s="2957"/>
      <c r="Q43" s="2957"/>
      <c r="R43" s="2957"/>
      <c r="S43" s="2957"/>
      <c r="T43" s="2957"/>
      <c r="U43" s="2957"/>
      <c r="V43" s="2957"/>
      <c r="W43" s="2957"/>
      <c r="X43" s="2957"/>
      <c r="Y43" s="2957"/>
      <c r="Z43" s="2957"/>
      <c r="AA43" s="2957"/>
      <c r="AB43" s="2957"/>
      <c r="AC43" s="2957"/>
      <c r="AD43" s="2957"/>
    </row>
    <row r="44" spans="1:30">
      <c r="A44" s="2954"/>
      <c r="B44" s="2960"/>
      <c r="C44" s="2961"/>
      <c r="D44" s="2954"/>
      <c r="E44" s="2954"/>
      <c r="F44" s="2954"/>
      <c r="G44" s="2954"/>
      <c r="H44" s="2954"/>
      <c r="I44" s="2954"/>
      <c r="J44" s="2954"/>
      <c r="K44" s="2959"/>
      <c r="L44" s="2955"/>
      <c r="M44" s="2954"/>
      <c r="N44" s="2954"/>
      <c r="O44" s="2954"/>
      <c r="P44" s="2954"/>
      <c r="Q44" s="2954"/>
      <c r="R44" s="2954"/>
      <c r="S44" s="2954"/>
      <c r="T44" s="2954"/>
      <c r="U44" s="2954"/>
      <c r="V44" s="2954"/>
      <c r="W44" s="2954"/>
      <c r="X44" s="2954"/>
      <c r="Y44" s="2954"/>
      <c r="Z44" s="2954"/>
      <c r="AA44" s="2954"/>
      <c r="AB44" s="2954"/>
      <c r="AC44" s="2954"/>
      <c r="AD44" s="2954"/>
    </row>
    <row r="45" spans="1:30" ht="21.75" thickBot="1">
      <c r="A45" s="703" t="s">
        <v>2495</v>
      </c>
      <c r="B45" s="699"/>
      <c r="C45" s="704"/>
      <c r="D45" s="704"/>
      <c r="E45" s="704"/>
      <c r="F45" s="705"/>
      <c r="G45" s="705"/>
      <c r="H45" s="704"/>
      <c r="I45" s="704"/>
      <c r="J45" s="704"/>
      <c r="K45" s="706"/>
      <c r="L45" s="707"/>
      <c r="M45" s="704"/>
      <c r="N45" s="2998"/>
      <c r="O45" s="2998"/>
      <c r="P45" s="2998"/>
      <c r="Q45" s="2968"/>
      <c r="R45" s="2954"/>
      <c r="S45" s="2954"/>
      <c r="T45" s="2954"/>
      <c r="U45" s="2954"/>
      <c r="V45" s="2954"/>
      <c r="W45" s="2954"/>
      <c r="X45" s="2954"/>
      <c r="Y45" s="2954"/>
      <c r="Z45" s="2954"/>
      <c r="AA45" s="2954"/>
      <c r="AB45" s="2954"/>
      <c r="AC45" s="2954"/>
      <c r="AD45" s="2954"/>
    </row>
    <row r="46" spans="1:30" s="465" customFormat="1" ht="15">
      <c r="A46" s="462" t="s">
        <v>2369</v>
      </c>
      <c r="B46" s="463"/>
      <c r="C46" s="1346" t="str">
        <f>YEAR(C7)&amp;"-"&amp;MONTH(C7)</f>
        <v>2021-6</v>
      </c>
      <c r="D46" s="1347">
        <f>EDATE(C46,-1)</f>
        <v>44317</v>
      </c>
      <c r="E46" s="1347">
        <f t="shared" ref="E46:O46" si="16">EDATE(D46,-1)</f>
        <v>44287</v>
      </c>
      <c r="F46" s="1347">
        <f t="shared" si="16"/>
        <v>44256</v>
      </c>
      <c r="G46" s="1347">
        <f t="shared" si="16"/>
        <v>44228</v>
      </c>
      <c r="H46" s="1347">
        <f t="shared" si="16"/>
        <v>44197</v>
      </c>
      <c r="I46" s="1347">
        <f t="shared" si="16"/>
        <v>44166</v>
      </c>
      <c r="J46" s="1347">
        <f t="shared" si="16"/>
        <v>44136</v>
      </c>
      <c r="K46" s="1347">
        <f t="shared" si="16"/>
        <v>44105</v>
      </c>
      <c r="L46" s="1347">
        <f t="shared" si="16"/>
        <v>44075</v>
      </c>
      <c r="M46" s="1347">
        <f t="shared" si="16"/>
        <v>44044</v>
      </c>
      <c r="N46" s="1347">
        <f t="shared" si="16"/>
        <v>44013</v>
      </c>
      <c r="O46" s="1347">
        <f t="shared" si="16"/>
        <v>43983</v>
      </c>
      <c r="P46" s="3005"/>
      <c r="Q46" s="2970"/>
      <c r="R46" s="2970"/>
      <c r="S46" s="2970"/>
      <c r="T46" s="2970"/>
      <c r="U46" s="2970"/>
      <c r="V46" s="2970"/>
      <c r="W46" s="2970"/>
      <c r="X46" s="2970"/>
      <c r="Y46" s="2970"/>
      <c r="Z46" s="2970"/>
      <c r="AA46" s="2970"/>
      <c r="AB46" s="2970"/>
      <c r="AC46" s="2970"/>
      <c r="AD46" s="2970"/>
    </row>
    <row r="47" spans="1:30" s="113" customFormat="1" ht="15">
      <c r="A47" s="466"/>
      <c r="B47" s="467"/>
      <c r="C47" s="1345">
        <v>100</v>
      </c>
      <c r="D47" s="469"/>
      <c r="E47" s="469"/>
      <c r="F47" s="469"/>
      <c r="G47" s="469"/>
      <c r="H47" s="469"/>
      <c r="I47" s="469"/>
      <c r="J47" s="469"/>
      <c r="K47" s="469"/>
      <c r="L47" s="469"/>
      <c r="M47" s="470"/>
      <c r="N47" s="469"/>
      <c r="O47" s="471"/>
      <c r="P47" s="2968"/>
      <c r="Q47" s="2888"/>
      <c r="R47" s="2888"/>
      <c r="S47" s="2888"/>
      <c r="T47" s="2888"/>
      <c r="U47" s="2888"/>
      <c r="V47" s="2888"/>
      <c r="W47" s="2888"/>
      <c r="X47" s="2888"/>
      <c r="Y47" s="2888"/>
      <c r="Z47" s="2888"/>
      <c r="AA47" s="2888"/>
      <c r="AB47" s="2888"/>
      <c r="AC47" s="2888"/>
      <c r="AD47" s="2888"/>
    </row>
    <row r="48" spans="1:30" s="113" customFormat="1" ht="15.75" thickBot="1">
      <c r="A48" s="472" t="s">
        <v>2406</v>
      </c>
      <c r="B48" s="473"/>
      <c r="C48" s="474"/>
      <c r="D48" s="475"/>
      <c r="E48" s="475"/>
      <c r="F48" s="475"/>
      <c r="G48" s="475"/>
      <c r="H48" s="475"/>
      <c r="I48" s="475"/>
      <c r="J48" s="475"/>
      <c r="K48" s="475"/>
      <c r="L48" s="475"/>
      <c r="M48" s="476"/>
      <c r="N48" s="475"/>
      <c r="O48" s="477"/>
      <c r="P48" s="2968"/>
      <c r="Q48" s="2968"/>
      <c r="R48" s="2888"/>
      <c r="S48" s="2888"/>
      <c r="T48" s="2888"/>
      <c r="U48" s="2888"/>
      <c r="V48" s="2888"/>
      <c r="W48" s="2888"/>
      <c r="X48" s="2888"/>
      <c r="Y48" s="2888"/>
      <c r="Z48" s="2888"/>
      <c r="AA48" s="2888"/>
      <c r="AB48" s="2888"/>
      <c r="AC48" s="2888"/>
      <c r="AD48" s="2888"/>
    </row>
    <row r="49" spans="1:30" s="113" customFormat="1" ht="15">
      <c r="A49" s="478" t="s">
        <v>2371</v>
      </c>
      <c r="B49" s="467"/>
      <c r="C49" s="479" t="s">
        <v>2473</v>
      </c>
      <c r="D49" s="480"/>
      <c r="E49" s="480"/>
      <c r="F49" s="480"/>
      <c r="G49" s="480"/>
      <c r="H49" s="480"/>
      <c r="I49" s="480"/>
      <c r="J49" s="480"/>
      <c r="K49" s="480"/>
      <c r="L49" s="481"/>
      <c r="M49" s="482"/>
      <c r="N49" s="2981"/>
      <c r="O49" s="2981"/>
      <c r="P49" s="3006"/>
      <c r="Q49" s="2968"/>
      <c r="R49" s="2888"/>
      <c r="S49" s="2888"/>
      <c r="T49" s="2888"/>
      <c r="U49" s="2888"/>
      <c r="V49" s="2888"/>
      <c r="W49" s="2888"/>
      <c r="X49" s="2888"/>
      <c r="Y49" s="2888"/>
      <c r="Z49" s="2888"/>
      <c r="AA49" s="2888"/>
      <c r="AB49" s="2888"/>
      <c r="AC49" s="2888"/>
      <c r="AD49" s="2888"/>
    </row>
    <row r="50" spans="1:30" s="113" customFormat="1" ht="15.75" thickBot="1">
      <c r="A50" s="478"/>
      <c r="B50" s="467"/>
      <c r="C50" s="595">
        <v>100</v>
      </c>
      <c r="D50" s="469"/>
      <c r="E50" s="469"/>
      <c r="F50" s="469"/>
      <c r="G50" s="469"/>
      <c r="H50" s="469"/>
      <c r="I50" s="469"/>
      <c r="J50" s="469"/>
      <c r="K50" s="469"/>
      <c r="L50" s="469"/>
      <c r="M50" s="471"/>
      <c r="N50" s="2981"/>
      <c r="O50" s="2981"/>
      <c r="P50" s="2968"/>
      <c r="Q50" s="2968"/>
      <c r="R50" s="2888"/>
      <c r="S50" s="2888"/>
      <c r="T50" s="2888"/>
      <c r="U50" s="2888"/>
      <c r="V50" s="2888"/>
      <c r="W50" s="2888"/>
      <c r="X50" s="2888"/>
      <c r="Y50" s="2888"/>
      <c r="Z50" s="2888"/>
      <c r="AA50" s="2888"/>
      <c r="AB50" s="2888"/>
      <c r="AC50" s="2888"/>
      <c r="AD50" s="2888"/>
    </row>
    <row r="51" spans="1:30">
      <c r="A51" s="484" t="s">
        <v>2409</v>
      </c>
      <c r="B51" s="485" t="s">
        <v>2375</v>
      </c>
      <c r="C51" s="486">
        <f>C9</f>
        <v>0</v>
      </c>
      <c r="D51" s="487"/>
      <c r="E51" s="487"/>
      <c r="F51" s="487"/>
      <c r="G51" s="487"/>
      <c r="H51" s="487"/>
      <c r="I51" s="487"/>
      <c r="J51" s="487"/>
      <c r="K51" s="488"/>
      <c r="L51" s="489"/>
      <c r="M51" s="490"/>
      <c r="N51" s="2982"/>
      <c r="O51" s="2982"/>
      <c r="P51" s="3007"/>
      <c r="Q51" s="2968"/>
      <c r="R51" s="2954"/>
      <c r="S51" s="2954"/>
      <c r="T51" s="2954"/>
      <c r="U51" s="2954"/>
      <c r="V51" s="2954"/>
      <c r="W51" s="2954"/>
      <c r="X51" s="2954"/>
      <c r="Y51" s="2954"/>
      <c r="Z51" s="2954"/>
      <c r="AA51" s="2954"/>
      <c r="AB51" s="2954"/>
      <c r="AC51" s="2954"/>
      <c r="AD51" s="2954"/>
    </row>
    <row r="52" spans="1:30" ht="15.75" thickBot="1">
      <c r="A52" s="491"/>
      <c r="B52" s="492"/>
      <c r="C52" s="493">
        <v>100</v>
      </c>
      <c r="D52" s="493"/>
      <c r="E52" s="493"/>
      <c r="F52" s="493"/>
      <c r="G52" s="493"/>
      <c r="H52" s="493"/>
      <c r="I52" s="493"/>
      <c r="J52" s="493"/>
      <c r="K52" s="493"/>
      <c r="L52" s="493"/>
      <c r="M52" s="494"/>
      <c r="N52" s="2983"/>
      <c r="O52" s="2983"/>
      <c r="P52" s="3007"/>
      <c r="Q52" s="2968"/>
      <c r="R52" s="2954"/>
      <c r="S52" s="2954"/>
      <c r="T52" s="2954"/>
      <c r="U52" s="2954"/>
      <c r="V52" s="2954"/>
      <c r="W52" s="2954"/>
      <c r="X52" s="2954"/>
      <c r="Y52" s="2954"/>
      <c r="Z52" s="2954"/>
      <c r="AA52" s="2954"/>
      <c r="AB52" s="2954"/>
      <c r="AC52" s="2954"/>
      <c r="AD52" s="2954"/>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82"/>
      <c r="O53" s="2982"/>
      <c r="P53" s="3007"/>
      <c r="Q53" s="2968"/>
      <c r="R53" s="2954"/>
      <c r="S53" s="2954"/>
      <c r="T53" s="2954"/>
      <c r="U53" s="2954"/>
      <c r="V53" s="2954"/>
      <c r="W53" s="2954"/>
      <c r="X53" s="2954"/>
      <c r="Y53" s="2954"/>
      <c r="Z53" s="2954"/>
      <c r="AA53" s="2954"/>
      <c r="AB53" s="2954"/>
      <c r="AC53" s="2954"/>
      <c r="AD53" s="295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3"/>
      <c r="O54" s="2983"/>
      <c r="P54" s="3007"/>
      <c r="Q54" s="2968"/>
      <c r="R54" s="2954"/>
      <c r="S54" s="2954"/>
      <c r="T54" s="2954"/>
      <c r="U54" s="2954"/>
      <c r="V54" s="2954"/>
      <c r="W54" s="2954"/>
      <c r="X54" s="2954"/>
      <c r="Y54" s="2954"/>
      <c r="Z54" s="2954"/>
      <c r="AA54" s="2954"/>
      <c r="AB54" s="2954"/>
      <c r="AC54" s="2954"/>
      <c r="AD54" s="2954"/>
    </row>
    <row r="55" spans="1:30" ht="15.75" thickTop="1">
      <c r="A55" s="491"/>
      <c r="B55" s="616">
        <f>B11</f>
        <v>111</v>
      </c>
      <c r="C55" s="506"/>
      <c r="D55" s="506"/>
      <c r="E55" s="506"/>
      <c r="F55" s="506"/>
      <c r="G55" s="506"/>
      <c r="H55" s="506"/>
      <c r="I55" s="506"/>
      <c r="J55" s="506"/>
      <c r="K55" s="507"/>
      <c r="L55" s="508"/>
      <c r="M55" s="509"/>
      <c r="N55" s="2982"/>
      <c r="O55" s="2982"/>
      <c r="P55" s="3007"/>
      <c r="Q55" s="2968"/>
      <c r="R55" s="2954"/>
      <c r="S55" s="2954"/>
      <c r="T55" s="2954"/>
      <c r="U55" s="2954"/>
      <c r="V55" s="2954"/>
      <c r="W55" s="2954"/>
      <c r="X55" s="2954"/>
      <c r="Y55" s="2954"/>
      <c r="Z55" s="2954"/>
      <c r="AA55" s="2954"/>
      <c r="AB55" s="2954"/>
      <c r="AC55" s="2954"/>
      <c r="AD55" s="2954"/>
    </row>
    <row r="56" spans="1:30" ht="15.75" thickBot="1">
      <c r="A56" s="491"/>
      <c r="B56" s="492"/>
      <c r="C56" s="517"/>
      <c r="D56" s="493"/>
      <c r="E56" s="493"/>
      <c r="F56" s="493"/>
      <c r="G56" s="493"/>
      <c r="H56" s="493"/>
      <c r="I56" s="493"/>
      <c r="J56" s="493"/>
      <c r="K56" s="493"/>
      <c r="L56" s="493"/>
      <c r="M56" s="494"/>
      <c r="N56" s="2983"/>
      <c r="O56" s="2983"/>
      <c r="P56" s="3007"/>
      <c r="Q56" s="2968"/>
      <c r="R56" s="2954"/>
      <c r="S56" s="2954"/>
      <c r="T56" s="2954"/>
      <c r="U56" s="2954"/>
      <c r="V56" s="2954"/>
      <c r="W56" s="2954"/>
      <c r="X56" s="2954"/>
      <c r="Y56" s="2954"/>
      <c r="Z56" s="2954"/>
      <c r="AA56" s="2954"/>
      <c r="AB56" s="2954"/>
      <c r="AC56" s="2954"/>
      <c r="AD56" s="2954"/>
    </row>
    <row r="57" spans="1:30" s="430" customFormat="1" ht="15.75" thickTop="1">
      <c r="A57" s="510"/>
      <c r="B57" s="495">
        <f>B12</f>
        <v>111</v>
      </c>
      <c r="C57" s="506"/>
      <c r="D57" s="506"/>
      <c r="E57" s="506"/>
      <c r="F57" s="506"/>
      <c r="G57" s="511"/>
      <c r="H57" s="512"/>
      <c r="I57" s="512"/>
      <c r="J57" s="512"/>
      <c r="K57" s="512"/>
      <c r="L57" s="513"/>
      <c r="M57" s="514"/>
      <c r="N57" s="2984"/>
      <c r="O57" s="2984"/>
      <c r="P57" s="3008"/>
      <c r="Q57" s="2975"/>
      <c r="R57" s="2976"/>
      <c r="S57" s="2976"/>
      <c r="T57" s="2976"/>
      <c r="U57" s="2976"/>
      <c r="V57" s="2976"/>
      <c r="W57" s="2976"/>
      <c r="X57" s="2976"/>
      <c r="Y57" s="2976"/>
      <c r="Z57" s="2976"/>
      <c r="AA57" s="2976"/>
      <c r="AB57" s="2976"/>
      <c r="AC57" s="2976"/>
      <c r="AD57" s="2976"/>
    </row>
    <row r="58" spans="1:30" s="430" customFormat="1" ht="15.75" thickBot="1">
      <c r="A58" s="510"/>
      <c r="B58" s="500"/>
      <c r="C58" s="517"/>
      <c r="D58" s="493"/>
      <c r="E58" s="493"/>
      <c r="F58" s="493"/>
      <c r="G58" s="493"/>
      <c r="H58" s="493"/>
      <c r="I58" s="493"/>
      <c r="J58" s="493"/>
      <c r="K58" s="493"/>
      <c r="L58" s="493"/>
      <c r="M58" s="494"/>
      <c r="N58" s="2983"/>
      <c r="O58" s="2983"/>
      <c r="P58" s="3008"/>
      <c r="Q58" s="2975"/>
      <c r="R58" s="2976"/>
      <c r="S58" s="2976"/>
      <c r="T58" s="2976"/>
      <c r="U58" s="2976"/>
      <c r="V58" s="2976"/>
      <c r="W58" s="2976"/>
      <c r="X58" s="2976"/>
      <c r="Y58" s="2976"/>
      <c r="Z58" s="2976"/>
      <c r="AA58" s="2976"/>
      <c r="AB58" s="2976"/>
      <c r="AC58" s="2976"/>
      <c r="AD58" s="2976"/>
    </row>
    <row r="59" spans="1:30" s="430" customFormat="1" ht="15.75" thickTop="1">
      <c r="A59" s="510"/>
      <c r="B59" s="495">
        <f>B13</f>
        <v>111</v>
      </c>
      <c r="C59" s="506"/>
      <c r="D59" s="506"/>
      <c r="E59" s="506"/>
      <c r="F59" s="506"/>
      <c r="G59" s="511"/>
      <c r="H59" s="512"/>
      <c r="I59" s="512"/>
      <c r="J59" s="512"/>
      <c r="K59" s="512"/>
      <c r="L59" s="513"/>
      <c r="M59" s="514"/>
      <c r="N59" s="2984"/>
      <c r="O59" s="2984"/>
      <c r="P59" s="2952"/>
      <c r="Q59" s="2978"/>
      <c r="R59" s="2976"/>
      <c r="S59" s="2976"/>
      <c r="T59" s="2976"/>
      <c r="U59" s="2976"/>
      <c r="V59" s="2976"/>
      <c r="W59" s="2976"/>
      <c r="X59" s="2976"/>
      <c r="Y59" s="2976"/>
      <c r="Z59" s="2976"/>
      <c r="AA59" s="2976"/>
      <c r="AB59" s="2976"/>
      <c r="AC59" s="2976"/>
      <c r="AD59" s="2976"/>
    </row>
    <row r="60" spans="1:30" s="430" customFormat="1" ht="15.75" thickBot="1">
      <c r="A60" s="510"/>
      <c r="B60" s="500"/>
      <c r="C60" s="517"/>
      <c r="D60" s="517"/>
      <c r="E60" s="517"/>
      <c r="F60" s="517"/>
      <c r="G60" s="517"/>
      <c r="H60" s="519"/>
      <c r="I60" s="519"/>
      <c r="J60" s="519"/>
      <c r="K60" s="519"/>
      <c r="L60" s="519"/>
      <c r="M60" s="520"/>
      <c r="N60" s="2984"/>
      <c r="O60" s="2984"/>
      <c r="P60" s="3008"/>
      <c r="Q60" s="2975"/>
      <c r="R60" s="2976"/>
      <c r="S60" s="2976"/>
      <c r="T60" s="2976"/>
      <c r="U60" s="2976"/>
      <c r="V60" s="2976"/>
      <c r="W60" s="2976"/>
      <c r="X60" s="2976"/>
      <c r="Y60" s="2976"/>
      <c r="Z60" s="2976"/>
      <c r="AA60" s="2976"/>
      <c r="AB60" s="2976"/>
      <c r="AC60" s="2976"/>
      <c r="AD60" s="2976"/>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82"/>
      <c r="O61" s="2982"/>
      <c r="P61" s="3009"/>
      <c r="Q61" s="2968"/>
      <c r="R61" s="2954"/>
      <c r="S61" s="2954"/>
      <c r="T61" s="2954"/>
      <c r="U61" s="2954"/>
      <c r="V61" s="2954"/>
      <c r="W61" s="2954"/>
      <c r="X61" s="2954"/>
      <c r="Y61" s="2954"/>
      <c r="Z61" s="2954"/>
      <c r="AA61" s="2954"/>
      <c r="AB61" s="2954"/>
      <c r="AC61" s="2954"/>
      <c r="AD61" s="295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3"/>
      <c r="O62" s="2983"/>
      <c r="P62" s="3007"/>
      <c r="Q62" s="2968"/>
      <c r="R62" s="2954"/>
      <c r="S62" s="2954"/>
      <c r="T62" s="2954"/>
      <c r="U62" s="2954"/>
      <c r="V62" s="2954"/>
      <c r="W62" s="2954"/>
      <c r="X62" s="2954"/>
      <c r="Y62" s="2954"/>
      <c r="Z62" s="2954"/>
      <c r="AA62" s="2954"/>
      <c r="AB62" s="2954"/>
      <c r="AC62" s="2954"/>
      <c r="AD62" s="2954"/>
    </row>
    <row r="63" spans="1:30" ht="27.75" thickTop="1">
      <c r="A63" s="491"/>
      <c r="B63" s="495" t="s">
        <v>2561</v>
      </c>
      <c r="C63" s="535" t="s">
        <v>2418</v>
      </c>
      <c r="D63" s="535" t="s">
        <v>2419</v>
      </c>
      <c r="E63" s="535" t="s">
        <v>2420</v>
      </c>
      <c r="F63" s="535" t="s">
        <v>2421</v>
      </c>
      <c r="G63" s="535" t="s">
        <v>2422</v>
      </c>
      <c r="H63" s="496"/>
      <c r="I63" s="496"/>
      <c r="J63" s="496"/>
      <c r="K63" s="497"/>
      <c r="L63" s="498"/>
      <c r="M63" s="499"/>
      <c r="N63" s="2982"/>
      <c r="O63" s="2982"/>
      <c r="P63" s="3007"/>
      <c r="Q63" s="2968"/>
      <c r="R63" s="2954"/>
      <c r="S63" s="2954"/>
      <c r="T63" s="2954"/>
      <c r="U63" s="2954"/>
      <c r="V63" s="2954"/>
      <c r="W63" s="2954"/>
      <c r="X63" s="2954"/>
      <c r="Y63" s="2954"/>
      <c r="Z63" s="2954"/>
      <c r="AA63" s="2954"/>
      <c r="AB63" s="2954"/>
      <c r="AC63" s="2954"/>
      <c r="AD63" s="295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3"/>
      <c r="O64" s="2983"/>
      <c r="P64" s="3007"/>
      <c r="Q64" s="2968"/>
      <c r="R64" s="2954"/>
      <c r="S64" s="2954"/>
      <c r="T64" s="2954"/>
      <c r="U64" s="2954"/>
      <c r="V64" s="2954"/>
      <c r="W64" s="2954"/>
      <c r="X64" s="2954"/>
      <c r="Y64" s="2954"/>
      <c r="Z64" s="2954"/>
      <c r="AA64" s="2954"/>
      <c r="AB64" s="2954"/>
      <c r="AC64" s="2954"/>
      <c r="AD64" s="2954"/>
    </row>
    <row r="65" spans="1:30" ht="15.75" thickTop="1">
      <c r="A65" s="491"/>
      <c r="B65" s="503" t="s">
        <v>2510</v>
      </c>
      <c r="C65" s="616" t="s">
        <v>2496</v>
      </c>
      <c r="D65" s="616" t="s">
        <v>2497</v>
      </c>
      <c r="E65" s="616" t="s">
        <v>2498</v>
      </c>
      <c r="F65" s="616" t="s">
        <v>2499</v>
      </c>
      <c r="G65" s="616" t="s">
        <v>2500</v>
      </c>
      <c r="H65" s="496"/>
      <c r="I65" s="496"/>
      <c r="J65" s="496"/>
      <c r="K65" s="496"/>
      <c r="L65" s="496"/>
      <c r="M65" s="1291"/>
      <c r="N65" s="2983"/>
      <c r="O65" s="2983"/>
      <c r="P65" s="3007"/>
      <c r="Q65" s="2968"/>
      <c r="R65" s="2954"/>
      <c r="S65" s="2954"/>
      <c r="T65" s="2954"/>
      <c r="U65" s="2954"/>
      <c r="V65" s="2954"/>
      <c r="W65" s="2954"/>
      <c r="X65" s="2954"/>
      <c r="Y65" s="2954"/>
      <c r="Z65" s="2954"/>
      <c r="AA65" s="2954"/>
      <c r="AB65" s="2954"/>
      <c r="AC65" s="2954"/>
      <c r="AD65" s="295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3"/>
      <c r="O66" s="2983"/>
      <c r="P66" s="3007"/>
      <c r="Q66" s="2968"/>
      <c r="R66" s="2954"/>
      <c r="S66" s="2954"/>
      <c r="T66" s="2954"/>
      <c r="U66" s="2954"/>
      <c r="V66" s="2954"/>
      <c r="W66" s="2954"/>
      <c r="X66" s="2954"/>
      <c r="Y66" s="2954"/>
      <c r="Z66" s="2954"/>
      <c r="AA66" s="2954"/>
      <c r="AB66" s="2954"/>
      <c r="AC66" s="2954"/>
      <c r="AD66" s="2954"/>
    </row>
    <row r="67" spans="1:30" ht="15.75" thickTop="1">
      <c r="A67" s="491"/>
      <c r="B67" s="495" t="s">
        <v>2430</v>
      </c>
      <c r="C67" s="535" t="s">
        <v>2418</v>
      </c>
      <c r="D67" s="535" t="s">
        <v>2419</v>
      </c>
      <c r="E67" s="535" t="s">
        <v>2420</v>
      </c>
      <c r="F67" s="535" t="s">
        <v>2421</v>
      </c>
      <c r="G67" s="535" t="s">
        <v>2422</v>
      </c>
      <c r="H67" s="496"/>
      <c r="I67" s="496"/>
      <c r="J67" s="496"/>
      <c r="K67" s="497"/>
      <c r="L67" s="498"/>
      <c r="M67" s="499"/>
      <c r="N67" s="2982"/>
      <c r="O67" s="2982"/>
      <c r="P67" s="3007"/>
      <c r="Q67" s="2968"/>
      <c r="R67" s="2954"/>
      <c r="S67" s="2954"/>
      <c r="T67" s="2954"/>
      <c r="U67" s="2954"/>
      <c r="V67" s="2954"/>
      <c r="W67" s="2954"/>
      <c r="X67" s="2954"/>
      <c r="Y67" s="2954"/>
      <c r="Z67" s="2954"/>
      <c r="AA67" s="2954"/>
      <c r="AB67" s="2954"/>
      <c r="AC67" s="2954"/>
      <c r="AD67" s="295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3"/>
      <c r="O68" s="2983"/>
      <c r="P68" s="3007"/>
      <c r="Q68" s="2968"/>
      <c r="R68" s="2954"/>
      <c r="S68" s="2954"/>
      <c r="T68" s="2954"/>
      <c r="U68" s="2954"/>
      <c r="V68" s="2954"/>
      <c r="W68" s="2954"/>
      <c r="X68" s="2954"/>
      <c r="Y68" s="2954"/>
      <c r="Z68" s="2954"/>
      <c r="AA68" s="2954"/>
      <c r="AB68" s="2954"/>
      <c r="AC68" s="2954"/>
      <c r="AD68" s="2954"/>
    </row>
    <row r="69" spans="1:30" ht="15.75" thickTop="1">
      <c r="A69" s="491"/>
      <c r="B69" s="495" t="s">
        <v>2550</v>
      </c>
      <c r="C69" s="511"/>
      <c r="D69" s="511"/>
      <c r="E69" s="511"/>
      <c r="F69" s="511"/>
      <c r="G69" s="511"/>
      <c r="H69" s="540"/>
      <c r="I69" s="540"/>
      <c r="J69" s="540"/>
      <c r="K69" s="541"/>
      <c r="L69" s="542"/>
      <c r="M69" s="543"/>
      <c r="N69" s="2982"/>
      <c r="O69" s="2982"/>
      <c r="P69" s="3007"/>
      <c r="Q69" s="2968"/>
      <c r="R69" s="2954"/>
      <c r="S69" s="2954"/>
      <c r="T69" s="2954"/>
      <c r="U69" s="2954"/>
      <c r="V69" s="2954"/>
      <c r="W69" s="2954"/>
      <c r="X69" s="2954"/>
      <c r="Y69" s="2954"/>
      <c r="Z69" s="2954"/>
      <c r="AA69" s="2954"/>
      <c r="AB69" s="2954"/>
      <c r="AC69" s="2954"/>
      <c r="AD69" s="2954"/>
    </row>
    <row r="70" spans="1:30" ht="15.75" thickBot="1">
      <c r="A70" s="491"/>
      <c r="B70" s="500"/>
      <c r="C70" s="501">
        <v>100</v>
      </c>
      <c r="D70" s="501">
        <f>C70-$K22</f>
        <v>100</v>
      </c>
      <c r="E70" s="501"/>
      <c r="F70" s="501"/>
      <c r="G70" s="501"/>
      <c r="H70" s="501"/>
      <c r="I70" s="501"/>
      <c r="J70" s="501"/>
      <c r="K70" s="501"/>
      <c r="L70" s="501"/>
      <c r="M70" s="502"/>
      <c r="N70" s="2983"/>
      <c r="O70" s="2983"/>
      <c r="P70" s="3007"/>
      <c r="Q70" s="2968"/>
      <c r="R70" s="2954"/>
      <c r="S70" s="2954"/>
      <c r="T70" s="2954"/>
      <c r="U70" s="2954"/>
      <c r="V70" s="2954"/>
      <c r="W70" s="2954"/>
      <c r="X70" s="2954"/>
      <c r="Y70" s="2954"/>
      <c r="Z70" s="2954"/>
      <c r="AA70" s="2954"/>
      <c r="AB70" s="2954"/>
      <c r="AC70" s="2954"/>
      <c r="AD70" s="2954"/>
    </row>
    <row r="71" spans="1:30" s="113" customFormat="1" ht="15.75" thickTop="1">
      <c r="A71" s="536"/>
      <c r="B71" s="495">
        <f>B23</f>
        <v>111</v>
      </c>
      <c r="C71" s="506"/>
      <c r="D71" s="506"/>
      <c r="E71" s="506"/>
      <c r="F71" s="506"/>
      <c r="G71" s="511"/>
      <c r="H71" s="511"/>
      <c r="I71" s="511"/>
      <c r="J71" s="511"/>
      <c r="K71" s="511"/>
      <c r="L71" s="537"/>
      <c r="M71" s="538"/>
      <c r="N71" s="2981"/>
      <c r="O71" s="2981"/>
      <c r="P71" s="3007"/>
      <c r="Q71" s="2968"/>
      <c r="R71" s="2888"/>
      <c r="S71" s="2888"/>
      <c r="T71" s="2888"/>
      <c r="U71" s="2888"/>
      <c r="V71" s="2888"/>
      <c r="W71" s="2888"/>
      <c r="X71" s="2888"/>
      <c r="Y71" s="2888"/>
      <c r="Z71" s="2888"/>
      <c r="AA71" s="2888"/>
      <c r="AB71" s="2888"/>
      <c r="AC71" s="2888"/>
      <c r="AD71" s="2888"/>
    </row>
    <row r="72" spans="1:30" s="113" customFormat="1" ht="15.75" thickBot="1">
      <c r="A72" s="536"/>
      <c r="B72" s="500"/>
      <c r="C72" s="517"/>
      <c r="D72" s="493"/>
      <c r="E72" s="493"/>
      <c r="F72" s="493"/>
      <c r="G72" s="493"/>
      <c r="H72" s="493"/>
      <c r="I72" s="493"/>
      <c r="J72" s="493"/>
      <c r="K72" s="493"/>
      <c r="L72" s="493"/>
      <c r="M72" s="494"/>
      <c r="N72" s="2983"/>
      <c r="O72" s="2983"/>
      <c r="P72" s="3007"/>
      <c r="Q72" s="2968"/>
      <c r="R72" s="2888"/>
      <c r="S72" s="2888"/>
      <c r="T72" s="2888"/>
      <c r="U72" s="2888"/>
      <c r="V72" s="2888"/>
      <c r="W72" s="2888"/>
      <c r="X72" s="2888"/>
      <c r="Y72" s="2888"/>
      <c r="Z72" s="2888"/>
      <c r="AA72" s="2888"/>
      <c r="AB72" s="2888"/>
      <c r="AC72" s="2888"/>
      <c r="AD72" s="2888"/>
    </row>
    <row r="73" spans="1:30" s="113" customFormat="1" ht="15.75" thickTop="1">
      <c r="A73" s="536"/>
      <c r="B73" s="495">
        <f>B24</f>
        <v>111</v>
      </c>
      <c r="C73" s="506"/>
      <c r="D73" s="506"/>
      <c r="E73" s="506"/>
      <c r="F73" s="506"/>
      <c r="G73" s="511"/>
      <c r="H73" s="511"/>
      <c r="I73" s="511"/>
      <c r="J73" s="511"/>
      <c r="K73" s="511"/>
      <c r="L73" s="511"/>
      <c r="M73" s="538"/>
      <c r="N73" s="2981"/>
      <c r="O73" s="2981"/>
      <c r="P73" s="3007"/>
      <c r="Q73" s="2968"/>
      <c r="R73" s="2888"/>
      <c r="S73" s="2888"/>
      <c r="T73" s="2888"/>
      <c r="U73" s="2888"/>
      <c r="V73" s="2888"/>
      <c r="W73" s="2888"/>
      <c r="X73" s="2888"/>
      <c r="Y73" s="2888"/>
      <c r="Z73" s="2888"/>
      <c r="AA73" s="2888"/>
      <c r="AB73" s="2888"/>
      <c r="AC73" s="2888"/>
      <c r="AD73" s="2888"/>
    </row>
    <row r="74" spans="1:30" s="113" customFormat="1" ht="15.75" thickBot="1">
      <c r="A74" s="536"/>
      <c r="B74" s="500"/>
      <c r="C74" s="517"/>
      <c r="D74" s="493"/>
      <c r="E74" s="493"/>
      <c r="F74" s="493"/>
      <c r="G74" s="493"/>
      <c r="H74" s="493"/>
      <c r="I74" s="493"/>
      <c r="J74" s="493"/>
      <c r="K74" s="493"/>
      <c r="L74" s="493"/>
      <c r="M74" s="494"/>
      <c r="N74" s="2983"/>
      <c r="O74" s="2983"/>
      <c r="P74" s="3007"/>
      <c r="Q74" s="2968"/>
      <c r="R74" s="2888"/>
      <c r="S74" s="2888"/>
      <c r="T74" s="2888"/>
      <c r="U74" s="2888"/>
      <c r="V74" s="2888"/>
      <c r="W74" s="2888"/>
      <c r="X74" s="2888"/>
      <c r="Y74" s="2888"/>
      <c r="Z74" s="2888"/>
      <c r="AA74" s="2888"/>
      <c r="AB74" s="2888"/>
      <c r="AC74" s="2888"/>
      <c r="AD74" s="2888"/>
    </row>
    <row r="75" spans="1:30" s="430" customFormat="1" ht="15.75" thickTop="1">
      <c r="A75" s="510"/>
      <c r="B75" s="495">
        <f>B25</f>
        <v>111</v>
      </c>
      <c r="C75" s="506"/>
      <c r="D75" s="506"/>
      <c r="E75" s="506"/>
      <c r="F75" s="506"/>
      <c r="G75" s="511"/>
      <c r="H75" s="512"/>
      <c r="I75" s="512"/>
      <c r="J75" s="512"/>
      <c r="K75" s="512"/>
      <c r="L75" s="513"/>
      <c r="M75" s="514"/>
      <c r="N75" s="2984"/>
      <c r="O75" s="2984"/>
      <c r="P75" s="3008"/>
      <c r="Q75" s="2975"/>
      <c r="R75" s="2976"/>
      <c r="S75" s="2976"/>
      <c r="T75" s="2976"/>
      <c r="U75" s="2976"/>
      <c r="V75" s="2976"/>
      <c r="W75" s="2976"/>
      <c r="X75" s="2976"/>
      <c r="Y75" s="2976"/>
      <c r="Z75" s="2976"/>
      <c r="AA75" s="2976"/>
      <c r="AB75" s="2976"/>
      <c r="AC75" s="2976"/>
      <c r="AD75" s="2976"/>
    </row>
    <row r="76" spans="1:30" s="430" customFormat="1" ht="15.75" thickBot="1">
      <c r="A76" s="510"/>
      <c r="B76" s="500"/>
      <c r="C76" s="517"/>
      <c r="D76" s="517"/>
      <c r="E76" s="517"/>
      <c r="F76" s="517"/>
      <c r="G76" s="493"/>
      <c r="H76" s="493"/>
      <c r="I76" s="493"/>
      <c r="J76" s="493"/>
      <c r="K76" s="493"/>
      <c r="L76" s="493"/>
      <c r="M76" s="494"/>
      <c r="N76" s="2984"/>
      <c r="O76" s="2984"/>
      <c r="P76" s="3008"/>
      <c r="Q76" s="2975"/>
      <c r="R76" s="2976"/>
      <c r="S76" s="2976"/>
      <c r="T76" s="2976"/>
      <c r="U76" s="2976"/>
      <c r="V76" s="2976"/>
      <c r="W76" s="2976"/>
      <c r="X76" s="2976"/>
      <c r="Y76" s="2976"/>
      <c r="Z76" s="2976"/>
      <c r="AA76" s="2976"/>
      <c r="AB76" s="2976"/>
      <c r="AC76" s="2976"/>
      <c r="AD76" s="2976"/>
    </row>
    <row r="77" spans="1:30" ht="15" thickTop="1">
      <c r="A77" s="484" t="s">
        <v>2384</v>
      </c>
      <c r="B77" s="485" t="s">
        <v>2437</v>
      </c>
      <c r="C77" s="511"/>
      <c r="D77" s="511"/>
      <c r="E77" s="487"/>
      <c r="F77" s="487"/>
      <c r="G77" s="487"/>
      <c r="H77" s="487"/>
      <c r="I77" s="487"/>
      <c r="J77" s="487"/>
      <c r="K77" s="488"/>
      <c r="L77" s="489"/>
      <c r="M77" s="490"/>
      <c r="N77" s="2982"/>
      <c r="O77" s="2982"/>
      <c r="P77" s="3007"/>
      <c r="Q77" s="2968"/>
      <c r="R77" s="2954"/>
      <c r="S77" s="2954"/>
      <c r="T77" s="2954"/>
      <c r="U77" s="2954"/>
      <c r="V77" s="2954"/>
      <c r="W77" s="2954"/>
      <c r="X77" s="2954"/>
      <c r="Y77" s="2954"/>
      <c r="Z77" s="2954"/>
      <c r="AA77" s="2954"/>
      <c r="AB77" s="2954"/>
      <c r="AC77" s="2954"/>
      <c r="AD77" s="295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3"/>
      <c r="O78" s="2983"/>
      <c r="P78" s="3007"/>
      <c r="Q78" s="2968"/>
      <c r="R78" s="2954"/>
      <c r="S78" s="2954"/>
      <c r="T78" s="2954"/>
      <c r="U78" s="2954"/>
      <c r="V78" s="2954"/>
      <c r="W78" s="2954"/>
      <c r="X78" s="2954"/>
      <c r="Y78" s="2954"/>
      <c r="Z78" s="2954"/>
      <c r="AA78" s="2954"/>
      <c r="AB78" s="2954"/>
      <c r="AC78" s="2954"/>
      <c r="AD78" s="2954"/>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1"/>
      <c r="O79" s="2981"/>
      <c r="P79" s="3007"/>
      <c r="Q79" s="2968"/>
      <c r="R79" s="2954"/>
      <c r="S79" s="2954"/>
      <c r="T79" s="2954"/>
      <c r="U79" s="2954"/>
      <c r="V79" s="2954"/>
      <c r="W79" s="2954"/>
      <c r="X79" s="2954"/>
      <c r="Y79" s="2954"/>
      <c r="Z79" s="2954"/>
      <c r="AA79" s="2954"/>
      <c r="AB79" s="2954"/>
      <c r="AC79" s="2954"/>
      <c r="AD79" s="2954"/>
    </row>
    <row r="80" spans="1:30" ht="15">
      <c r="A80" s="491"/>
      <c r="B80" s="503"/>
      <c r="C80" s="560">
        <v>0.5</v>
      </c>
      <c r="D80" s="560">
        <v>0.6</v>
      </c>
      <c r="E80" s="560">
        <v>0.7</v>
      </c>
      <c r="F80" s="560">
        <v>0.8</v>
      </c>
      <c r="G80" s="560">
        <v>0.9</v>
      </c>
      <c r="H80" s="560">
        <v>1.0001</v>
      </c>
      <c r="I80" s="616"/>
      <c r="J80" s="616"/>
      <c r="K80" s="624"/>
      <c r="L80" s="625"/>
      <c r="M80" s="626"/>
      <c r="N80" s="2981"/>
      <c r="O80" s="2981"/>
      <c r="P80" s="3007"/>
      <c r="Q80" s="2968"/>
      <c r="R80" s="2954"/>
      <c r="S80" s="2954"/>
      <c r="T80" s="2954"/>
      <c r="U80" s="2954"/>
      <c r="V80" s="2954"/>
      <c r="W80" s="2954"/>
      <c r="X80" s="2954"/>
      <c r="Y80" s="2954"/>
      <c r="Z80" s="2954"/>
      <c r="AA80" s="2954"/>
      <c r="AB80" s="2954"/>
      <c r="AC80" s="2954"/>
      <c r="AD80" s="295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3"/>
      <c r="O81" s="2983"/>
      <c r="P81" s="3008"/>
      <c r="Q81" s="2975"/>
      <c r="R81" s="2976"/>
      <c r="S81" s="2976"/>
      <c r="T81" s="2976"/>
      <c r="U81" s="2976"/>
      <c r="V81" s="2976"/>
      <c r="W81" s="2976"/>
      <c r="X81" s="2976"/>
      <c r="Y81" s="2976"/>
      <c r="Z81" s="2976"/>
      <c r="AA81" s="2976"/>
      <c r="AB81" s="2976"/>
      <c r="AC81" s="2976"/>
      <c r="AD81" s="2976"/>
    </row>
    <row r="82" spans="1:30" ht="15" thickTop="1">
      <c r="A82" s="556"/>
      <c r="B82" s="503" t="s">
        <v>2554</v>
      </c>
      <c r="C82" s="511"/>
      <c r="D82" s="511"/>
      <c r="E82" s="540"/>
      <c r="F82" s="540"/>
      <c r="G82" s="540"/>
      <c r="H82" s="540"/>
      <c r="I82" s="540"/>
      <c r="J82" s="540"/>
      <c r="K82" s="541"/>
      <c r="L82" s="542"/>
      <c r="M82" s="543"/>
      <c r="N82" s="2982"/>
      <c r="O82" s="2982"/>
      <c r="P82" s="3007"/>
      <c r="Q82" s="2968"/>
      <c r="R82" s="2954"/>
      <c r="S82" s="2954"/>
      <c r="T82" s="2954"/>
      <c r="U82" s="2954"/>
      <c r="V82" s="2954"/>
      <c r="W82" s="2954"/>
      <c r="X82" s="2954"/>
      <c r="Y82" s="2954"/>
      <c r="Z82" s="2954"/>
      <c r="AA82" s="2954"/>
      <c r="AB82" s="2954"/>
      <c r="AC82" s="2954"/>
      <c r="AD82" s="295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3"/>
      <c r="O83" s="2983"/>
      <c r="P83" s="3007"/>
      <c r="Q83" s="2968"/>
      <c r="R83" s="2954"/>
      <c r="S83" s="2954"/>
      <c r="T83" s="2954"/>
      <c r="U83" s="2954"/>
      <c r="V83" s="2954"/>
      <c r="W83" s="2954"/>
      <c r="X83" s="2954"/>
      <c r="Y83" s="2954"/>
      <c r="Z83" s="2954"/>
      <c r="AA83" s="2954"/>
      <c r="AB83" s="2954"/>
      <c r="AC83" s="2954"/>
      <c r="AD83" s="2954"/>
    </row>
    <row r="84" spans="1:30" ht="15" thickTop="1">
      <c r="A84" s="556"/>
      <c r="B84" s="495" t="s">
        <v>2562</v>
      </c>
      <c r="C84" s="511"/>
      <c r="D84" s="511"/>
      <c r="E84" s="511"/>
      <c r="F84" s="511"/>
      <c r="G84" s="511"/>
      <c r="H84" s="511"/>
      <c r="I84" s="540"/>
      <c r="J84" s="540"/>
      <c r="K84" s="541"/>
      <c r="L84" s="542"/>
      <c r="M84" s="543"/>
      <c r="N84" s="2982"/>
      <c r="O84" s="2982"/>
      <c r="P84" s="3007"/>
      <c r="Q84" s="2968"/>
      <c r="R84" s="2954"/>
      <c r="S84" s="2954"/>
      <c r="T84" s="2954"/>
      <c r="U84" s="2954"/>
      <c r="V84" s="2954"/>
      <c r="W84" s="2954"/>
      <c r="X84" s="2954"/>
      <c r="Y84" s="2954"/>
      <c r="Z84" s="2954"/>
      <c r="AA84" s="2954"/>
      <c r="AB84" s="2954"/>
      <c r="AC84" s="2954"/>
      <c r="AD84" s="295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3"/>
      <c r="O85" s="2983"/>
      <c r="P85" s="3007"/>
      <c r="Q85" s="2968"/>
      <c r="R85" s="2954"/>
      <c r="S85" s="2954"/>
      <c r="T85" s="2954"/>
      <c r="U85" s="2954"/>
      <c r="V85" s="2954"/>
      <c r="W85" s="2954"/>
      <c r="X85" s="2954"/>
      <c r="Y85" s="2954"/>
      <c r="Z85" s="2954"/>
      <c r="AA85" s="2954"/>
      <c r="AB85" s="2954"/>
      <c r="AC85" s="2954"/>
      <c r="AD85" s="2954"/>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2"/>
      <c r="O86" s="2982"/>
      <c r="P86" s="3007"/>
      <c r="Q86" s="2968"/>
      <c r="R86" s="2954"/>
      <c r="S86" s="2954"/>
      <c r="T86" s="2954"/>
      <c r="U86" s="2954"/>
      <c r="V86" s="2954"/>
      <c r="W86" s="2954"/>
      <c r="X86" s="2954"/>
      <c r="Y86" s="2954"/>
      <c r="Z86" s="2954"/>
      <c r="AA86" s="2954"/>
      <c r="AB86" s="2954"/>
      <c r="AC86" s="2954"/>
      <c r="AD86" s="2954"/>
    </row>
    <row r="87" spans="1:30">
      <c r="A87" s="556"/>
      <c r="B87" s="503"/>
      <c r="C87" s="552"/>
      <c r="D87" s="552"/>
      <c r="E87" s="552"/>
      <c r="F87" s="552"/>
      <c r="G87" s="552"/>
      <c r="H87" s="552"/>
      <c r="I87" s="552"/>
      <c r="J87" s="553"/>
      <c r="K87" s="553"/>
      <c r="L87" s="554"/>
      <c r="M87" s="555"/>
      <c r="N87" s="2982"/>
      <c r="O87" s="2982"/>
      <c r="P87" s="3007"/>
      <c r="Q87" s="2968"/>
      <c r="R87" s="2954"/>
      <c r="S87" s="2954"/>
      <c r="T87" s="2954"/>
      <c r="U87" s="2954"/>
      <c r="V87" s="2954"/>
      <c r="W87" s="2954"/>
      <c r="X87" s="2954"/>
      <c r="Y87" s="2954"/>
      <c r="Z87" s="2954"/>
      <c r="AA87" s="2954"/>
      <c r="AB87" s="2954"/>
      <c r="AC87" s="2954"/>
      <c r="AD87" s="2954"/>
    </row>
    <row r="88" spans="1:30" ht="15.75" thickBot="1">
      <c r="A88" s="491"/>
      <c r="B88" s="500"/>
      <c r="C88" s="517"/>
      <c r="D88" s="493"/>
      <c r="E88" s="493"/>
      <c r="F88" s="493"/>
      <c r="G88" s="493"/>
      <c r="H88" s="493"/>
      <c r="I88" s="493"/>
      <c r="J88" s="493"/>
      <c r="K88" s="493"/>
      <c r="L88" s="493"/>
      <c r="M88" s="493"/>
      <c r="N88" s="2983"/>
      <c r="O88" s="2983"/>
      <c r="P88" s="3007"/>
      <c r="Q88" s="2968"/>
      <c r="R88" s="2954"/>
      <c r="S88" s="2954"/>
      <c r="T88" s="2954"/>
      <c r="U88" s="2954"/>
      <c r="V88" s="2954"/>
      <c r="W88" s="2954"/>
      <c r="X88" s="2954"/>
      <c r="Y88" s="2954"/>
      <c r="Z88" s="2954"/>
      <c r="AA88" s="2954"/>
      <c r="AB88" s="2954"/>
      <c r="AC88" s="2954"/>
      <c r="AD88" s="2954"/>
    </row>
    <row r="89" spans="1:30" s="430" customFormat="1" ht="15" thickTop="1">
      <c r="A89" s="550"/>
      <c r="B89" s="495" t="s">
        <v>2564</v>
      </c>
      <c r="C89" s="511"/>
      <c r="D89" s="511"/>
      <c r="E89" s="511"/>
      <c r="F89" s="511"/>
      <c r="G89" s="511"/>
      <c r="H89" s="511"/>
      <c r="I89" s="511"/>
      <c r="J89" s="511"/>
      <c r="K89" s="511"/>
      <c r="L89" s="511"/>
      <c r="M89" s="538"/>
      <c r="N89" s="2984"/>
      <c r="O89" s="2984"/>
      <c r="P89" s="3008"/>
      <c r="Q89" s="2975"/>
      <c r="R89" s="2976"/>
      <c r="S89" s="2976"/>
      <c r="T89" s="2976"/>
      <c r="U89" s="2976"/>
      <c r="V89" s="2976"/>
      <c r="W89" s="2976"/>
      <c r="X89" s="2976"/>
      <c r="Y89" s="2976"/>
      <c r="Z89" s="2976"/>
      <c r="AA89" s="2976"/>
      <c r="AB89" s="2976"/>
      <c r="AC89" s="2976"/>
      <c r="AD89" s="2976"/>
    </row>
    <row r="90" spans="1:30" s="430" customFormat="1" ht="15.75" thickBot="1">
      <c r="A90" s="510"/>
      <c r="B90" s="500"/>
      <c r="C90" s="517"/>
      <c r="D90" s="493"/>
      <c r="E90" s="493"/>
      <c r="F90" s="493"/>
      <c r="G90" s="493"/>
      <c r="H90" s="493"/>
      <c r="I90" s="493"/>
      <c r="J90" s="493"/>
      <c r="K90" s="493"/>
      <c r="L90" s="493"/>
      <c r="M90" s="494"/>
      <c r="N90" s="2984"/>
      <c r="O90" s="2984"/>
      <c r="P90" s="3008"/>
      <c r="Q90" s="2975"/>
      <c r="R90" s="2976"/>
      <c r="S90" s="2976"/>
      <c r="T90" s="2976"/>
      <c r="U90" s="2976"/>
      <c r="V90" s="2976"/>
      <c r="W90" s="2976"/>
      <c r="X90" s="2976"/>
      <c r="Y90" s="2976"/>
      <c r="Z90" s="2976"/>
      <c r="AA90" s="2976"/>
      <c r="AB90" s="2976"/>
      <c r="AC90" s="2976"/>
      <c r="AD90" s="2976"/>
    </row>
    <row r="91" spans="1:30" ht="15" thickTop="1">
      <c r="A91" s="556"/>
      <c r="B91" s="495">
        <f>B32</f>
        <v>111</v>
      </c>
      <c r="C91" s="506"/>
      <c r="D91" s="506"/>
      <c r="E91" s="506"/>
      <c r="F91" s="506"/>
      <c r="G91" s="511"/>
      <c r="H91" s="512"/>
      <c r="I91" s="512"/>
      <c r="J91" s="512"/>
      <c r="K91" s="512"/>
      <c r="L91" s="513"/>
      <c r="M91" s="514"/>
      <c r="N91" s="2982"/>
      <c r="O91" s="2982"/>
      <c r="P91" s="3007"/>
      <c r="Q91" s="2968"/>
      <c r="R91" s="2954"/>
      <c r="S91" s="2954"/>
      <c r="T91" s="2954"/>
      <c r="U91" s="2954"/>
      <c r="V91" s="2954"/>
      <c r="W91" s="2954"/>
      <c r="X91" s="2954"/>
      <c r="Y91" s="2954"/>
      <c r="Z91" s="2954"/>
      <c r="AA91" s="2954"/>
      <c r="AB91" s="2954"/>
      <c r="AC91" s="2954"/>
      <c r="AD91" s="2954"/>
    </row>
    <row r="92" spans="1:30" ht="15.75" thickBot="1">
      <c r="A92" s="491"/>
      <c r="B92" s="500"/>
      <c r="C92" s="517"/>
      <c r="D92" s="493"/>
      <c r="E92" s="493"/>
      <c r="F92" s="493"/>
      <c r="G92" s="517"/>
      <c r="H92" s="519"/>
      <c r="I92" s="519"/>
      <c r="J92" s="519"/>
      <c r="K92" s="519"/>
      <c r="L92" s="519"/>
      <c r="M92" s="520"/>
      <c r="N92" s="2983"/>
      <c r="O92" s="2983"/>
      <c r="P92" s="3007"/>
      <c r="Q92" s="2968"/>
      <c r="R92" s="2954"/>
      <c r="S92" s="2954"/>
      <c r="T92" s="2954"/>
      <c r="U92" s="2954"/>
      <c r="V92" s="2954"/>
      <c r="W92" s="2954"/>
      <c r="X92" s="2954"/>
      <c r="Y92" s="2954"/>
      <c r="Z92" s="2954"/>
      <c r="AA92" s="2954"/>
      <c r="AB92" s="2954"/>
      <c r="AC92" s="2954"/>
      <c r="AD92" s="2954"/>
    </row>
    <row r="93" spans="1:30" ht="15" thickTop="1">
      <c r="A93" s="556"/>
      <c r="B93" s="495">
        <f>B33</f>
        <v>111</v>
      </c>
      <c r="C93" s="506"/>
      <c r="D93" s="506"/>
      <c r="E93" s="506"/>
      <c r="F93" s="506"/>
      <c r="G93" s="511"/>
      <c r="H93" s="512"/>
      <c r="I93" s="512"/>
      <c r="J93" s="512"/>
      <c r="K93" s="512"/>
      <c r="L93" s="513"/>
      <c r="M93" s="514"/>
      <c r="N93" s="2982"/>
      <c r="O93" s="2982"/>
      <c r="P93" s="3007"/>
      <c r="Q93" s="2968"/>
      <c r="R93" s="2954"/>
      <c r="S93" s="2954"/>
      <c r="T93" s="2954"/>
      <c r="U93" s="2954"/>
      <c r="V93" s="2954"/>
      <c r="W93" s="2954"/>
      <c r="X93" s="2954"/>
      <c r="Y93" s="2954"/>
      <c r="Z93" s="2954"/>
      <c r="AA93" s="2954"/>
      <c r="AB93" s="2954"/>
      <c r="AC93" s="2954"/>
      <c r="AD93" s="2954"/>
    </row>
    <row r="94" spans="1:30" ht="15.75" thickBot="1">
      <c r="A94" s="491"/>
      <c r="B94" s="500"/>
      <c r="C94" s="517"/>
      <c r="D94" s="493"/>
      <c r="E94" s="493"/>
      <c r="F94" s="493"/>
      <c r="G94" s="517"/>
      <c r="H94" s="519"/>
      <c r="I94" s="519"/>
      <c r="J94" s="519"/>
      <c r="K94" s="519"/>
      <c r="L94" s="519"/>
      <c r="M94" s="520"/>
      <c r="N94" s="2983"/>
      <c r="O94" s="2983"/>
      <c r="P94" s="3007"/>
      <c r="Q94" s="2968"/>
      <c r="R94" s="2954"/>
      <c r="S94" s="2954"/>
      <c r="T94" s="2954"/>
      <c r="U94" s="2954"/>
      <c r="V94" s="2954"/>
      <c r="W94" s="2954"/>
      <c r="X94" s="2954"/>
      <c r="Y94" s="2954"/>
      <c r="Z94" s="2954"/>
      <c r="AA94" s="2954"/>
      <c r="AB94" s="2954"/>
      <c r="AC94" s="2954"/>
      <c r="AD94" s="2954"/>
    </row>
    <row r="95" spans="1:30" ht="15" thickTop="1">
      <c r="A95" s="556"/>
      <c r="B95" s="592">
        <f>B34</f>
        <v>111</v>
      </c>
      <c r="C95" s="506"/>
      <c r="D95" s="506"/>
      <c r="E95" s="506"/>
      <c r="F95" s="506"/>
      <c r="G95" s="511"/>
      <c r="H95" s="512"/>
      <c r="I95" s="512"/>
      <c r="J95" s="512"/>
      <c r="K95" s="512"/>
      <c r="L95" s="513"/>
      <c r="M95" s="514"/>
      <c r="N95" s="2983"/>
      <c r="O95" s="2983"/>
      <c r="P95" s="3010"/>
      <c r="Q95" s="2997"/>
      <c r="R95" s="2954"/>
      <c r="S95" s="2954"/>
      <c r="T95" s="2954"/>
      <c r="U95" s="2954"/>
      <c r="V95" s="2954"/>
      <c r="W95" s="2954"/>
      <c r="X95" s="2954"/>
      <c r="Y95" s="2954"/>
      <c r="Z95" s="2954"/>
      <c r="AA95" s="2954"/>
      <c r="AB95" s="2954"/>
      <c r="AC95" s="2954"/>
      <c r="AD95" s="2954"/>
    </row>
    <row r="96" spans="1:30" ht="15.75" thickBot="1">
      <c r="A96" s="491"/>
      <c r="B96" s="500"/>
      <c r="C96" s="517"/>
      <c r="D96" s="517"/>
      <c r="E96" s="517"/>
      <c r="F96" s="517"/>
      <c r="G96" s="517"/>
      <c r="H96" s="519"/>
      <c r="I96" s="519"/>
      <c r="J96" s="519"/>
      <c r="K96" s="519"/>
      <c r="L96" s="519"/>
      <c r="M96" s="520"/>
      <c r="N96" s="2983"/>
      <c r="O96" s="2983"/>
      <c r="P96" s="3007"/>
      <c r="Q96" s="2968"/>
      <c r="R96" s="2954"/>
      <c r="S96" s="2954"/>
      <c r="T96" s="2954"/>
      <c r="U96" s="2954"/>
      <c r="V96" s="2954"/>
      <c r="W96" s="2954"/>
      <c r="X96" s="2954"/>
      <c r="Y96" s="2954"/>
      <c r="Z96" s="2954"/>
      <c r="AA96" s="2954"/>
      <c r="AB96" s="2954"/>
      <c r="AC96" s="2954"/>
      <c r="AD96" s="2954"/>
    </row>
    <row r="97" spans="1:30" ht="15" thickTop="1">
      <c r="N97" s="2954"/>
      <c r="O97" s="2954"/>
      <c r="P97" s="2954"/>
      <c r="Q97" s="2954"/>
      <c r="R97" s="2954"/>
      <c r="S97" s="2954"/>
      <c r="T97" s="2954"/>
      <c r="U97" s="2954"/>
      <c r="V97" s="2954"/>
      <c r="W97" s="2954"/>
      <c r="X97" s="2954"/>
      <c r="Y97" s="2954"/>
      <c r="Z97" s="2954"/>
      <c r="AA97" s="2954"/>
      <c r="AB97" s="2954"/>
      <c r="AC97" s="2954"/>
      <c r="AD97" s="2954"/>
    </row>
    <row r="98" spans="1:30">
      <c r="A98" s="1067"/>
      <c r="B98" s="1067"/>
      <c r="C98" s="1067"/>
      <c r="D98" s="1067"/>
      <c r="E98" s="1067"/>
      <c r="F98" s="1067"/>
      <c r="G98" s="1067"/>
      <c r="H98" s="1067"/>
      <c r="I98" s="1067"/>
      <c r="J98" s="1067"/>
      <c r="K98" s="1068"/>
      <c r="L98" s="1069"/>
      <c r="M98" s="1067"/>
      <c r="N98" s="2954"/>
      <c r="O98" s="2954"/>
      <c r="P98" s="2954"/>
      <c r="Q98" s="2954"/>
      <c r="R98" s="2954"/>
      <c r="S98" s="2954"/>
      <c r="T98" s="2954"/>
      <c r="U98" s="2954"/>
      <c r="V98" s="2954"/>
      <c r="W98" s="2954"/>
      <c r="X98" s="2954"/>
      <c r="Y98" s="2954"/>
      <c r="Z98" s="2954"/>
      <c r="AA98" s="2954"/>
      <c r="AB98" s="2954"/>
      <c r="AC98" s="2954"/>
      <c r="AD98" s="2954"/>
    </row>
    <row r="99" spans="1:30">
      <c r="A99" s="1067"/>
      <c r="B99" s="1067"/>
      <c r="C99" s="1067"/>
      <c r="D99" s="1067"/>
      <c r="E99" s="1067"/>
      <c r="F99" s="1067"/>
      <c r="G99" s="1067"/>
      <c r="H99" s="1067"/>
      <c r="I99" s="1067"/>
      <c r="J99" s="1067"/>
      <c r="K99" s="1068"/>
      <c r="L99" s="1069"/>
      <c r="M99" s="1067"/>
      <c r="N99" s="2954"/>
      <c r="O99" s="2954"/>
      <c r="P99" s="2954"/>
      <c r="Q99" s="2954"/>
      <c r="R99" s="2954"/>
      <c r="S99" s="2954"/>
      <c r="T99" s="2954"/>
      <c r="U99" s="2954"/>
      <c r="V99" s="2954"/>
      <c r="W99" s="2954"/>
      <c r="X99" s="2954"/>
      <c r="Y99" s="2954"/>
      <c r="Z99" s="2954"/>
      <c r="AA99" s="2954"/>
      <c r="AB99" s="2954"/>
      <c r="AC99" s="2954"/>
      <c r="AD99" s="2954"/>
    </row>
    <row r="100" spans="1:30">
      <c r="A100" s="1067"/>
      <c r="B100" s="1067"/>
      <c r="C100" s="1067"/>
      <c r="D100" s="1067"/>
      <c r="E100" s="1067"/>
      <c r="F100" s="1067"/>
      <c r="G100" s="1067"/>
      <c r="H100" s="1067"/>
      <c r="I100" s="1067"/>
      <c r="J100" s="1067"/>
      <c r="K100" s="1068"/>
      <c r="L100" s="1069"/>
      <c r="M100" s="1067"/>
      <c r="N100" s="2954"/>
      <c r="O100" s="2954"/>
      <c r="P100" s="2954"/>
      <c r="Q100" s="2954"/>
      <c r="R100" s="2954"/>
      <c r="S100" s="2954"/>
      <c r="T100" s="2954"/>
      <c r="U100" s="2954"/>
      <c r="V100" s="2954"/>
      <c r="W100" s="2954"/>
      <c r="X100" s="2954"/>
      <c r="Y100" s="2954"/>
      <c r="Z100" s="2954"/>
      <c r="AA100" s="2954"/>
      <c r="AB100" s="2954"/>
      <c r="AC100" s="2954"/>
      <c r="AD100" s="2954"/>
    </row>
    <row r="101" spans="1:30">
      <c r="A101" s="1067"/>
      <c r="B101" s="1067"/>
      <c r="C101" s="1067"/>
      <c r="D101" s="1067"/>
      <c r="E101" s="1067"/>
      <c r="F101" s="1067"/>
      <c r="G101" s="1067"/>
      <c r="H101" s="1067"/>
      <c r="I101" s="1067"/>
      <c r="J101" s="1067"/>
      <c r="K101" s="1068"/>
      <c r="L101" s="1069"/>
      <c r="M101" s="1067"/>
      <c r="N101" s="2954"/>
      <c r="O101" s="2954"/>
      <c r="P101" s="2954"/>
      <c r="Q101" s="2954"/>
      <c r="R101" s="2954"/>
      <c r="S101" s="2954"/>
      <c r="T101" s="2954"/>
      <c r="U101" s="2954"/>
      <c r="V101" s="2954"/>
      <c r="W101" s="2954"/>
      <c r="X101" s="2954"/>
      <c r="Y101" s="2954"/>
      <c r="Z101" s="2954"/>
      <c r="AA101" s="2954"/>
      <c r="AB101" s="2954"/>
      <c r="AC101" s="2954"/>
      <c r="AD101" s="2954"/>
    </row>
    <row r="102" spans="1:30">
      <c r="A102" s="1067"/>
      <c r="B102" s="1067"/>
      <c r="C102" s="1067"/>
      <c r="D102" s="1067"/>
      <c r="E102" s="1067"/>
      <c r="F102" s="1067"/>
      <c r="G102" s="1067"/>
      <c r="H102" s="1067"/>
      <c r="I102" s="1067"/>
      <c r="J102" s="1067"/>
      <c r="K102" s="1068"/>
      <c r="L102" s="1069"/>
      <c r="M102" s="1067"/>
      <c r="N102" s="2954"/>
      <c r="O102" s="2954"/>
      <c r="P102" s="2954"/>
      <c r="Q102" s="2954"/>
      <c r="R102" s="2954"/>
      <c r="S102" s="2954"/>
      <c r="T102" s="2954"/>
      <c r="U102" s="2954"/>
      <c r="V102" s="2954"/>
      <c r="W102" s="2954"/>
      <c r="X102" s="2954"/>
      <c r="Y102" s="2954"/>
      <c r="Z102" s="2954"/>
      <c r="AA102" s="2954"/>
      <c r="AB102" s="2954"/>
      <c r="AC102" s="2954"/>
      <c r="AD102" s="2954"/>
    </row>
    <row r="103" spans="1:30">
      <c r="A103" s="1067"/>
      <c r="B103" s="1067"/>
      <c r="C103" s="1067"/>
      <c r="D103" s="1067"/>
      <c r="E103" s="1067"/>
      <c r="F103" s="1067"/>
      <c r="G103" s="1067"/>
      <c r="H103" s="1067"/>
      <c r="I103" s="1067"/>
      <c r="J103" s="1067"/>
      <c r="K103" s="1068"/>
      <c r="L103" s="1069"/>
      <c r="M103" s="1067"/>
      <c r="N103" s="1067"/>
      <c r="O103" s="1067"/>
      <c r="P103" s="2954"/>
      <c r="Q103" s="2954"/>
      <c r="R103" s="2954"/>
      <c r="S103" s="2954"/>
      <c r="T103" s="2954"/>
      <c r="U103" s="2954"/>
      <c r="V103" s="2954"/>
      <c r="W103" s="2954"/>
      <c r="X103" s="2954"/>
      <c r="Y103" s="2954"/>
      <c r="Z103" s="2954"/>
      <c r="AA103" s="2954"/>
      <c r="AB103" s="2954"/>
      <c r="AC103" s="2954"/>
      <c r="AD103" s="295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77" priority="18" stopIfTrue="1" operator="containsText" text="超过">
      <formula>NOT(ISERROR(SEARCH("超过",F40)))</formula>
    </cfRule>
  </conditionalFormatting>
  <conditionalFormatting sqref="J42">
    <cfRule type="containsText" dxfId="76" priority="17" stopIfTrue="1" operator="containsText" text="超过">
      <formula>NOT(ISERROR(SEARCH("超过",J42)))</formula>
    </cfRule>
  </conditionalFormatting>
  <conditionalFormatting sqref="H42">
    <cfRule type="containsText" dxfId="75" priority="16" stopIfTrue="1" operator="containsText" text="超过">
      <formula>NOT(ISERROR(SEARCH("超过",H42)))</formula>
    </cfRule>
  </conditionalFormatting>
  <conditionalFormatting sqref="F42">
    <cfRule type="containsText" dxfId="74" priority="15" stopIfTrue="1" operator="containsText" text="超过">
      <formula>NOT(ISERROR(SEARCH("超过",F42)))</formula>
    </cfRule>
  </conditionalFormatting>
  <conditionalFormatting sqref="F41 H41 J41">
    <cfRule type="containsText" dxfId="73" priority="14" stopIfTrue="1" operator="containsText" text="超过">
      <formula>NOT(ISERROR(SEARCH("超过",F41)))</formula>
    </cfRule>
  </conditionalFormatting>
  <conditionalFormatting sqref="E40">
    <cfRule type="expression" dxfId="72" priority="13" stopIfTrue="1">
      <formula>$F$40="超过30%"</formula>
    </cfRule>
  </conditionalFormatting>
  <conditionalFormatting sqref="G42">
    <cfRule type="expression" dxfId="71" priority="12" stopIfTrue="1">
      <formula>$H$54+$H$42="超过30%"</formula>
    </cfRule>
  </conditionalFormatting>
  <conditionalFormatting sqref="E41">
    <cfRule type="expression" dxfId="70" priority="11" stopIfTrue="1">
      <formula>$F$41="超过20%"</formula>
    </cfRule>
  </conditionalFormatting>
  <conditionalFormatting sqref="E42">
    <cfRule type="expression" dxfId="69" priority="10" stopIfTrue="1">
      <formula>$F$42="超过30%"</formula>
    </cfRule>
  </conditionalFormatting>
  <conditionalFormatting sqref="G40">
    <cfRule type="expression" dxfId="68" priority="9" stopIfTrue="1">
      <formula>$H$52+$H$40="超过30%"</formula>
    </cfRule>
  </conditionalFormatting>
  <conditionalFormatting sqref="G41">
    <cfRule type="expression" dxfId="67" priority="8" stopIfTrue="1">
      <formula>$H$53+$H$41="超过20%"</formula>
    </cfRule>
  </conditionalFormatting>
  <conditionalFormatting sqref="I40">
    <cfRule type="expression" dxfId="66" priority="7" stopIfTrue="1">
      <formula>$J$40="超过30%"</formula>
    </cfRule>
  </conditionalFormatting>
  <conditionalFormatting sqref="I41">
    <cfRule type="expression" dxfId="65" priority="6" stopIfTrue="1">
      <formula>$J$41="超过20%"</formula>
    </cfRule>
  </conditionalFormatting>
  <conditionalFormatting sqref="I42">
    <cfRule type="expression" dxfId="64" priority="5" stopIfTrue="1">
      <formula>$J$42="超过30%"</formula>
    </cfRule>
  </conditionalFormatting>
  <conditionalFormatting sqref="F36">
    <cfRule type="expression" dxfId="63" priority="4">
      <formula>$D$36="简单平均"</formula>
    </cfRule>
  </conditionalFormatting>
  <conditionalFormatting sqref="H36">
    <cfRule type="expression" dxfId="62" priority="3">
      <formula>$D$36="简单平均"</formula>
    </cfRule>
  </conditionalFormatting>
  <conditionalFormatting sqref="J36">
    <cfRule type="expression" dxfId="61" priority="2">
      <formula>$D$36="简单平均"</formula>
    </cfRule>
  </conditionalFormatting>
  <conditionalFormatting sqref="F7:F34 H7:H34 J7:J34">
    <cfRule type="cellIs" dxfId="60" priority="1" operator="notEqual">
      <formula>100</formula>
    </cfRule>
  </conditionalFormatting>
  <dataValidations count="18">
    <dataValidation type="list" allowBlank="1" showInputMessage="1" showErrorMessage="1" sqref="G15 E15 C15 I15" xr:uid="{00000000-0002-0000-1F00-000000000000}">
      <formula1>交通便捷度</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D1" xr:uid="{00000000-0002-0000-1F00-000002000000}">
      <formula1>项目类型</formula1>
    </dataValidation>
    <dataValidation type="list" allowBlank="1" showInputMessage="1" showErrorMessage="1" sqref="C10 E10 G10 I10" xr:uid="{00000000-0002-0000-1F00-000003000000}">
      <formula1>土地年限区间</formula1>
    </dataValidation>
    <dataValidation type="list" allowBlank="1" showInputMessage="1" showErrorMessage="1" sqref="C8 E8 G8 I8" xr:uid="{00000000-0002-0000-1F00-000004000000}">
      <formula1>仓储交易情况</formula1>
    </dataValidation>
    <dataValidation type="list" allowBlank="1" showInputMessage="1" showErrorMessage="1" sqref="E9 G9 I9" xr:uid="{00000000-0002-0000-1F00-000005000000}">
      <formula1>仓储用途</formula1>
    </dataValidation>
    <dataValidation type="list" allowBlank="1" showInputMessage="1" showErrorMessage="1" sqref="C21 E21 G21 I21" xr:uid="{00000000-0002-0000-1F00-000006000000}">
      <formula1>环境</formula1>
    </dataValidation>
    <dataValidation type="list" allowBlank="1" showInputMessage="1" showErrorMessage="1" sqref="C22 E22 G22 I22" xr:uid="{00000000-0002-0000-1F00-000007000000}">
      <formula1>仓储楼层</formula1>
    </dataValidation>
    <dataValidation type="list" allowBlank="1" showInputMessage="1" showErrorMessage="1" sqref="C26 E26 G26 I26" xr:uid="{00000000-0002-0000-1F00-000008000000}">
      <formula1>仓储公共部分装修</formula1>
    </dataValidation>
    <dataValidation type="list" allowBlank="1" showInputMessage="1" showErrorMessage="1" sqref="C29 E29 G29 I29" xr:uid="{00000000-0002-0000-1F00-000009000000}">
      <formula1>有无电梯</formula1>
    </dataValidation>
    <dataValidation type="list" allowBlank="1" showInputMessage="1" showErrorMessage="1" sqref="C31 E31 G31 I31" xr:uid="{00000000-0002-0000-1F00-00000A000000}">
      <formula1>是否封闭</formula1>
    </dataValidation>
    <dataValidation type="list" allowBlank="1" showInputMessage="1" showErrorMessage="1" sqref="B1" xr:uid="{00000000-0002-0000-1F00-00000B000000}">
      <formula1>地类判定</formula1>
    </dataValidation>
    <dataValidation type="list" allowBlank="1" showInputMessage="1" showErrorMessage="1" sqref="C28 E28 G28 I28" xr:uid="{00000000-0002-0000-1F00-00000C000000}">
      <formula1>仓储物业等级</formula1>
    </dataValidation>
    <dataValidation type="list" allowBlank="1" showInputMessage="1" showErrorMessage="1" sqref="C19 E19 G19 I19" xr:uid="{00000000-0002-0000-1F00-00000D000000}">
      <formula1>基础设施水平</formula1>
    </dataValidation>
    <dataValidation type="list" allowBlank="1" showInputMessage="1" showErrorMessage="1" sqref="F1" xr:uid="{00000000-0002-0000-1F00-00000E000000}">
      <formula1>"售价,租金"</formula1>
    </dataValidation>
    <dataValidation type="list" allowBlank="1" showInputMessage="1" showErrorMessage="1" sqref="C2" xr:uid="{00000000-0002-0000-1F00-00000F000000}">
      <formula1>"需扣减承租人权益,——"</formula1>
    </dataValidation>
    <dataValidation type="list" allowBlank="1" showInputMessage="1" showErrorMessage="1" sqref="F2" xr:uid="{00000000-0002-0000-1F00-000010000000}">
      <formula1>估价方法</formula1>
    </dataValidation>
    <dataValidation type="list" allowBlank="1" showInputMessage="1" showErrorMessage="1" sqref="D36" xr:uid="{00000000-0002-0000-1F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D132"/>
  <sheetViews>
    <sheetView view="pageBreakPreview" zoomScale="60" zoomScaleNormal="60" workbookViewId="0">
      <selection activeCell="D30" activeCellId="1" sqref="H5 D30"/>
    </sheetView>
  </sheetViews>
  <sheetFormatPr defaultColWidth="9" defaultRowHeight="14.25"/>
  <cols>
    <col min="1" max="1" width="14.375" style="363" customWidth="1"/>
    <col min="2" max="2" width="15.625" style="363" customWidth="1"/>
    <col min="3" max="3" width="14.375" style="363" customWidth="1"/>
    <col min="4" max="4" width="14.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363"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t="e">
        <f>F66</f>
        <v>#DIV/0!</v>
      </c>
      <c r="C2" s="1038"/>
      <c r="D2" s="1038"/>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c r="AD2" s="357"/>
    </row>
    <row r="3" spans="1:30"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30" ht="15">
      <c r="A4" s="361" t="s">
        <v>2466</v>
      </c>
      <c r="B4" s="362"/>
      <c r="C4" s="3925" t="s">
        <v>2467</v>
      </c>
      <c r="D4" s="3926"/>
      <c r="E4" s="3927" t="s">
        <v>2468</v>
      </c>
      <c r="F4" s="3928"/>
      <c r="G4" s="3925" t="s">
        <v>2469</v>
      </c>
      <c r="H4" s="3926"/>
      <c r="I4" s="3925" t="s">
        <v>2470</v>
      </c>
      <c r="J4" s="3926"/>
      <c r="K4" s="567" t="s">
        <v>2471</v>
      </c>
      <c r="L4" s="2944"/>
      <c r="M4" s="2945"/>
      <c r="N4" s="2945"/>
      <c r="O4" s="2945"/>
      <c r="P4" s="3929" t="s">
        <v>2472</v>
      </c>
      <c r="Q4" s="3930"/>
      <c r="R4" s="3935" t="s">
        <v>2468</v>
      </c>
      <c r="S4" s="3936"/>
      <c r="T4" s="3935" t="s">
        <v>2469</v>
      </c>
      <c r="U4" s="3936"/>
      <c r="V4" s="3941" t="s">
        <v>2470</v>
      </c>
      <c r="W4" s="3941"/>
      <c r="X4" s="1539"/>
      <c r="Y4" s="3935" t="s">
        <v>2472</v>
      </c>
      <c r="Z4" s="3936"/>
      <c r="AA4" s="3922" t="s">
        <v>2468</v>
      </c>
      <c r="AB4" s="3923" t="s">
        <v>2469</v>
      </c>
      <c r="AC4" s="3922" t="s">
        <v>2470</v>
      </c>
    </row>
    <row r="5" spans="1:30" ht="15">
      <c r="A5" s="364"/>
      <c r="B5" s="365"/>
      <c r="C5" s="3944" t="s">
        <v>2363</v>
      </c>
      <c r="D5" s="3945"/>
      <c r="E5" s="3951" t="s">
        <v>2364</v>
      </c>
      <c r="F5" s="3952"/>
      <c r="G5" s="3944" t="s">
        <v>2365</v>
      </c>
      <c r="H5" s="3945"/>
      <c r="I5" s="3944" t="s">
        <v>2366</v>
      </c>
      <c r="J5" s="3945"/>
      <c r="K5" s="567"/>
      <c r="L5" s="2944"/>
      <c r="M5" s="2945"/>
      <c r="N5" s="2945"/>
      <c r="O5" s="2945"/>
      <c r="P5" s="3931"/>
      <c r="Q5" s="3932"/>
      <c r="R5" s="3937"/>
      <c r="S5" s="3938"/>
      <c r="T5" s="3937"/>
      <c r="U5" s="3938"/>
      <c r="V5" s="3941"/>
      <c r="W5" s="3941"/>
      <c r="X5" s="1539"/>
      <c r="Y5" s="3937"/>
      <c r="Z5" s="3938"/>
      <c r="AA5" s="3923"/>
      <c r="AB5" s="3923"/>
      <c r="AC5" s="3923"/>
    </row>
    <row r="6" spans="1:30" ht="15.75" thickBot="1">
      <c r="A6" s="366"/>
      <c r="B6" s="367"/>
      <c r="C6" s="3942" t="s">
        <v>2367</v>
      </c>
      <c r="D6" s="3943"/>
      <c r="E6" s="3949" t="s">
        <v>2367</v>
      </c>
      <c r="F6" s="3950"/>
      <c r="G6" s="3942" t="s">
        <v>2367</v>
      </c>
      <c r="H6" s="3943"/>
      <c r="I6" s="3942" t="s">
        <v>2367</v>
      </c>
      <c r="J6" s="3943"/>
      <c r="K6" s="567" t="s">
        <v>2368</v>
      </c>
      <c r="L6" s="2944"/>
      <c r="M6" s="2945"/>
      <c r="N6" s="2945"/>
      <c r="O6" s="2945"/>
      <c r="P6" s="3933"/>
      <c r="Q6" s="3934"/>
      <c r="R6" s="3937"/>
      <c r="S6" s="3938"/>
      <c r="T6" s="3939"/>
      <c r="U6" s="3940"/>
      <c r="V6" s="3941"/>
      <c r="W6" s="3941"/>
      <c r="X6" s="1539"/>
      <c r="Y6" s="3939"/>
      <c r="Z6" s="3940"/>
      <c r="AA6" s="3924"/>
      <c r="AB6" s="3924"/>
      <c r="AC6" s="3924"/>
    </row>
    <row r="7" spans="1:30" s="113" customFormat="1" ht="15.75" thickBot="1">
      <c r="A7" s="368" t="s">
        <v>2369</v>
      </c>
      <c r="B7" s="369"/>
      <c r="C7" s="370">
        <f>'数据-取费表'!B2</f>
        <v>44357</v>
      </c>
      <c r="D7" s="371">
        <v>100</v>
      </c>
      <c r="E7" s="372"/>
      <c r="F7" s="373">
        <f>SUMIF(70:70,YEAR(E7)&amp;"-"&amp;INT((MONTH(E7)+2)/3),71:71)</f>
        <v>0</v>
      </c>
      <c r="G7" s="2160"/>
      <c r="H7" s="371">
        <f>SUMIF(70:70,YEAR(G7)&amp;"-"&amp;INT((MONTH(G7)+2)/3),71:71)</f>
        <v>0</v>
      </c>
      <c r="I7" s="2160"/>
      <c r="J7" s="371">
        <f>SUMIF(70:70,YEAR(I7)&amp;"-"&amp;INT((MONTH(I7)+2)/3),71:71)</f>
        <v>0</v>
      </c>
      <c r="K7" s="568"/>
      <c r="L7" s="2946"/>
      <c r="M7" s="2947"/>
      <c r="N7" s="2947"/>
      <c r="O7" s="2947"/>
      <c r="P7" s="3946" t="s">
        <v>2370</v>
      </c>
      <c r="Q7" s="3948"/>
      <c r="R7" s="710" t="s">
        <v>17</v>
      </c>
      <c r="S7" s="711">
        <f t="shared" ref="S7:S15" si="0">F7</f>
        <v>0</v>
      </c>
      <c r="T7" s="710" t="s">
        <v>17</v>
      </c>
      <c r="U7" s="711">
        <f t="shared" ref="U7:U15" si="1">H7</f>
        <v>0</v>
      </c>
      <c r="V7" s="710" t="s">
        <v>17</v>
      </c>
      <c r="W7" s="711">
        <f t="shared" ref="W7:W15" si="2">J7</f>
        <v>0</v>
      </c>
      <c r="X7" s="712"/>
      <c r="Y7" s="3946" t="s">
        <v>2370</v>
      </c>
      <c r="Z7" s="3947"/>
      <c r="AA7" s="713" t="e">
        <f>D7/F7</f>
        <v>#DIV/0!</v>
      </c>
      <c r="AB7" s="713" t="e">
        <f>D7/H7</f>
        <v>#DIV/0!</v>
      </c>
      <c r="AC7" s="713" t="e">
        <f>D7/J7</f>
        <v>#DIV/0!</v>
      </c>
    </row>
    <row r="8" spans="1:30" s="113" customFormat="1" ht="15.75" thickBot="1">
      <c r="A8" s="368" t="s">
        <v>2371</v>
      </c>
      <c r="B8" s="369"/>
      <c r="C8" s="374" t="s">
        <v>2372</v>
      </c>
      <c r="D8" s="371">
        <v>100</v>
      </c>
      <c r="E8" s="374"/>
      <c r="F8" s="373">
        <f>SUMIF(73:73,E8,74:74)-SUMIF(73:73,C8,74:74)+100</f>
        <v>0</v>
      </c>
      <c r="G8" s="374"/>
      <c r="H8" s="371">
        <f>SUMIF(73:73,G8,74:74)-SUMIF(73:73,C8,74:74)+100</f>
        <v>0</v>
      </c>
      <c r="I8" s="374"/>
      <c r="J8" s="371">
        <f>SUMIF(73:73,I8,74:74)-SUMIF(73:73,C8,74:74)+100</f>
        <v>0</v>
      </c>
      <c r="K8" s="568"/>
      <c r="L8" s="2946"/>
      <c r="M8" s="2947"/>
      <c r="N8" s="2947"/>
      <c r="O8" s="2947"/>
      <c r="P8" s="3946" t="s">
        <v>2373</v>
      </c>
      <c r="Q8" s="3947"/>
      <c r="R8" s="710" t="s">
        <v>17</v>
      </c>
      <c r="S8" s="711">
        <f t="shared" si="0"/>
        <v>0</v>
      </c>
      <c r="T8" s="710" t="s">
        <v>17</v>
      </c>
      <c r="U8" s="711">
        <f t="shared" si="1"/>
        <v>0</v>
      </c>
      <c r="V8" s="710" t="s">
        <v>17</v>
      </c>
      <c r="W8" s="711">
        <f t="shared" si="2"/>
        <v>0</v>
      </c>
      <c r="X8" s="712"/>
      <c r="Y8" s="3946" t="s">
        <v>2373</v>
      </c>
      <c r="Z8" s="3947"/>
      <c r="AA8" s="713" t="e">
        <f t="shared" ref="AA8:AA45" si="3">D8/F8</f>
        <v>#DIV/0!</v>
      </c>
      <c r="AB8" s="713" t="e">
        <f t="shared" ref="AB8:AB45" si="4">D8/H8</f>
        <v>#DIV/0!</v>
      </c>
      <c r="AC8" s="713" t="e">
        <f t="shared" ref="AC8:AC45" si="5">D8/J8</f>
        <v>#DIV/0!</v>
      </c>
    </row>
    <row r="9" spans="1:30" s="113" customFormat="1">
      <c r="A9" s="375" t="s">
        <v>2374</v>
      </c>
      <c r="B9" s="67" t="s">
        <v>2375</v>
      </c>
      <c r="C9" s="2163"/>
      <c r="D9" s="131">
        <v>100</v>
      </c>
      <c r="E9" s="2163"/>
      <c r="F9" s="131">
        <f>SUMIF(75:75,E9,76:76)-SUMIF(75:75,C9,76:76)+100</f>
        <v>100</v>
      </c>
      <c r="G9" s="2163"/>
      <c r="H9" s="131">
        <f>SUMIF(75:75,G9,76:76)-SUMIF(75:75,C9,76:76)+100</f>
        <v>100</v>
      </c>
      <c r="I9" s="2163"/>
      <c r="J9" s="131">
        <f>SUMIF(75:75,I9,76:76)-SUMIF(75:75,C9,76:76)+100</f>
        <v>100</v>
      </c>
      <c r="K9" s="568"/>
      <c r="L9" s="2946"/>
      <c r="M9" s="2947"/>
      <c r="N9" s="2947"/>
      <c r="O9" s="3001"/>
      <c r="P9" s="3910"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713">
        <f t="shared" si="5"/>
        <v>1</v>
      </c>
    </row>
    <row r="10" spans="1:30" s="386" customFormat="1" ht="27">
      <c r="A10" s="380"/>
      <c r="B10" s="381" t="s">
        <v>2378</v>
      </c>
      <c r="C10" s="391"/>
      <c r="D10" s="132">
        <v>100</v>
      </c>
      <c r="E10" s="424"/>
      <c r="F10" s="132">
        <f>ROUND(100/'数据-取费表'!G16,0)</f>
        <v>100</v>
      </c>
      <c r="G10" s="422"/>
      <c r="H10" s="132">
        <f>ROUND(100/'数据-取费表'!G16,0)</f>
        <v>100</v>
      </c>
      <c r="I10" s="422"/>
      <c r="J10" s="132">
        <f>ROUND(100/'数据-取费表'!G16,0)</f>
        <v>100</v>
      </c>
      <c r="K10" s="628"/>
      <c r="L10" s="2948"/>
      <c r="M10" s="2949"/>
      <c r="N10" s="2949"/>
      <c r="O10" s="3002"/>
      <c r="P10" s="3910"/>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30" ht="15">
      <c r="A11" s="387"/>
      <c r="B11" s="381" t="s">
        <v>2379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50"/>
      <c r="M11" s="2945"/>
      <c r="N11" s="2945"/>
      <c r="O11" s="3003"/>
      <c r="P11" s="3910"/>
      <c r="Q11" s="1527" t="str">
        <f t="shared" si="6"/>
        <v>容积率</v>
      </c>
      <c r="R11" s="710" t="s">
        <v>17</v>
      </c>
      <c r="S11" s="711" t="e">
        <f t="shared" si="0"/>
        <v>#N/A</v>
      </c>
      <c r="T11" s="710" t="s">
        <v>17</v>
      </c>
      <c r="U11" s="711" t="e">
        <f t="shared" si="1"/>
        <v>#N/A</v>
      </c>
      <c r="V11" s="710" t="s">
        <v>17</v>
      </c>
      <c r="W11" s="711" t="e">
        <f t="shared" si="2"/>
        <v>#N/A</v>
      </c>
      <c r="X11" s="712"/>
      <c r="Y11" s="3780"/>
      <c r="Z11" s="55" t="str">
        <f t="shared" si="7"/>
        <v>容积率</v>
      </c>
      <c r="AA11" s="713" t="e">
        <f t="shared" si="3"/>
        <v>#N/A</v>
      </c>
      <c r="AB11" s="713" t="e">
        <f t="shared" si="4"/>
        <v>#N/A</v>
      </c>
      <c r="AC11" s="713" t="e">
        <f t="shared" si="5"/>
        <v>#N/A</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6"/>
      <c r="M12" s="2947"/>
      <c r="N12" s="2947"/>
      <c r="O12" s="3001"/>
      <c r="P12" s="3910"/>
      <c r="Q12" s="1527" t="str">
        <f t="shared" si="6"/>
        <v>配建</v>
      </c>
      <c r="R12" s="710" t="s">
        <v>17</v>
      </c>
      <c r="S12" s="711">
        <f t="shared" si="0"/>
        <v>100</v>
      </c>
      <c r="T12" s="710" t="s">
        <v>17</v>
      </c>
      <c r="U12" s="711">
        <f t="shared" si="1"/>
        <v>100</v>
      </c>
      <c r="V12" s="710" t="s">
        <v>17</v>
      </c>
      <c r="W12" s="711">
        <f t="shared" si="2"/>
        <v>100</v>
      </c>
      <c r="X12" s="712"/>
      <c r="Y12" s="3780"/>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51"/>
      <c r="M13" s="2945"/>
      <c r="N13" s="2945"/>
      <c r="O13" s="3003"/>
      <c r="P13" s="3910"/>
      <c r="Q13" s="1527">
        <f t="shared" si="6"/>
        <v>111</v>
      </c>
      <c r="R13" s="710" t="s">
        <v>17</v>
      </c>
      <c r="S13" s="711">
        <f t="shared" si="0"/>
        <v>100</v>
      </c>
      <c r="T13" s="710" t="s">
        <v>17</v>
      </c>
      <c r="U13" s="711">
        <f t="shared" si="1"/>
        <v>100</v>
      </c>
      <c r="V13" s="710" t="s">
        <v>17</v>
      </c>
      <c r="W13" s="711">
        <f t="shared" si="2"/>
        <v>100</v>
      </c>
      <c r="X13" s="712"/>
      <c r="Y13" s="3780"/>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51"/>
      <c r="M14" s="2945"/>
      <c r="N14" s="2945"/>
      <c r="O14" s="3003"/>
      <c r="P14" s="3910"/>
      <c r="Q14" s="1527">
        <f t="shared" si="6"/>
        <v>111</v>
      </c>
      <c r="R14" s="710" t="s">
        <v>17</v>
      </c>
      <c r="S14" s="711">
        <f t="shared" si="0"/>
        <v>100</v>
      </c>
      <c r="T14" s="710" t="s">
        <v>17</v>
      </c>
      <c r="U14" s="711">
        <f t="shared" si="1"/>
        <v>100</v>
      </c>
      <c r="V14" s="710" t="s">
        <v>17</v>
      </c>
      <c r="W14" s="711">
        <f t="shared" si="2"/>
        <v>100</v>
      </c>
      <c r="X14" s="712"/>
      <c r="Y14" s="3780"/>
      <c r="Z14" s="55">
        <f t="shared" si="7"/>
        <v>111</v>
      </c>
      <c r="AA14" s="713">
        <f>D14/F14</f>
        <v>1</v>
      </c>
      <c r="AB14" s="713">
        <f>D14/H14</f>
        <v>1</v>
      </c>
      <c r="AC14" s="713">
        <f>D14/J14</f>
        <v>1</v>
      </c>
    </row>
    <row r="15" spans="1:30" ht="99.75">
      <c r="A15" s="399" t="s">
        <v>2380</v>
      </c>
      <c r="B15" s="65" t="s">
        <v>1943</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1"/>
      <c r="M15" s="2945"/>
      <c r="N15" s="2945"/>
      <c r="O15" s="3003"/>
      <c r="P15" s="3912" t="s">
        <v>2381</v>
      </c>
      <c r="Q15" s="1536" t="str">
        <f t="shared" si="6"/>
        <v>居住社区成熟度</v>
      </c>
      <c r="R15" s="714" t="s">
        <v>17</v>
      </c>
      <c r="S15" s="715">
        <f t="shared" si="0"/>
        <v>100</v>
      </c>
      <c r="T15" s="714" t="s">
        <v>17</v>
      </c>
      <c r="U15" s="715">
        <f t="shared" si="1"/>
        <v>100</v>
      </c>
      <c r="V15" s="714" t="s">
        <v>17</v>
      </c>
      <c r="W15" s="715">
        <f t="shared" si="2"/>
        <v>100</v>
      </c>
      <c r="X15" s="1539"/>
      <c r="Y15" s="3912"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51"/>
      <c r="M16" s="2945"/>
      <c r="N16" s="2945"/>
      <c r="O16" s="3003"/>
      <c r="P16" s="3913"/>
      <c r="Q16" s="1536"/>
      <c r="R16" s="714"/>
      <c r="S16" s="715"/>
      <c r="T16" s="714"/>
      <c r="U16" s="715"/>
      <c r="V16" s="714"/>
      <c r="W16" s="715"/>
      <c r="X16" s="1539"/>
      <c r="Y16" s="3913"/>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1"/>
      <c r="M17" s="2945"/>
      <c r="N17" s="2945"/>
      <c r="O17" s="3003"/>
      <c r="P17" s="3913"/>
      <c r="Q17" s="1536" t="str">
        <f>B17</f>
        <v>商业繁华度</v>
      </c>
      <c r="R17" s="714" t="s">
        <v>17</v>
      </c>
      <c r="S17" s="715">
        <f>F17</f>
        <v>100</v>
      </c>
      <c r="T17" s="714" t="s">
        <v>17</v>
      </c>
      <c r="U17" s="715">
        <f>H17</f>
        <v>100</v>
      </c>
      <c r="V17" s="714" t="s">
        <v>17</v>
      </c>
      <c r="W17" s="715">
        <f>J17</f>
        <v>100</v>
      </c>
      <c r="X17" s="1539"/>
      <c r="Y17" s="3913"/>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51"/>
      <c r="M18" s="2945"/>
      <c r="N18" s="2945"/>
      <c r="O18" s="3003"/>
      <c r="P18" s="3913"/>
      <c r="Q18" s="1536"/>
      <c r="R18" s="714"/>
      <c r="S18" s="715"/>
      <c r="T18" s="714"/>
      <c r="U18" s="715"/>
      <c r="V18" s="714"/>
      <c r="W18" s="715"/>
      <c r="X18" s="1539"/>
      <c r="Y18" s="3913"/>
      <c r="Z18" s="1540"/>
      <c r="AA18" s="1537">
        <v>1</v>
      </c>
      <c r="AB18" s="1537">
        <v>1</v>
      </c>
      <c r="AC18" s="1537">
        <v>1</v>
      </c>
    </row>
    <row r="19" spans="1:29" ht="71.25">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1"/>
      <c r="M19" s="2945"/>
      <c r="N19" s="2945"/>
      <c r="O19" s="3003"/>
      <c r="P19" s="3913"/>
      <c r="Q19" s="1536" t="str">
        <f>B19</f>
        <v>办公集聚程度</v>
      </c>
      <c r="R19" s="714" t="s">
        <v>17</v>
      </c>
      <c r="S19" s="715">
        <f>F19</f>
        <v>100</v>
      </c>
      <c r="T19" s="714" t="s">
        <v>17</v>
      </c>
      <c r="U19" s="715">
        <f>H19</f>
        <v>100</v>
      </c>
      <c r="V19" s="714" t="s">
        <v>17</v>
      </c>
      <c r="W19" s="715">
        <f>J19</f>
        <v>100</v>
      </c>
      <c r="X19" s="1539"/>
      <c r="Y19" s="3913"/>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51"/>
      <c r="M20" s="2945"/>
      <c r="N20" s="2945"/>
      <c r="O20" s="3003"/>
      <c r="P20" s="3913"/>
      <c r="Q20" s="1536"/>
      <c r="R20" s="714"/>
      <c r="S20" s="715"/>
      <c r="T20" s="714"/>
      <c r="U20" s="715"/>
      <c r="V20" s="714"/>
      <c r="W20" s="715"/>
      <c r="X20" s="1539"/>
      <c r="Y20" s="3913"/>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1"/>
      <c r="M21" s="2945"/>
      <c r="N21" s="2945"/>
      <c r="O21" s="3003"/>
      <c r="P21" s="3913"/>
      <c r="Q21" s="1536" t="str">
        <f>B21</f>
        <v>交通便捷度</v>
      </c>
      <c r="R21" s="714" t="s">
        <v>17</v>
      </c>
      <c r="S21" s="715">
        <f>F21</f>
        <v>100</v>
      </c>
      <c r="T21" s="714" t="s">
        <v>17</v>
      </c>
      <c r="U21" s="715">
        <f>H21</f>
        <v>100</v>
      </c>
      <c r="V21" s="714" t="s">
        <v>17</v>
      </c>
      <c r="W21" s="715">
        <f>J21</f>
        <v>100</v>
      </c>
      <c r="X21" s="1539"/>
      <c r="Y21" s="3913"/>
      <c r="Z21" s="1540" t="str">
        <f>Q21</f>
        <v>交通便捷度</v>
      </c>
      <c r="AA21" s="1537">
        <f t="shared" si="3"/>
        <v>1</v>
      </c>
      <c r="AB21" s="1537">
        <f t="shared" si="4"/>
        <v>1</v>
      </c>
      <c r="AC21" s="1537">
        <f t="shared" si="5"/>
        <v>1</v>
      </c>
    </row>
    <row r="22" spans="1:29" ht="15">
      <c r="A22" s="387"/>
      <c r="B22" s="1293"/>
      <c r="C22" s="406"/>
      <c r="D22" s="409"/>
      <c r="E22" s="2084"/>
      <c r="F22" s="407"/>
      <c r="G22" s="2084"/>
      <c r="H22" s="407"/>
      <c r="I22" s="2083"/>
      <c r="J22" s="407"/>
      <c r="K22" s="628"/>
      <c r="L22" s="2951"/>
      <c r="M22" s="2945"/>
      <c r="N22" s="2945"/>
      <c r="O22" s="3003"/>
      <c r="P22" s="3913"/>
      <c r="Q22" s="1536"/>
      <c r="R22" s="714"/>
      <c r="S22" s="715"/>
      <c r="T22" s="714"/>
      <c r="U22" s="715"/>
      <c r="V22" s="714"/>
      <c r="W22" s="715"/>
      <c r="X22" s="1539"/>
      <c r="Y22" s="3913"/>
      <c r="Z22" s="1540"/>
      <c r="AA22" s="1537">
        <v>1</v>
      </c>
      <c r="AB22" s="1537">
        <v>1</v>
      </c>
      <c r="AC22" s="1537">
        <v>1</v>
      </c>
    </row>
    <row r="23" spans="1:29" ht="15">
      <c r="A23" s="364"/>
      <c r="B23" s="410" t="s">
        <v>2569</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1"/>
      <c r="M23" s="2945"/>
      <c r="N23" s="2945"/>
      <c r="O23" s="3003"/>
      <c r="P23" s="3913"/>
      <c r="Q23" s="1536" t="str">
        <f t="shared" ref="Q23:Q37" si="8">B23</f>
        <v>区域土地利用方向</v>
      </c>
      <c r="R23" s="714" t="s">
        <v>17</v>
      </c>
      <c r="S23" s="715">
        <f>F23</f>
        <v>100</v>
      </c>
      <c r="T23" s="714" t="s">
        <v>17</v>
      </c>
      <c r="U23" s="715">
        <f>H23</f>
        <v>100</v>
      </c>
      <c r="V23" s="714" t="s">
        <v>17</v>
      </c>
      <c r="W23" s="715">
        <f>J23</f>
        <v>100</v>
      </c>
      <c r="X23" s="1539"/>
      <c r="Y23" s="3913"/>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51"/>
      <c r="L24" s="2951"/>
      <c r="M24" s="2945"/>
      <c r="N24" s="2945"/>
      <c r="O24" s="3003"/>
      <c r="P24" s="3913"/>
      <c r="Q24" s="1536"/>
      <c r="R24" s="714"/>
      <c r="S24" s="715"/>
      <c r="T24" s="714"/>
      <c r="U24" s="715"/>
      <c r="V24" s="714"/>
      <c r="W24" s="715"/>
      <c r="X24" s="1539"/>
      <c r="Y24" s="3913"/>
      <c r="Z24" s="1540"/>
      <c r="AA24" s="1537"/>
      <c r="AB24" s="1537"/>
      <c r="AC24" s="1537"/>
    </row>
    <row r="25" spans="1:29" ht="57">
      <c r="A25" s="364"/>
      <c r="B25" s="1293"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51"/>
      <c r="M25" s="2945"/>
      <c r="N25" s="2945"/>
      <c r="O25" s="3003"/>
      <c r="P25" s="3913"/>
      <c r="Q25" s="1536" t="str">
        <f t="shared" si="8"/>
        <v>自然及人文环境状况</v>
      </c>
      <c r="R25" s="714" t="s">
        <v>17</v>
      </c>
      <c r="S25" s="715">
        <f>F25</f>
        <v>100</v>
      </c>
      <c r="T25" s="714" t="s">
        <v>17</v>
      </c>
      <c r="U25" s="715">
        <f>H25</f>
        <v>100</v>
      </c>
      <c r="V25" s="714" t="s">
        <v>17</v>
      </c>
      <c r="W25" s="715">
        <f>J25</f>
        <v>100</v>
      </c>
      <c r="X25" s="1539"/>
      <c r="Y25" s="3913"/>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51"/>
      <c r="M26" s="2945"/>
      <c r="N26" s="2945"/>
      <c r="O26" s="3003"/>
      <c r="P26" s="3913"/>
      <c r="Q26" s="1536"/>
      <c r="R26" s="714"/>
      <c r="S26" s="715"/>
      <c r="T26" s="714"/>
      <c r="U26" s="715"/>
      <c r="V26" s="714"/>
      <c r="W26" s="715"/>
      <c r="X26" s="1539"/>
      <c r="Y26" s="3913"/>
      <c r="Z26" s="1540"/>
      <c r="AA26" s="1537">
        <v>1</v>
      </c>
      <c r="AB26" s="1537">
        <v>1</v>
      </c>
      <c r="AC26" s="1537">
        <v>1</v>
      </c>
    </row>
    <row r="27" spans="1:29" s="113" customFormat="1" ht="42.75">
      <c r="A27" s="605"/>
      <c r="B27" s="1293"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6"/>
      <c r="M27" s="2947"/>
      <c r="N27" s="2947"/>
      <c r="O27" s="3001"/>
      <c r="P27" s="3913"/>
      <c r="Q27" s="1527" t="str">
        <f t="shared" si="8"/>
        <v>公共配套设施</v>
      </c>
      <c r="R27" s="710" t="s">
        <v>17</v>
      </c>
      <c r="S27" s="711">
        <f>F27</f>
        <v>100</v>
      </c>
      <c r="T27" s="710" t="s">
        <v>17</v>
      </c>
      <c r="U27" s="711">
        <f>H27</f>
        <v>100</v>
      </c>
      <c r="V27" s="710" t="s">
        <v>17</v>
      </c>
      <c r="W27" s="711">
        <f>J27</f>
        <v>100</v>
      </c>
      <c r="X27" s="712"/>
      <c r="Y27" s="3913"/>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6"/>
      <c r="M28" s="2947"/>
      <c r="N28" s="2947"/>
      <c r="O28" s="3001"/>
      <c r="P28" s="3913"/>
      <c r="Q28" s="1527"/>
      <c r="R28" s="710"/>
      <c r="S28" s="711"/>
      <c r="T28" s="710"/>
      <c r="U28" s="711"/>
      <c r="V28" s="710"/>
      <c r="W28" s="711"/>
      <c r="X28" s="712"/>
      <c r="Y28" s="3913"/>
      <c r="Z28" s="55"/>
      <c r="AA28" s="1537">
        <v>1</v>
      </c>
      <c r="AB28" s="1537">
        <v>1</v>
      </c>
      <c r="AC28" s="1537">
        <v>1</v>
      </c>
    </row>
    <row r="29" spans="1:29" s="113" customFormat="1" ht="28.5">
      <c r="A29" s="605"/>
      <c r="B29" s="1293"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6"/>
      <c r="M29" s="2947"/>
      <c r="N29" s="2947"/>
      <c r="O29" s="3001"/>
      <c r="P29" s="3913"/>
      <c r="Q29" s="1527" t="str">
        <f t="shared" ref="Q29" si="9">B29</f>
        <v>基础设施水平</v>
      </c>
      <c r="R29" s="710" t="s">
        <v>17</v>
      </c>
      <c r="S29" s="711">
        <f>F29</f>
        <v>100</v>
      </c>
      <c r="T29" s="710" t="s">
        <v>17</v>
      </c>
      <c r="U29" s="711">
        <f>H29</f>
        <v>100</v>
      </c>
      <c r="V29" s="710" t="s">
        <v>17</v>
      </c>
      <c r="W29" s="711">
        <f>J29</f>
        <v>100</v>
      </c>
      <c r="X29" s="712"/>
      <c r="Y29" s="3913"/>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6"/>
      <c r="M30" s="2947"/>
      <c r="N30" s="2947"/>
      <c r="O30" s="3001"/>
      <c r="P30" s="3913"/>
      <c r="Q30" s="1527"/>
      <c r="R30" s="710"/>
      <c r="S30" s="711"/>
      <c r="T30" s="710"/>
      <c r="U30" s="711"/>
      <c r="V30" s="710"/>
      <c r="W30" s="711"/>
      <c r="X30" s="712"/>
      <c r="Y30" s="3913"/>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1"/>
      <c r="M31" s="2945"/>
      <c r="N31" s="2945"/>
      <c r="O31" s="3003"/>
      <c r="P31" s="3913"/>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913"/>
      <c r="Z31" s="1540" t="str">
        <f t="shared" ref="Z31:Z45" si="13">Q31</f>
        <v>临街状况</v>
      </c>
      <c r="AA31" s="1537">
        <f t="shared" si="3"/>
        <v>1</v>
      </c>
      <c r="AB31" s="1537">
        <f t="shared" si="4"/>
        <v>1</v>
      </c>
      <c r="AC31" s="1537">
        <f t="shared" si="5"/>
        <v>1</v>
      </c>
    </row>
    <row r="32" spans="1:29" ht="27">
      <c r="A32" s="387"/>
      <c r="B32" s="1293"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1"/>
      <c r="M32" s="2945"/>
      <c r="N32" s="2945"/>
      <c r="O32" s="3003"/>
      <c r="P32" s="3913"/>
      <c r="Q32" s="1536" t="str">
        <f t="shared" si="8"/>
        <v>毗邻道路的类型与等级</v>
      </c>
      <c r="R32" s="714" t="s">
        <v>17</v>
      </c>
      <c r="S32" s="715">
        <f t="shared" si="10"/>
        <v>100</v>
      </c>
      <c r="T32" s="714" t="s">
        <v>17</v>
      </c>
      <c r="U32" s="715">
        <f t="shared" si="11"/>
        <v>100</v>
      </c>
      <c r="V32" s="714" t="s">
        <v>17</v>
      </c>
      <c r="W32" s="715">
        <f t="shared" si="12"/>
        <v>100</v>
      </c>
      <c r="X32" s="1539"/>
      <c r="Y32" s="3913"/>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51"/>
      <c r="M33" s="2945"/>
      <c r="N33" s="2945"/>
      <c r="O33" s="3003"/>
      <c r="P33" s="3913"/>
      <c r="Q33" s="1536"/>
      <c r="R33" s="714"/>
      <c r="S33" s="715"/>
      <c r="T33" s="714"/>
      <c r="U33" s="715"/>
      <c r="V33" s="714"/>
      <c r="W33" s="715"/>
      <c r="X33" s="1539"/>
      <c r="Y33" s="3913"/>
      <c r="Z33" s="1540"/>
      <c r="AA33" s="1537">
        <v>1</v>
      </c>
      <c r="AB33" s="1537">
        <v>1</v>
      </c>
      <c r="AC33" s="1537">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1"/>
      <c r="M34" s="2945"/>
      <c r="N34" s="2945"/>
      <c r="O34" s="3003"/>
      <c r="P34" s="3913"/>
      <c r="Q34" s="1536" t="str">
        <f t="shared" si="8"/>
        <v>土地级别</v>
      </c>
      <c r="R34" s="714" t="s">
        <v>17</v>
      </c>
      <c r="S34" s="715">
        <f t="shared" si="10"/>
        <v>100</v>
      </c>
      <c r="T34" s="714" t="s">
        <v>17</v>
      </c>
      <c r="U34" s="715">
        <f t="shared" si="11"/>
        <v>100</v>
      </c>
      <c r="V34" s="714" t="s">
        <v>17</v>
      </c>
      <c r="W34" s="715">
        <f t="shared" si="12"/>
        <v>100</v>
      </c>
      <c r="X34" s="1539"/>
      <c r="Y34" s="3913"/>
      <c r="Z34" s="1540" t="str">
        <f t="shared" si="13"/>
        <v>土地级别</v>
      </c>
      <c r="AA34" s="1537">
        <f t="shared" si="3"/>
        <v>1</v>
      </c>
      <c r="AB34" s="1537">
        <f t="shared" si="4"/>
        <v>1</v>
      </c>
      <c r="AC34" s="1537">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1"/>
      <c r="M35" s="2945"/>
      <c r="N35" s="2945"/>
      <c r="O35" s="3003"/>
      <c r="P35" s="3913"/>
      <c r="Q35" s="1536">
        <f t="shared" si="8"/>
        <v>111</v>
      </c>
      <c r="R35" s="714" t="s">
        <v>17</v>
      </c>
      <c r="S35" s="715">
        <f t="shared" si="10"/>
        <v>100</v>
      </c>
      <c r="T35" s="714" t="s">
        <v>17</v>
      </c>
      <c r="U35" s="715">
        <f t="shared" si="11"/>
        <v>100</v>
      </c>
      <c r="V35" s="714" t="s">
        <v>17</v>
      </c>
      <c r="W35" s="715">
        <f t="shared" si="12"/>
        <v>100</v>
      </c>
      <c r="X35" s="1539"/>
      <c r="Y35" s="3913"/>
      <c r="Z35" s="1540">
        <f t="shared" si="13"/>
        <v>111</v>
      </c>
      <c r="AA35" s="1537">
        <f t="shared" si="3"/>
        <v>1</v>
      </c>
      <c r="AB35" s="1537">
        <f t="shared" si="4"/>
        <v>1</v>
      </c>
      <c r="AC35" s="1537">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1"/>
      <c r="M36" s="2945"/>
      <c r="N36" s="2945"/>
      <c r="O36" s="3003"/>
      <c r="P36" s="3968" t="s">
        <v>2386</v>
      </c>
      <c r="Q36" s="1536">
        <f t="shared" si="8"/>
        <v>111</v>
      </c>
      <c r="R36" s="714" t="s">
        <v>17</v>
      </c>
      <c r="S36" s="715">
        <f t="shared" si="10"/>
        <v>100</v>
      </c>
      <c r="T36" s="714" t="s">
        <v>17</v>
      </c>
      <c r="U36" s="715">
        <f t="shared" si="11"/>
        <v>100</v>
      </c>
      <c r="V36" s="714" t="s">
        <v>17</v>
      </c>
      <c r="W36" s="715">
        <f t="shared" si="12"/>
        <v>100</v>
      </c>
      <c r="X36" s="1539"/>
      <c r="Y36" s="3917" t="s">
        <v>2386</v>
      </c>
      <c r="Z36" s="1540">
        <f t="shared" si="13"/>
        <v>111</v>
      </c>
      <c r="AA36" s="1537">
        <f t="shared" si="3"/>
        <v>1</v>
      </c>
      <c r="AB36" s="1537">
        <f t="shared" si="4"/>
        <v>1</v>
      </c>
      <c r="AC36" s="1537">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0"/>
      <c r="M37" s="2952"/>
      <c r="N37" s="2952"/>
      <c r="O37" s="3004"/>
      <c r="P37" s="3917"/>
      <c r="Q37" s="1536">
        <f t="shared" si="8"/>
        <v>111</v>
      </c>
      <c r="R37" s="717" t="s">
        <v>17</v>
      </c>
      <c r="S37" s="718">
        <f t="shared" si="10"/>
        <v>100</v>
      </c>
      <c r="T37" s="717" t="s">
        <v>17</v>
      </c>
      <c r="U37" s="718">
        <f t="shared" si="11"/>
        <v>100</v>
      </c>
      <c r="V37" s="717" t="s">
        <v>17</v>
      </c>
      <c r="W37" s="718">
        <f t="shared" si="12"/>
        <v>100</v>
      </c>
      <c r="X37" s="719"/>
      <c r="Y37" s="3917"/>
      <c r="Z37" s="720">
        <f t="shared" si="13"/>
        <v>111</v>
      </c>
      <c r="AA37" s="1537">
        <f t="shared" si="3"/>
        <v>1</v>
      </c>
      <c r="AB37" s="1537">
        <f t="shared" si="4"/>
        <v>1</v>
      </c>
      <c r="AC37" s="1537">
        <f t="shared" si="5"/>
        <v>1</v>
      </c>
    </row>
    <row r="38" spans="1:29" ht="15">
      <c r="A38" s="431" t="s">
        <v>2384</v>
      </c>
      <c r="B38" s="415" t="s">
        <v>2572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51"/>
      <c r="M38" s="2945"/>
      <c r="N38" s="2945"/>
      <c r="O38" s="3003"/>
      <c r="P38" s="3917"/>
      <c r="Q38" s="1536" t="str">
        <f>B38</f>
        <v>宗地面积</v>
      </c>
      <c r="R38" s="714" t="s">
        <v>17</v>
      </c>
      <c r="S38" s="715" t="e">
        <f t="shared" si="10"/>
        <v>#N/A</v>
      </c>
      <c r="T38" s="714" t="s">
        <v>17</v>
      </c>
      <c r="U38" s="715" t="e">
        <f t="shared" si="11"/>
        <v>#N/A</v>
      </c>
      <c r="V38" s="714" t="s">
        <v>17</v>
      </c>
      <c r="W38" s="715" t="e">
        <f t="shared" si="12"/>
        <v>#N/A</v>
      </c>
      <c r="X38" s="1539"/>
      <c r="Y38" s="3917"/>
      <c r="Z38" s="1540" t="str">
        <f t="shared" si="13"/>
        <v>宗地面积</v>
      </c>
      <c r="AA38" s="1537" t="e">
        <f t="shared" si="3"/>
        <v>#N/A</v>
      </c>
      <c r="AB38" s="1537" t="e">
        <f t="shared" si="4"/>
        <v>#N/A</v>
      </c>
      <c r="AC38" s="1537" t="e">
        <f t="shared" si="5"/>
        <v>#N/A</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51"/>
      <c r="M39" s="2945"/>
      <c r="N39" s="2945"/>
      <c r="O39" s="3003"/>
      <c r="P39" s="3917"/>
      <c r="Q39" s="1536" t="str">
        <f t="shared" ref="Q39:Q45" si="14">B39</f>
        <v>宗地形状</v>
      </c>
      <c r="R39" s="714" t="s">
        <v>17</v>
      </c>
      <c r="S39" s="715">
        <f t="shared" si="10"/>
        <v>100</v>
      </c>
      <c r="T39" s="714" t="s">
        <v>17</v>
      </c>
      <c r="U39" s="715">
        <f t="shared" si="11"/>
        <v>100</v>
      </c>
      <c r="V39" s="714" t="s">
        <v>17</v>
      </c>
      <c r="W39" s="715">
        <f t="shared" si="12"/>
        <v>100</v>
      </c>
      <c r="X39" s="1539"/>
      <c r="Y39" s="3917"/>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51"/>
      <c r="M40" s="2945"/>
      <c r="N40" s="2945"/>
      <c r="O40" s="3003"/>
      <c r="P40" s="3917"/>
      <c r="Q40" s="1536" t="str">
        <f t="shared" si="14"/>
        <v>临街宽度及深度</v>
      </c>
      <c r="R40" s="714" t="s">
        <v>17</v>
      </c>
      <c r="S40" s="715">
        <f t="shared" si="10"/>
        <v>100</v>
      </c>
      <c r="T40" s="714" t="s">
        <v>17</v>
      </c>
      <c r="U40" s="715">
        <f t="shared" si="11"/>
        <v>100</v>
      </c>
      <c r="V40" s="714" t="s">
        <v>17</v>
      </c>
      <c r="W40" s="715">
        <f t="shared" si="12"/>
        <v>100</v>
      </c>
      <c r="X40" s="1539"/>
      <c r="Y40" s="3917"/>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6"/>
      <c r="M41" s="2947"/>
      <c r="N41" s="2947"/>
      <c r="O41" s="3001"/>
      <c r="P41" s="3917"/>
      <c r="Q41" s="1536" t="str">
        <f t="shared" si="14"/>
        <v>宗地开发程度</v>
      </c>
      <c r="R41" s="710" t="s">
        <v>17</v>
      </c>
      <c r="S41" s="711">
        <f t="shared" si="10"/>
        <v>100</v>
      </c>
      <c r="T41" s="710" t="s">
        <v>17</v>
      </c>
      <c r="U41" s="711">
        <f t="shared" si="11"/>
        <v>100</v>
      </c>
      <c r="V41" s="710" t="s">
        <v>17</v>
      </c>
      <c r="W41" s="711">
        <f t="shared" si="12"/>
        <v>100</v>
      </c>
      <c r="X41" s="712"/>
      <c r="Y41" s="3917"/>
      <c r="Z41" s="55" t="str">
        <f t="shared" si="13"/>
        <v>宗地开发程度</v>
      </c>
      <c r="AA41" s="713">
        <f t="shared" si="3"/>
        <v>1</v>
      </c>
      <c r="AB41" s="713">
        <f t="shared" si="4"/>
        <v>1</v>
      </c>
      <c r="AC41" s="713">
        <f t="shared" si="5"/>
        <v>1</v>
      </c>
    </row>
    <row r="42" spans="1:29" ht="15">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51"/>
      <c r="M42" s="2945"/>
      <c r="N42" s="2945"/>
      <c r="O42" s="3003"/>
      <c r="P42" s="3917" t="s">
        <v>2386</v>
      </c>
      <c r="Q42" s="1536" t="str">
        <f t="shared" si="14"/>
        <v>工程地质条件</v>
      </c>
      <c r="R42" s="714" t="s">
        <v>17</v>
      </c>
      <c r="S42" s="715">
        <f t="shared" si="10"/>
        <v>100</v>
      </c>
      <c r="T42" s="714" t="s">
        <v>17</v>
      </c>
      <c r="U42" s="715">
        <f t="shared" si="11"/>
        <v>100</v>
      </c>
      <c r="V42" s="714" t="s">
        <v>17</v>
      </c>
      <c r="W42" s="715">
        <f t="shared" si="12"/>
        <v>100</v>
      </c>
      <c r="X42" s="1539"/>
      <c r="Y42" s="3917" t="s">
        <v>2386</v>
      </c>
      <c r="Z42" s="1540" t="str">
        <f t="shared" si="13"/>
        <v>工程地质条件</v>
      </c>
      <c r="AA42" s="1537">
        <f t="shared" si="3"/>
        <v>1</v>
      </c>
      <c r="AB42" s="1537">
        <f t="shared" si="4"/>
        <v>1</v>
      </c>
      <c r="AC42" s="1537">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1"/>
      <c r="M43" s="2945"/>
      <c r="N43" s="2945"/>
      <c r="O43" s="3003"/>
      <c r="P43" s="3917"/>
      <c r="Q43" s="1536">
        <f t="shared" si="14"/>
        <v>111</v>
      </c>
      <c r="R43" s="714" t="s">
        <v>17</v>
      </c>
      <c r="S43" s="715">
        <f t="shared" si="10"/>
        <v>100</v>
      </c>
      <c r="T43" s="714" t="s">
        <v>17</v>
      </c>
      <c r="U43" s="715">
        <f t="shared" si="11"/>
        <v>100</v>
      </c>
      <c r="V43" s="714" t="s">
        <v>17</v>
      </c>
      <c r="W43" s="715">
        <f t="shared" si="12"/>
        <v>100</v>
      </c>
      <c r="X43" s="1539"/>
      <c r="Y43" s="3917"/>
      <c r="Z43" s="1540">
        <f t="shared" si="13"/>
        <v>111</v>
      </c>
      <c r="AA43" s="1537">
        <f t="shared" si="3"/>
        <v>1</v>
      </c>
      <c r="AB43" s="1537">
        <f t="shared" si="4"/>
        <v>1</v>
      </c>
      <c r="AC43" s="1537">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1"/>
      <c r="M44" s="2945"/>
      <c r="N44" s="2945"/>
      <c r="O44" s="3003"/>
      <c r="P44" s="3917"/>
      <c r="Q44" s="1536">
        <f t="shared" si="14"/>
        <v>111</v>
      </c>
      <c r="R44" s="714" t="s">
        <v>17</v>
      </c>
      <c r="S44" s="715">
        <f t="shared" si="10"/>
        <v>100</v>
      </c>
      <c r="T44" s="714" t="s">
        <v>17</v>
      </c>
      <c r="U44" s="715">
        <f t="shared" si="11"/>
        <v>100</v>
      </c>
      <c r="V44" s="714" t="s">
        <v>17</v>
      </c>
      <c r="W44" s="715">
        <f t="shared" si="12"/>
        <v>100</v>
      </c>
      <c r="X44" s="1539"/>
      <c r="Y44" s="3917"/>
      <c r="Z44" s="1540">
        <f t="shared" si="13"/>
        <v>111</v>
      </c>
      <c r="AA44" s="1537">
        <f t="shared" si="3"/>
        <v>1</v>
      </c>
      <c r="AB44" s="1537">
        <f t="shared" si="4"/>
        <v>1</v>
      </c>
      <c r="AC44" s="1537">
        <f t="shared" si="5"/>
        <v>1</v>
      </c>
    </row>
    <row r="45" spans="1:29" s="430" customFormat="1" ht="15.75" thickBot="1">
      <c r="A45" s="427"/>
      <c r="B45" s="1296">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50"/>
      <c r="M45" s="2952"/>
      <c r="N45" s="2952"/>
      <c r="O45" s="3004"/>
      <c r="P45" s="3917"/>
      <c r="Q45" s="1536">
        <f t="shared" si="14"/>
        <v>111</v>
      </c>
      <c r="R45" s="717" t="s">
        <v>17</v>
      </c>
      <c r="S45" s="718">
        <f t="shared" si="10"/>
        <v>100</v>
      </c>
      <c r="T45" s="717" t="s">
        <v>17</v>
      </c>
      <c r="U45" s="718">
        <f t="shared" si="11"/>
        <v>100</v>
      </c>
      <c r="V45" s="717" t="s">
        <v>17</v>
      </c>
      <c r="W45" s="718">
        <f t="shared" si="12"/>
        <v>100</v>
      </c>
      <c r="X45" s="719"/>
      <c r="Y45" s="3917"/>
      <c r="Z45" s="720">
        <f t="shared" si="13"/>
        <v>111</v>
      </c>
      <c r="AA45" s="1537">
        <f t="shared" si="3"/>
        <v>1</v>
      </c>
      <c r="AB45" s="1537">
        <f t="shared" si="4"/>
        <v>1</v>
      </c>
      <c r="AC45" s="1537">
        <f t="shared" si="5"/>
        <v>1</v>
      </c>
    </row>
    <row r="46" spans="1:29" ht="15">
      <c r="A46" s="438" t="s">
        <v>2541</v>
      </c>
      <c r="B46" s="2168" t="s">
        <v>2577</v>
      </c>
      <c r="C46" s="638" t="s">
        <v>1</v>
      </c>
      <c r="D46" s="440"/>
      <c r="E46" s="441"/>
      <c r="F46" s="442"/>
      <c r="G46" s="443"/>
      <c r="H46" s="444"/>
      <c r="I46" s="441"/>
      <c r="J46" s="444"/>
      <c r="K46" s="723"/>
      <c r="L46" s="2953"/>
      <c r="M46" s="2954"/>
      <c r="N46" s="2945"/>
      <c r="O46" s="2954"/>
      <c r="P46" s="3910" t="str">
        <f>A46</f>
        <v>成交单价</v>
      </c>
      <c r="Q46" s="3910"/>
      <c r="R46" s="3941">
        <f>E46</f>
        <v>0</v>
      </c>
      <c r="S46" s="3941"/>
      <c r="T46" s="3941">
        <f>G46</f>
        <v>0</v>
      </c>
      <c r="U46" s="3941"/>
      <c r="V46" s="3941">
        <f>I46</f>
        <v>0</v>
      </c>
      <c r="W46" s="3941"/>
      <c r="X46" s="699"/>
      <c r="Y46" s="721"/>
      <c r="Z46" s="699"/>
      <c r="AA46" s="699"/>
      <c r="AB46" s="699"/>
      <c r="AC46" s="699"/>
    </row>
    <row r="47" spans="1:29" ht="15.75" thickBot="1">
      <c r="A47" s="445" t="s">
        <v>2490</v>
      </c>
      <c r="B47" s="639"/>
      <c r="C47" s="448" t="e">
        <f>R48</f>
        <v>#DIV/0!</v>
      </c>
      <c r="D47" s="2538" t="s">
        <v>2881</v>
      </c>
      <c r="E47" s="448" t="e">
        <f>R47</f>
        <v>#DIV/0!</v>
      </c>
      <c r="F47" s="2539"/>
      <c r="G47" s="447" t="e">
        <f>T47</f>
        <v>#DIV/0!</v>
      </c>
      <c r="H47" s="2539"/>
      <c r="I47" s="448" t="e">
        <f>V47</f>
        <v>#DIV/0!</v>
      </c>
      <c r="J47" s="2539"/>
      <c r="K47" s="2541">
        <f>F47+H47+J47</f>
        <v>0</v>
      </c>
      <c r="L47" s="2953"/>
      <c r="M47" s="2954"/>
      <c r="N47" s="2954"/>
      <c r="O47" s="2954"/>
      <c r="P47" s="3910" t="str">
        <f>A47</f>
        <v>比较价值（元/平方米）</v>
      </c>
      <c r="Q47" s="3910"/>
      <c r="R47" s="3970" t="e">
        <f>ROUND(PRODUCT(R46,AA7:AA45),0)</f>
        <v>#DIV/0!</v>
      </c>
      <c r="S47" s="3970"/>
      <c r="T47" s="3970" t="e">
        <f>ROUND(PRODUCT(T46,AB7:AB45),0)</f>
        <v>#DIV/0!</v>
      </c>
      <c r="U47" s="3970"/>
      <c r="V47" s="3970" t="e">
        <f>ROUND(PRODUCT(V46,AC7:AC45),0)</f>
        <v>#DIV/0!</v>
      </c>
      <c r="W47" s="3970"/>
      <c r="X47" s="699"/>
      <c r="Y47" s="699"/>
      <c r="Z47" s="699"/>
      <c r="AA47" s="699"/>
      <c r="AB47" s="699"/>
      <c r="AC47" s="699"/>
    </row>
    <row r="48" spans="1:29" ht="15.75" thickBot="1">
      <c r="A48" s="449" t="s">
        <v>2578</v>
      </c>
      <c r="B48" s="450"/>
      <c r="C48" s="451" t="e">
        <f>R48</f>
        <v>#DIV/0!</v>
      </c>
      <c r="D48" s="451"/>
      <c r="E48" s="451"/>
      <c r="F48" s="451"/>
      <c r="G48" s="451"/>
      <c r="H48" s="451"/>
      <c r="I48" s="451"/>
      <c r="J48" s="451"/>
      <c r="K48" s="724"/>
      <c r="L48" s="2953"/>
      <c r="M48" s="2954"/>
      <c r="N48" s="2954"/>
      <c r="O48" s="2954"/>
      <c r="P48" s="3907" t="str">
        <f>A48</f>
        <v>估价对象XX用房的比较价值（楼面单价，元/平方米）</v>
      </c>
      <c r="Q48" s="3908"/>
      <c r="R48" s="3971" t="e">
        <f>ROUND(IF(D47="简单平均",AVERAGE(R47:W47),R47*F47+T47*H47+V47*J47),0)</f>
        <v>#DIV/0!</v>
      </c>
      <c r="S48" s="3971"/>
      <c r="T48" s="3971"/>
      <c r="U48" s="3971"/>
      <c r="V48" s="3971"/>
      <c r="W48" s="3971"/>
      <c r="X48" s="699"/>
      <c r="Y48" s="699"/>
      <c r="Z48" s="699"/>
      <c r="AA48" s="699"/>
      <c r="AB48" s="699"/>
      <c r="AC48" s="699"/>
    </row>
    <row r="49" spans="1:29">
      <c r="A49" s="2954"/>
      <c r="B49" s="2954"/>
      <c r="C49" s="2954"/>
      <c r="D49" s="2954"/>
      <c r="E49" s="2954"/>
      <c r="F49" s="2954"/>
      <c r="G49" s="2958"/>
      <c r="H49" s="2954"/>
      <c r="I49" s="2954"/>
      <c r="J49" s="2954"/>
      <c r="K49" s="2959"/>
      <c r="L49" s="2955"/>
      <c r="M49" s="2954"/>
      <c r="N49" s="2954"/>
      <c r="O49" s="2954"/>
      <c r="P49" s="2954"/>
      <c r="Q49" s="2954"/>
      <c r="R49" s="2954"/>
      <c r="S49" s="2954"/>
      <c r="T49" s="2954"/>
      <c r="U49" s="2954"/>
      <c r="V49" s="2954"/>
      <c r="W49" s="2954"/>
      <c r="X49" s="2954"/>
      <c r="Y49" s="2954"/>
      <c r="Z49" s="2954"/>
      <c r="AA49" s="2954"/>
      <c r="AB49" s="2954"/>
      <c r="AC49" s="2954"/>
    </row>
    <row r="50" spans="1:29">
      <c r="A50" s="2954"/>
      <c r="B50" s="2954"/>
      <c r="C50" s="2954"/>
      <c r="D50" s="2954"/>
      <c r="E50" s="2954"/>
      <c r="F50" s="2954"/>
      <c r="G50" s="2954"/>
      <c r="H50" s="2954"/>
      <c r="I50" s="2954"/>
      <c r="J50" s="2954"/>
      <c r="K50" s="2959"/>
      <c r="L50" s="2955"/>
      <c r="M50" s="2954"/>
      <c r="N50" s="2954"/>
      <c r="O50" s="2954"/>
      <c r="P50" s="2954"/>
      <c r="Q50" s="2954"/>
      <c r="R50" s="2954"/>
      <c r="S50" s="2954"/>
      <c r="T50" s="2954"/>
      <c r="U50" s="2954"/>
      <c r="V50" s="2954"/>
      <c r="W50" s="2954"/>
      <c r="X50" s="2954"/>
      <c r="Y50" s="2954"/>
      <c r="Z50" s="2954"/>
      <c r="AA50" s="2954"/>
      <c r="AB50" s="2954"/>
      <c r="AC50" s="2954"/>
    </row>
    <row r="51" spans="1:29" ht="13.5" customHeight="1">
      <c r="A51" s="2954"/>
      <c r="B51" s="2954"/>
      <c r="C51" s="454" t="s">
        <v>2492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59"/>
      <c r="L51" s="2955"/>
      <c r="M51" s="2954"/>
      <c r="N51" s="2954"/>
      <c r="O51" s="2954"/>
      <c r="P51" s="2954"/>
      <c r="Q51" s="2954"/>
      <c r="R51" s="2954"/>
      <c r="S51" s="2954"/>
      <c r="T51" s="2954"/>
      <c r="U51" s="2954"/>
      <c r="V51" s="2954"/>
      <c r="W51" s="2954"/>
      <c r="X51" s="2954"/>
      <c r="Y51" s="2954"/>
      <c r="Z51" s="2954"/>
      <c r="AA51" s="2954"/>
      <c r="AB51" s="2954"/>
      <c r="AC51" s="2954"/>
    </row>
    <row r="52" spans="1:29" ht="13.5" customHeight="1">
      <c r="A52" s="2954"/>
      <c r="B52" s="2954"/>
      <c r="C52" s="454" t="s">
        <v>2493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59"/>
      <c r="L52" s="2955"/>
      <c r="M52" s="2954"/>
      <c r="N52" s="2954"/>
      <c r="O52" s="2954"/>
      <c r="P52" s="2954"/>
      <c r="Q52" s="2954"/>
      <c r="R52" s="2954"/>
      <c r="S52" s="2954"/>
      <c r="T52" s="2954"/>
      <c r="U52" s="2954"/>
      <c r="V52" s="2954"/>
      <c r="W52" s="2954"/>
      <c r="X52" s="2954"/>
      <c r="Y52" s="2954"/>
      <c r="Z52" s="2954"/>
      <c r="AA52" s="2954"/>
      <c r="AB52" s="2954"/>
      <c r="AC52" s="2954"/>
    </row>
    <row r="53" spans="1:29" s="459" customFormat="1" ht="13.5" customHeight="1">
      <c r="A53" s="2957"/>
      <c r="B53" s="2957"/>
      <c r="C53" s="454" t="s">
        <v>2494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62"/>
      <c r="L53" s="2956"/>
      <c r="M53" s="2957"/>
      <c r="N53" s="2957"/>
      <c r="O53" s="2957"/>
      <c r="P53" s="2957"/>
      <c r="Q53" s="2957"/>
      <c r="R53" s="2957"/>
      <c r="S53" s="2957"/>
      <c r="T53" s="2957"/>
      <c r="U53" s="2957"/>
      <c r="V53" s="2957"/>
      <c r="W53" s="2957"/>
      <c r="X53" s="2957"/>
      <c r="Y53" s="2957"/>
      <c r="Z53" s="2957"/>
      <c r="AA53" s="2957"/>
      <c r="AB53" s="2957"/>
      <c r="AC53" s="2957"/>
    </row>
    <row r="54" spans="1:29" s="459" customFormat="1" ht="15" thickBot="1">
      <c r="A54" s="2957"/>
      <c r="B54" s="2960"/>
      <c r="C54" s="702"/>
      <c r="D54" s="700"/>
      <c r="E54" s="700"/>
      <c r="F54" s="700"/>
      <c r="G54" s="700"/>
      <c r="H54" s="700"/>
      <c r="I54" s="700"/>
      <c r="J54" s="700"/>
      <c r="K54" s="2962"/>
      <c r="L54" s="2956"/>
      <c r="M54" s="2957"/>
      <c r="N54" s="2957"/>
      <c r="O54" s="2957"/>
      <c r="P54" s="2957"/>
      <c r="Q54" s="2957"/>
      <c r="R54" s="2957"/>
      <c r="S54" s="2957"/>
      <c r="T54" s="2957"/>
      <c r="U54" s="2957"/>
      <c r="V54" s="2957"/>
      <c r="W54" s="2957"/>
      <c r="X54" s="2957"/>
      <c r="Y54" s="2957"/>
      <c r="Z54" s="2957"/>
      <c r="AA54" s="2957"/>
      <c r="AB54" s="2957"/>
      <c r="AC54" s="2957"/>
    </row>
    <row r="55" spans="1:29" ht="27" customHeight="1">
      <c r="A55" s="640" t="s">
        <v>2579</v>
      </c>
      <c r="B55" s="641" t="s">
        <v>2580</v>
      </c>
      <c r="C55" s="2169" t="s">
        <v>2581</v>
      </c>
      <c r="D55" s="2170" t="s">
        <v>2582</v>
      </c>
      <c r="E55" s="642" t="s">
        <v>2583</v>
      </c>
      <c r="F55" s="1021" t="s">
        <v>2584</v>
      </c>
      <c r="G55" s="3925" t="s">
        <v>2585</v>
      </c>
      <c r="H55" s="3972"/>
      <c r="I55" s="140" t="s">
        <v>2586</v>
      </c>
      <c r="J55" s="2171">
        <f>项目基本情况!F35</f>
        <v>0</v>
      </c>
      <c r="K55" s="2172" t="s">
        <v>2587</v>
      </c>
      <c r="L55" s="2955"/>
      <c r="M55" s="2954"/>
      <c r="N55" s="2954"/>
      <c r="O55" s="2954"/>
      <c r="P55" s="2954"/>
      <c r="Q55" s="2954"/>
      <c r="R55" s="2954"/>
      <c r="S55" s="2954"/>
      <c r="T55" s="2954"/>
      <c r="U55" s="2954"/>
      <c r="V55" s="2954"/>
      <c r="W55" s="2954"/>
      <c r="X55" s="2954"/>
      <c r="Y55" s="2954"/>
      <c r="Z55" s="2954"/>
      <c r="AA55" s="2954"/>
      <c r="AB55" s="2954"/>
      <c r="AC55" s="2954"/>
    </row>
    <row r="56" spans="1:29" s="648" customFormat="1">
      <c r="A56" s="644" t="s">
        <v>2588</v>
      </c>
      <c r="B56" s="645" t="e">
        <f>C48</f>
        <v>#DIV/0!</v>
      </c>
      <c r="C56" s="646">
        <v>1</v>
      </c>
      <c r="D56" s="1075">
        <v>1</v>
      </c>
      <c r="E56" s="646">
        <f>'数据-汇总表'!E8+'数据-汇总表'!E9</f>
        <v>198.07</v>
      </c>
      <c r="F56" s="1017" t="e">
        <f t="shared" ref="F56:F65" si="15">ROUND(B56*E56/10000,0)</f>
        <v>#DIV/0!</v>
      </c>
      <c r="G56" s="3921"/>
      <c r="H56" s="3910"/>
      <c r="I56" s="1022">
        <v>1</v>
      </c>
      <c r="J56" s="1025">
        <v>1</v>
      </c>
      <c r="K56" s="2957"/>
      <c r="L56" s="3011"/>
      <c r="M56" s="3011"/>
      <c r="N56" s="3011"/>
      <c r="O56" s="3011"/>
      <c r="P56" s="3011"/>
      <c r="Q56" s="3011"/>
      <c r="R56" s="3011"/>
      <c r="S56" s="3011"/>
      <c r="T56" s="3011"/>
      <c r="U56" s="3011"/>
      <c r="V56" s="3011"/>
      <c r="W56" s="3011"/>
      <c r="X56" s="3011"/>
      <c r="Y56" s="3011"/>
      <c r="Z56" s="3011"/>
      <c r="AA56" s="3011"/>
      <c r="AB56" s="3011"/>
      <c r="AC56" s="3011"/>
    </row>
    <row r="57" spans="1:29" s="648" customFormat="1">
      <c r="A57" s="649" t="s">
        <v>2589</v>
      </c>
      <c r="B57" s="224" t="e">
        <f>ROUND($C$48*C57*D57,0)</f>
        <v>#DIV/0!</v>
      </c>
      <c r="C57" s="176">
        <f t="shared" ref="C57:C65" si="16">IF($C$55="北京市系数",I57,J57)</f>
        <v>0</v>
      </c>
      <c r="D57" s="1076">
        <v>0.25</v>
      </c>
      <c r="E57" s="650"/>
      <c r="F57" s="1017" t="e">
        <f t="shared" si="15"/>
        <v>#DIV/0!</v>
      </c>
      <c r="G57" s="3973" t="s">
        <v>2590</v>
      </c>
      <c r="H57" s="1018">
        <f>项目基本情况!B37</f>
        <v>0</v>
      </c>
      <c r="I57" s="1022">
        <f>SUMIF(修正!A45:A56,H57,修正!B45:B56)</f>
        <v>0</v>
      </c>
      <c r="J57" s="1026"/>
      <c r="K57" s="2954"/>
      <c r="L57" s="3011"/>
      <c r="M57" s="3011"/>
      <c r="N57" s="3011"/>
      <c r="O57" s="3011"/>
      <c r="P57" s="3011"/>
      <c r="Q57" s="3011"/>
      <c r="R57" s="3011"/>
      <c r="S57" s="3011"/>
      <c r="T57" s="3011"/>
      <c r="U57" s="3011"/>
      <c r="V57" s="3011"/>
      <c r="W57" s="3011"/>
      <c r="X57" s="3011"/>
      <c r="Y57" s="3011"/>
      <c r="Z57" s="3011"/>
      <c r="AA57" s="3011"/>
      <c r="AB57" s="3011"/>
      <c r="AC57" s="3011"/>
    </row>
    <row r="58" spans="1:29" s="648" customFormat="1">
      <c r="A58" s="649" t="s">
        <v>2591</v>
      </c>
      <c r="B58" s="224" t="e">
        <f t="shared" ref="B58:B65" si="17">ROUND($C$48*C58*D58,0)</f>
        <v>#DIV/0!</v>
      </c>
      <c r="C58" s="176">
        <f t="shared" si="16"/>
        <v>0</v>
      </c>
      <c r="D58" s="1076">
        <v>0.25</v>
      </c>
      <c r="E58" s="650"/>
      <c r="F58" s="1017" t="e">
        <f t="shared" si="15"/>
        <v>#DIV/0!</v>
      </c>
      <c r="G58" s="3973"/>
      <c r="H58" s="1018">
        <f>项目基本情况!B37</f>
        <v>0</v>
      </c>
      <c r="I58" s="1022">
        <f>SUMIF(修正!A45:A56,H58,修正!C45:C56)</f>
        <v>0</v>
      </c>
      <c r="J58" s="1026"/>
      <c r="K58" s="2957"/>
      <c r="L58" s="3011"/>
      <c r="M58" s="3011"/>
      <c r="N58" s="3011"/>
      <c r="O58" s="3011"/>
      <c r="P58" s="3011"/>
      <c r="Q58" s="3011"/>
      <c r="R58" s="3011"/>
      <c r="S58" s="3011"/>
      <c r="T58" s="3011"/>
      <c r="U58" s="3011"/>
      <c r="V58" s="3011"/>
      <c r="W58" s="3011"/>
      <c r="X58" s="3011"/>
      <c r="Y58" s="3011"/>
      <c r="Z58" s="3011"/>
      <c r="AA58" s="3011"/>
      <c r="AB58" s="3011"/>
      <c r="AC58" s="3011"/>
    </row>
    <row r="59" spans="1:29" s="648" customFormat="1">
      <c r="A59" s="649" t="s">
        <v>2592</v>
      </c>
      <c r="B59" s="224" t="e">
        <f t="shared" si="17"/>
        <v>#DIV/0!</v>
      </c>
      <c r="C59" s="176">
        <f t="shared" si="16"/>
        <v>0</v>
      </c>
      <c r="D59" s="1076">
        <v>0.25</v>
      </c>
      <c r="E59" s="650"/>
      <c r="F59" s="1017" t="e">
        <f t="shared" si="15"/>
        <v>#DIV/0!</v>
      </c>
      <c r="G59" s="3973"/>
      <c r="H59" s="1018">
        <f>项目基本情况!B37</f>
        <v>0</v>
      </c>
      <c r="I59" s="1022">
        <f>SUMIF(修正!A45:A56,H59,修正!D45:D56)</f>
        <v>0</v>
      </c>
      <c r="J59" s="1026"/>
      <c r="K59" s="2954"/>
      <c r="L59" s="3011"/>
      <c r="M59" s="3011"/>
      <c r="N59" s="3011"/>
      <c r="O59" s="3011"/>
      <c r="P59" s="3011"/>
      <c r="Q59" s="3011"/>
      <c r="R59" s="3011"/>
      <c r="S59" s="3011"/>
      <c r="T59" s="3011"/>
      <c r="U59" s="3011"/>
      <c r="V59" s="3011"/>
      <c r="W59" s="3011"/>
      <c r="X59" s="3011"/>
      <c r="Y59" s="3011"/>
      <c r="Z59" s="3011"/>
      <c r="AA59" s="3011"/>
      <c r="AB59" s="3011"/>
      <c r="AC59" s="3011"/>
    </row>
    <row r="60" spans="1:29" s="648" customFormat="1">
      <c r="A60" s="649" t="s">
        <v>2593</v>
      </c>
      <c r="B60" s="224" t="e">
        <f t="shared" si="17"/>
        <v>#DIV/0!</v>
      </c>
      <c r="C60" s="176">
        <f t="shared" si="16"/>
        <v>0</v>
      </c>
      <c r="D60" s="1076">
        <v>0.25</v>
      </c>
      <c r="E60" s="650"/>
      <c r="F60" s="1017" t="e">
        <f t="shared" si="15"/>
        <v>#DIV/0!</v>
      </c>
      <c r="G60" s="3973"/>
      <c r="H60" s="1018">
        <f>项目基本情况!B37</f>
        <v>0</v>
      </c>
      <c r="I60" s="1022">
        <f>SUMIF(修正!A45:A56,H60,修正!E45:E56)</f>
        <v>0</v>
      </c>
      <c r="J60" s="1026"/>
      <c r="K60" s="2957"/>
      <c r="L60" s="3011"/>
      <c r="M60" s="3011"/>
      <c r="N60" s="3011"/>
      <c r="O60" s="3011"/>
      <c r="P60" s="3011"/>
      <c r="Q60" s="3011"/>
      <c r="R60" s="3011"/>
      <c r="S60" s="3011"/>
      <c r="T60" s="3011"/>
      <c r="U60" s="3011"/>
      <c r="V60" s="3011"/>
      <c r="W60" s="3011"/>
      <c r="X60" s="3011"/>
      <c r="Y60" s="3011"/>
      <c r="Z60" s="3011"/>
      <c r="AA60" s="3011"/>
      <c r="AB60" s="3011"/>
      <c r="AC60" s="3011"/>
    </row>
    <row r="61" spans="1:29" s="648" customFormat="1">
      <c r="A61" s="649" t="s">
        <v>2594</v>
      </c>
      <c r="B61" s="224" t="e">
        <f t="shared" si="17"/>
        <v>#DIV/0!</v>
      </c>
      <c r="C61" s="176">
        <f t="shared" si="16"/>
        <v>0</v>
      </c>
      <c r="D61" s="1076">
        <v>0.25</v>
      </c>
      <c r="E61" s="223">
        <f>'数据-汇总表'!E11</f>
        <v>0</v>
      </c>
      <c r="F61" s="1017" t="e">
        <f t="shared" si="15"/>
        <v>#DIV/0!</v>
      </c>
      <c r="G61" s="2173" t="s">
        <v>2595</v>
      </c>
      <c r="H61" s="1018">
        <f>项目基本情况!C37</f>
        <v>0</v>
      </c>
      <c r="I61" s="1022">
        <f>SUMIF(修正!A45:A56,H61,修正!F45:F56)</f>
        <v>0</v>
      </c>
      <c r="J61" s="1026"/>
      <c r="K61" s="2954"/>
      <c r="L61" s="3011"/>
      <c r="M61" s="3011"/>
      <c r="N61" s="3011"/>
      <c r="O61" s="3011"/>
      <c r="P61" s="3011"/>
      <c r="Q61" s="3011"/>
      <c r="R61" s="3011"/>
      <c r="S61" s="3011"/>
      <c r="T61" s="3011"/>
      <c r="U61" s="3011"/>
      <c r="V61" s="3011"/>
      <c r="W61" s="3011"/>
      <c r="X61" s="3011"/>
      <c r="Y61" s="3011"/>
      <c r="Z61" s="3011"/>
      <c r="AA61" s="3011"/>
      <c r="AB61" s="3011"/>
      <c r="AC61" s="3011"/>
    </row>
    <row r="62" spans="1:29" s="648" customFormat="1">
      <c r="A62" s="649" t="s">
        <v>2596</v>
      </c>
      <c r="B62" s="224" t="e">
        <f t="shared" si="17"/>
        <v>#DIV/0!</v>
      </c>
      <c r="C62" s="176">
        <f t="shared" si="16"/>
        <v>0</v>
      </c>
      <c r="D62" s="1076">
        <v>0.25</v>
      </c>
      <c r="E62" s="223">
        <f>'数据-汇总表'!E12</f>
        <v>0</v>
      </c>
      <c r="F62" s="1017" t="e">
        <f t="shared" si="15"/>
        <v>#DIV/0!</v>
      </c>
      <c r="G62" s="1023" t="s">
        <v>2597</v>
      </c>
      <c r="H62" s="1018">
        <f>IF(G62="商业",项目基本情况!B37,IF(G62="办公",项目基本情况!C37,IF(G62="住宅",项目基本情况!D37,项目基本情况!E37)))</f>
        <v>0</v>
      </c>
      <c r="I62" s="1022">
        <f>SUMIF(修正!A45:A56,H62,修正!G45:G56)</f>
        <v>0</v>
      </c>
      <c r="J62" s="1026"/>
      <c r="K62" s="2957"/>
      <c r="L62" s="3011"/>
      <c r="M62" s="3011"/>
      <c r="N62" s="3011"/>
      <c r="O62" s="3011"/>
      <c r="P62" s="3011"/>
      <c r="Q62" s="3011"/>
      <c r="R62" s="3011"/>
      <c r="S62" s="3011"/>
      <c r="T62" s="3011"/>
      <c r="U62" s="3011"/>
      <c r="V62" s="3011"/>
      <c r="W62" s="3011"/>
      <c r="X62" s="3011"/>
      <c r="Y62" s="3011"/>
      <c r="Z62" s="3011"/>
      <c r="AA62" s="3011"/>
      <c r="AB62" s="3011"/>
      <c r="AC62" s="3011"/>
    </row>
    <row r="63" spans="1:29" s="648" customFormat="1">
      <c r="A63" s="649" t="s">
        <v>2598</v>
      </c>
      <c r="B63" s="224" t="e">
        <f t="shared" si="17"/>
        <v>#DIV/0!</v>
      </c>
      <c r="C63" s="176">
        <f t="shared" si="16"/>
        <v>0</v>
      </c>
      <c r="D63" s="1076">
        <v>0.25</v>
      </c>
      <c r="E63" s="223">
        <f>'数据-汇总表'!E13</f>
        <v>0</v>
      </c>
      <c r="F63" s="1017" t="e">
        <f t="shared" si="15"/>
        <v>#DIV/0!</v>
      </c>
      <c r="G63" s="1023" t="s">
        <v>2599</v>
      </c>
      <c r="H63" s="1018">
        <f>IF(G63="商业",项目基本情况!B37,IF(G63="办公",项目基本情况!C37,IF(G63="住宅",项目基本情况!D37,项目基本情况!E37)))</f>
        <v>0</v>
      </c>
      <c r="I63" s="1022">
        <f>SUMIF(修正!A45:A56,H63,修正!H45:H56)</f>
        <v>0</v>
      </c>
      <c r="J63" s="1026"/>
      <c r="K63" s="2954"/>
      <c r="L63" s="3011"/>
      <c r="M63" s="3011"/>
      <c r="N63" s="3011"/>
      <c r="O63" s="3011"/>
      <c r="P63" s="3011"/>
      <c r="Q63" s="3011"/>
      <c r="R63" s="3011"/>
      <c r="S63" s="3011"/>
      <c r="T63" s="3011"/>
      <c r="U63" s="3011"/>
      <c r="V63" s="3011"/>
      <c r="W63" s="3011"/>
      <c r="X63" s="3011"/>
      <c r="Y63" s="3011"/>
      <c r="Z63" s="3011"/>
      <c r="AA63" s="3011"/>
      <c r="AB63" s="3011"/>
      <c r="AC63" s="3011"/>
    </row>
    <row r="64" spans="1:29" s="648" customFormat="1">
      <c r="A64" s="649" t="s">
        <v>2600</v>
      </c>
      <c r="B64" s="224" t="e">
        <f t="shared" si="17"/>
        <v>#DIV/0!</v>
      </c>
      <c r="C64" s="176">
        <f t="shared" si="16"/>
        <v>0</v>
      </c>
      <c r="D64" s="1076">
        <v>0.25</v>
      </c>
      <c r="E64" s="223">
        <f>'数据-汇总表'!E14</f>
        <v>0</v>
      </c>
      <c r="F64" s="1017" t="e">
        <f t="shared" si="15"/>
        <v>#DIV/0!</v>
      </c>
      <c r="G64" s="2173" t="s">
        <v>2590</v>
      </c>
      <c r="H64" s="1018">
        <f>项目基本情况!B37</f>
        <v>0</v>
      </c>
      <c r="I64" s="1022">
        <f>SUMIF(修正!A45:A56,H64,修正!H45:H56)</f>
        <v>0</v>
      </c>
      <c r="J64" s="1026"/>
      <c r="K64" s="2957"/>
      <c r="L64" s="3011"/>
      <c r="M64" s="3011"/>
      <c r="N64" s="3011"/>
      <c r="O64" s="3011"/>
      <c r="P64" s="3011"/>
      <c r="Q64" s="3011"/>
      <c r="R64" s="3011"/>
      <c r="S64" s="3011"/>
      <c r="T64" s="3011"/>
      <c r="U64" s="3011"/>
      <c r="V64" s="3011"/>
      <c r="W64" s="3011"/>
      <c r="X64" s="3011"/>
      <c r="Y64" s="3011"/>
      <c r="Z64" s="3011"/>
      <c r="AA64" s="3011"/>
      <c r="AB64" s="3011"/>
      <c r="AC64" s="3011"/>
    </row>
    <row r="65" spans="1:29" s="648" customFormat="1" ht="15" thickBot="1">
      <c r="A65" s="649" t="s">
        <v>2601</v>
      </c>
      <c r="B65" s="224" t="e">
        <f t="shared" si="17"/>
        <v>#DIV/0!</v>
      </c>
      <c r="C65" s="176">
        <f t="shared" si="16"/>
        <v>0</v>
      </c>
      <c r="D65" s="1076">
        <v>0.25</v>
      </c>
      <c r="E65" s="223">
        <f>'数据-汇总表'!E15</f>
        <v>0</v>
      </c>
      <c r="F65" s="1017" t="e">
        <f t="shared" si="15"/>
        <v>#DIV/0!</v>
      </c>
      <c r="G65" s="2174" t="s">
        <v>2595</v>
      </c>
      <c r="H65" s="1028">
        <f>项目基本情况!C37</f>
        <v>0</v>
      </c>
      <c r="I65" s="1024">
        <f>SUMIF(修正!A45:A56,H65,修正!H45:H56)</f>
        <v>0</v>
      </c>
      <c r="J65" s="1027"/>
      <c r="K65" s="2954"/>
      <c r="L65" s="3011"/>
      <c r="M65" s="3011"/>
      <c r="N65" s="3011"/>
      <c r="O65" s="3011"/>
      <c r="P65" s="3011"/>
      <c r="Q65" s="3011"/>
      <c r="R65" s="3011"/>
      <c r="S65" s="3011"/>
      <c r="T65" s="3011"/>
      <c r="U65" s="3011"/>
      <c r="V65" s="3011"/>
      <c r="W65" s="3011"/>
      <c r="X65" s="3011"/>
      <c r="Y65" s="3011"/>
      <c r="Z65" s="3011"/>
      <c r="AA65" s="3011"/>
      <c r="AB65" s="3011"/>
      <c r="AC65" s="3011"/>
    </row>
    <row r="66" spans="1:29" s="648" customFormat="1" ht="13.5" thickBot="1">
      <c r="A66" s="651" t="s">
        <v>2602</v>
      </c>
      <c r="B66" s="652" t="s">
        <v>28</v>
      </c>
      <c r="C66" s="652" t="s">
        <v>29</v>
      </c>
      <c r="D66" s="652" t="s">
        <v>997</v>
      </c>
      <c r="E66" s="652">
        <f>IF(B46="楼面地价",SUM(E56:E65),'数据-汇总表'!D3)</f>
        <v>198.07</v>
      </c>
      <c r="F66" s="653" t="e">
        <f>IF(B46="楼面地价",SUM(F56:F65),ROUND(C48*E66/10000,0))</f>
        <v>#DIV/0!</v>
      </c>
      <c r="G66" s="726"/>
      <c r="H66" s="726"/>
      <c r="I66" s="726"/>
      <c r="J66" s="726"/>
      <c r="K66" s="3012"/>
      <c r="L66" s="3011"/>
      <c r="M66" s="3011"/>
      <c r="N66" s="3011"/>
      <c r="O66" s="3011"/>
      <c r="P66" s="3011"/>
      <c r="Q66" s="3011"/>
      <c r="R66" s="3011"/>
      <c r="S66" s="3011"/>
      <c r="T66" s="3011"/>
      <c r="U66" s="3011"/>
      <c r="V66" s="3011"/>
      <c r="W66" s="3011"/>
      <c r="X66" s="3011"/>
      <c r="Y66" s="3011"/>
      <c r="Z66" s="3011"/>
      <c r="AA66" s="3011"/>
      <c r="AB66" s="3011"/>
      <c r="AC66" s="3011"/>
    </row>
    <row r="67" spans="1:29">
      <c r="A67" s="699"/>
      <c r="B67" s="701"/>
      <c r="C67" s="702"/>
      <c r="D67" s="699"/>
      <c r="E67" s="699"/>
      <c r="F67" s="699"/>
      <c r="G67" s="699"/>
      <c r="H67" s="699"/>
      <c r="I67" s="699"/>
      <c r="J67" s="1058"/>
      <c r="K67" s="1019"/>
      <c r="L67" s="1020"/>
      <c r="M67" s="1058"/>
      <c r="N67" s="1058"/>
      <c r="O67" s="1058"/>
      <c r="P67" s="2954"/>
      <c r="Q67" s="2954"/>
      <c r="R67" s="2954"/>
      <c r="S67" s="2954"/>
      <c r="T67" s="2954"/>
      <c r="U67" s="2954"/>
      <c r="V67" s="2954"/>
      <c r="W67" s="2954"/>
      <c r="X67" s="2954"/>
      <c r="Y67" s="2954"/>
      <c r="Z67" s="2954"/>
      <c r="AA67" s="2954"/>
      <c r="AB67" s="2954"/>
      <c r="AC67" s="2954"/>
    </row>
    <row r="68" spans="1:29">
      <c r="A68" s="699"/>
      <c r="B68" s="701"/>
      <c r="C68" s="701" t="str">
        <f>YEAR(C7)&amp;"-"&amp;MONTH(C7)&amp;"-1"</f>
        <v>2021-6-1</v>
      </c>
      <c r="D68" s="701">
        <f>EDATE(C68,-3)</f>
        <v>44256</v>
      </c>
      <c r="E68" s="701">
        <f>EDATE(D68,-3)</f>
        <v>44166</v>
      </c>
      <c r="F68" s="701">
        <f t="shared" ref="F68:O68" si="18">EDATE(E68,-3)</f>
        <v>44075</v>
      </c>
      <c r="G68" s="701">
        <f t="shared" si="18"/>
        <v>43983</v>
      </c>
      <c r="H68" s="701">
        <f t="shared" si="18"/>
        <v>43891</v>
      </c>
      <c r="I68" s="701">
        <f t="shared" si="18"/>
        <v>43800</v>
      </c>
      <c r="J68" s="701">
        <f t="shared" si="18"/>
        <v>43709</v>
      </c>
      <c r="K68" s="701">
        <f t="shared" si="18"/>
        <v>43617</v>
      </c>
      <c r="L68" s="701">
        <f t="shared" si="18"/>
        <v>43525</v>
      </c>
      <c r="M68" s="701">
        <f t="shared" si="18"/>
        <v>43435</v>
      </c>
      <c r="N68" s="701">
        <f t="shared" si="18"/>
        <v>43344</v>
      </c>
      <c r="O68" s="701">
        <f t="shared" si="18"/>
        <v>43252</v>
      </c>
      <c r="P68" s="2954"/>
      <c r="Q68" s="2954"/>
      <c r="R68" s="2954"/>
      <c r="S68" s="2954"/>
      <c r="T68" s="2954"/>
      <c r="U68" s="2954"/>
      <c r="V68" s="2954"/>
      <c r="W68" s="2954"/>
      <c r="X68" s="2954"/>
      <c r="Y68" s="2954"/>
      <c r="Z68" s="2954"/>
      <c r="AA68" s="2954"/>
      <c r="AB68" s="2954"/>
      <c r="AC68" s="2954"/>
    </row>
    <row r="69" spans="1:29" ht="21.75" thickBot="1">
      <c r="A69" s="703" t="s">
        <v>2495</v>
      </c>
      <c r="B69" s="699"/>
      <c r="C69" s="704"/>
      <c r="D69" s="704"/>
      <c r="E69" s="704"/>
      <c r="F69" s="705"/>
      <c r="G69" s="705"/>
      <c r="H69" s="704"/>
      <c r="I69" s="704"/>
      <c r="J69" s="1071"/>
      <c r="K69" s="1072"/>
      <c r="L69" s="1073"/>
      <c r="M69" s="1071"/>
      <c r="N69" s="2998"/>
      <c r="O69" s="2998"/>
      <c r="P69" s="2998"/>
      <c r="Q69" s="2968"/>
      <c r="R69" s="2954"/>
      <c r="S69" s="2954"/>
      <c r="T69" s="2954"/>
      <c r="U69" s="2954"/>
      <c r="V69" s="2954"/>
      <c r="W69" s="2954"/>
      <c r="X69" s="2954"/>
      <c r="Y69" s="2954"/>
      <c r="Z69" s="2954"/>
      <c r="AA69" s="2954"/>
      <c r="AB69" s="2954"/>
      <c r="AC69" s="2954"/>
    </row>
    <row r="70" spans="1:29" s="465" customFormat="1" ht="15">
      <c r="A70" s="2175" t="s">
        <v>2603</v>
      </c>
      <c r="B70" s="1269"/>
      <c r="C70" s="1344" t="str">
        <f>YEAR(C68)&amp;"-"&amp;ROUNDUP(MONTH(C68)/3,0)</f>
        <v>2021-2</v>
      </c>
      <c r="D70" s="1344" t="str">
        <f>YEAR(D68)&amp;"-"&amp;ROUNDUP(MONTH(D68)/3,0)</f>
        <v>2021-1</v>
      </c>
      <c r="E70" s="1344" t="str">
        <f t="shared" ref="E70:O70" si="19">YEAR(E68)&amp;"-"&amp;ROUNDUP(MONTH(E68)/3,0)</f>
        <v>2020-4</v>
      </c>
      <c r="F70" s="1344" t="str">
        <f t="shared" si="19"/>
        <v>2020-3</v>
      </c>
      <c r="G70" s="1344" t="str">
        <f t="shared" si="19"/>
        <v>2020-2</v>
      </c>
      <c r="H70" s="1344" t="str">
        <f t="shared" si="19"/>
        <v>2020-1</v>
      </c>
      <c r="I70" s="1344" t="str">
        <f t="shared" si="19"/>
        <v>2019-4</v>
      </c>
      <c r="J70" s="1344" t="str">
        <f t="shared" si="19"/>
        <v>2019-3</v>
      </c>
      <c r="K70" s="1344" t="str">
        <f t="shared" si="19"/>
        <v>2019-2</v>
      </c>
      <c r="L70" s="1344" t="str">
        <f t="shared" si="19"/>
        <v>2019-1</v>
      </c>
      <c r="M70" s="1344" t="str">
        <f t="shared" si="19"/>
        <v>2018-4</v>
      </c>
      <c r="N70" s="1344" t="str">
        <f t="shared" si="19"/>
        <v>2018-3</v>
      </c>
      <c r="O70" s="1344" t="str">
        <f t="shared" si="19"/>
        <v>2018-2</v>
      </c>
      <c r="P70" s="3005"/>
      <c r="Q70" s="2970"/>
      <c r="R70" s="2970"/>
      <c r="S70" s="2970"/>
      <c r="T70" s="2970"/>
      <c r="U70" s="2970"/>
      <c r="V70" s="2970"/>
      <c r="W70" s="2970"/>
      <c r="X70" s="2970"/>
      <c r="Y70" s="2970"/>
      <c r="Z70" s="2970"/>
      <c r="AA70" s="2970"/>
      <c r="AB70" s="2970"/>
      <c r="AC70" s="2970"/>
    </row>
    <row r="71" spans="1:29" s="113" customFormat="1" ht="30" customHeight="1">
      <c r="A71" s="2176" t="s">
        <v>2604</v>
      </c>
      <c r="B71" s="294" t="str">
        <f>"北京市平均增长率"&amp;TEXT(SUMIF(基准地价修正!N21:N25,A71,基准地价修正!P21:P25),"0.00%")</f>
        <v>北京市平均增长率1.90%</v>
      </c>
      <c r="C71" s="560">
        <v>100</v>
      </c>
      <c r="D71" s="552"/>
      <c r="E71" s="552"/>
      <c r="F71" s="552"/>
      <c r="G71" s="552"/>
      <c r="H71" s="552"/>
      <c r="I71" s="552"/>
      <c r="J71" s="552"/>
      <c r="K71" s="552"/>
      <c r="L71" s="552"/>
      <c r="M71" s="1340"/>
      <c r="N71" s="552"/>
      <c r="O71" s="1341"/>
      <c r="P71" s="2968"/>
      <c r="Q71" s="2888"/>
      <c r="R71" s="2888"/>
      <c r="S71" s="2888"/>
      <c r="T71" s="2888"/>
      <c r="U71" s="2888"/>
      <c r="V71" s="2888"/>
      <c r="W71" s="2888"/>
      <c r="X71" s="2888"/>
      <c r="Y71" s="2888"/>
      <c r="Z71" s="2888"/>
      <c r="AA71" s="2888"/>
      <c r="AB71" s="2888"/>
      <c r="AC71" s="2888"/>
    </row>
    <row r="72" spans="1:29" s="113" customFormat="1" ht="15.75" thickBot="1">
      <c r="A72" s="472" t="s">
        <v>2406</v>
      </c>
      <c r="B72" s="473"/>
      <c r="C72" s="474"/>
      <c r="D72" s="475"/>
      <c r="E72" s="475"/>
      <c r="F72" s="475"/>
      <c r="G72" s="475"/>
      <c r="H72" s="475"/>
      <c r="I72" s="475"/>
      <c r="J72" s="475"/>
      <c r="K72" s="475"/>
      <c r="L72" s="475"/>
      <c r="M72" s="476"/>
      <c r="N72" s="475"/>
      <c r="O72" s="1074"/>
      <c r="P72" s="2968"/>
      <c r="Q72" s="2968"/>
      <c r="R72" s="2888"/>
      <c r="S72" s="2888"/>
      <c r="T72" s="2888"/>
      <c r="U72" s="2888"/>
      <c r="V72" s="2888"/>
      <c r="W72" s="2888"/>
      <c r="X72" s="2888"/>
      <c r="Y72" s="2888"/>
      <c r="Z72" s="2888"/>
      <c r="AA72" s="2888"/>
      <c r="AB72" s="2888"/>
      <c r="AC72" s="2888"/>
    </row>
    <row r="73" spans="1:29" s="113" customFormat="1" ht="15">
      <c r="A73" s="478" t="s">
        <v>2371</v>
      </c>
      <c r="B73" s="467"/>
      <c r="C73" s="479" t="s">
        <v>2473</v>
      </c>
      <c r="D73" s="480"/>
      <c r="E73" s="480"/>
      <c r="F73" s="480"/>
      <c r="G73" s="480"/>
      <c r="H73" s="480"/>
      <c r="I73" s="480"/>
      <c r="J73" s="480"/>
      <c r="K73" s="480"/>
      <c r="L73" s="481"/>
      <c r="M73" s="482"/>
      <c r="N73" s="2981"/>
      <c r="O73" s="2981"/>
      <c r="P73" s="3006"/>
      <c r="Q73" s="2968"/>
      <c r="R73" s="2888"/>
      <c r="S73" s="2888"/>
      <c r="T73" s="2888"/>
      <c r="U73" s="2888"/>
      <c r="V73" s="2888"/>
      <c r="W73" s="2888"/>
      <c r="X73" s="2888"/>
      <c r="Y73" s="2888"/>
      <c r="Z73" s="2888"/>
      <c r="AA73" s="2888"/>
      <c r="AB73" s="2888"/>
      <c r="AC73" s="2888"/>
    </row>
    <row r="74" spans="1:29" s="113" customFormat="1" ht="15.75" thickBot="1">
      <c r="A74" s="478"/>
      <c r="B74" s="467"/>
      <c r="C74" s="595">
        <v>100</v>
      </c>
      <c r="D74" s="469"/>
      <c r="E74" s="469"/>
      <c r="F74" s="469"/>
      <c r="G74" s="469"/>
      <c r="H74" s="469"/>
      <c r="I74" s="469"/>
      <c r="J74" s="469"/>
      <c r="K74" s="469"/>
      <c r="L74" s="469"/>
      <c r="M74" s="471"/>
      <c r="N74" s="2981"/>
      <c r="O74" s="2981"/>
      <c r="P74" s="2968"/>
      <c r="Q74" s="2968"/>
      <c r="R74" s="2888"/>
      <c r="S74" s="2888"/>
      <c r="T74" s="2888"/>
      <c r="U74" s="2888"/>
      <c r="V74" s="2888"/>
      <c r="W74" s="2888"/>
      <c r="X74" s="2888"/>
      <c r="Y74" s="2888"/>
      <c r="Z74" s="2888"/>
      <c r="AA74" s="2888"/>
      <c r="AB74" s="2888"/>
      <c r="AC74" s="2888"/>
    </row>
    <row r="75" spans="1:29">
      <c r="A75" s="484" t="s">
        <v>2409</v>
      </c>
      <c r="B75" s="485" t="s">
        <v>2375</v>
      </c>
      <c r="C75" s="487"/>
      <c r="D75" s="487"/>
      <c r="E75" s="487"/>
      <c r="F75" s="487"/>
      <c r="G75" s="487"/>
      <c r="H75" s="487"/>
      <c r="I75" s="487"/>
      <c r="J75" s="487"/>
      <c r="K75" s="488"/>
      <c r="L75" s="489"/>
      <c r="M75" s="490"/>
      <c r="N75" s="2982"/>
      <c r="O75" s="2982"/>
      <c r="P75" s="3007"/>
      <c r="Q75" s="2968"/>
      <c r="R75" s="2954"/>
      <c r="S75" s="2954"/>
      <c r="T75" s="2954"/>
      <c r="U75" s="2954"/>
      <c r="V75" s="2954"/>
      <c r="W75" s="2954"/>
      <c r="X75" s="2954"/>
      <c r="Y75" s="2954"/>
      <c r="Z75" s="2954"/>
      <c r="AA75" s="2954"/>
      <c r="AB75" s="2954"/>
      <c r="AC75" s="2954"/>
    </row>
    <row r="76" spans="1:29" ht="15.75" thickBot="1">
      <c r="A76" s="491"/>
      <c r="B76" s="492"/>
      <c r="C76" s="493"/>
      <c r="D76" s="493"/>
      <c r="E76" s="493"/>
      <c r="F76" s="493"/>
      <c r="G76" s="493"/>
      <c r="H76" s="493"/>
      <c r="I76" s="493"/>
      <c r="J76" s="493"/>
      <c r="K76" s="493"/>
      <c r="L76" s="493"/>
      <c r="M76" s="494"/>
      <c r="N76" s="2983"/>
      <c r="O76" s="2983"/>
      <c r="P76" s="3007"/>
      <c r="Q76" s="2968"/>
      <c r="R76" s="2954"/>
      <c r="S76" s="2954"/>
      <c r="T76" s="2954"/>
      <c r="U76" s="2954"/>
      <c r="V76" s="2954"/>
      <c r="W76" s="2954"/>
      <c r="X76" s="2954"/>
      <c r="Y76" s="2954"/>
      <c r="Z76" s="2954"/>
      <c r="AA76" s="2954"/>
      <c r="AB76" s="2954"/>
      <c r="AC76" s="2954"/>
    </row>
    <row r="77" spans="1:29" ht="27.75" thickTop="1">
      <c r="A77" s="491"/>
      <c r="B77" s="495" t="s">
        <v>2378</v>
      </c>
      <c r="C77" s="496"/>
      <c r="D77" s="496"/>
      <c r="E77" s="496"/>
      <c r="F77" s="496"/>
      <c r="G77" s="496"/>
      <c r="H77" s="496"/>
      <c r="I77" s="496"/>
      <c r="J77" s="496"/>
      <c r="K77" s="497"/>
      <c r="L77" s="498"/>
      <c r="M77" s="499"/>
      <c r="N77" s="2982"/>
      <c r="O77" s="2982"/>
      <c r="P77" s="3007"/>
      <c r="Q77" s="2968"/>
      <c r="R77" s="2954"/>
      <c r="S77" s="2954"/>
      <c r="T77" s="2954"/>
      <c r="U77" s="2954"/>
      <c r="V77" s="2954"/>
      <c r="W77" s="2954"/>
      <c r="X77" s="2954"/>
      <c r="Y77" s="2954"/>
      <c r="Z77" s="2954"/>
      <c r="AA77" s="2954"/>
      <c r="AB77" s="2954"/>
      <c r="AC77" s="2954"/>
    </row>
    <row r="78" spans="1:29" ht="15.75" thickBot="1">
      <c r="A78" s="491"/>
      <c r="B78" s="500"/>
      <c r="C78" s="501"/>
      <c r="D78" s="501"/>
      <c r="E78" s="501"/>
      <c r="F78" s="501"/>
      <c r="G78" s="501"/>
      <c r="H78" s="501"/>
      <c r="I78" s="501"/>
      <c r="J78" s="501"/>
      <c r="K78" s="501"/>
      <c r="L78" s="501"/>
      <c r="M78" s="502"/>
      <c r="N78" s="2983"/>
      <c r="O78" s="2983"/>
      <c r="P78" s="3007"/>
      <c r="Q78" s="2968"/>
      <c r="R78" s="2954"/>
      <c r="S78" s="2954"/>
      <c r="T78" s="2954"/>
      <c r="U78" s="2954"/>
      <c r="V78" s="2954"/>
      <c r="W78" s="2954"/>
      <c r="X78" s="2954"/>
      <c r="Y78" s="2954"/>
      <c r="Z78" s="2954"/>
      <c r="AA78" s="2954"/>
      <c r="AB78" s="2954"/>
      <c r="AC78" s="2954"/>
    </row>
    <row r="79" spans="1:29" ht="15.75" thickTop="1">
      <c r="A79" s="491"/>
      <c r="B79" s="503" t="s">
        <v>2379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3"/>
      <c r="O79" s="2983"/>
      <c r="P79" s="3007"/>
      <c r="Q79" s="2968"/>
      <c r="R79" s="2954"/>
      <c r="S79" s="2954"/>
      <c r="T79" s="2954"/>
      <c r="U79" s="2954"/>
      <c r="V79" s="2954"/>
      <c r="W79" s="2954"/>
      <c r="X79" s="2954"/>
      <c r="Y79" s="2954"/>
      <c r="Z79" s="2954"/>
      <c r="AA79" s="2954"/>
      <c r="AB79" s="2954"/>
      <c r="AC79" s="2954"/>
    </row>
    <row r="80" spans="1:29" ht="15">
      <c r="A80" s="491"/>
      <c r="B80" s="505"/>
      <c r="C80" s="506"/>
      <c r="D80" s="506"/>
      <c r="E80" s="506"/>
      <c r="F80" s="506"/>
      <c r="G80" s="506"/>
      <c r="H80" s="506"/>
      <c r="I80" s="506"/>
      <c r="J80" s="506"/>
      <c r="K80" s="507"/>
      <c r="L80" s="508"/>
      <c r="M80" s="509"/>
      <c r="N80" s="2982"/>
      <c r="O80" s="2982"/>
      <c r="P80" s="3007"/>
      <c r="Q80" s="2968"/>
      <c r="R80" s="2954"/>
      <c r="S80" s="2954"/>
      <c r="T80" s="2954"/>
      <c r="U80" s="2954"/>
      <c r="V80" s="2954"/>
      <c r="W80" s="2954"/>
      <c r="X80" s="2954"/>
      <c r="Y80" s="2954"/>
      <c r="Z80" s="2954"/>
      <c r="AA80" s="2954"/>
      <c r="AB80" s="2954"/>
      <c r="AC80" s="295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3"/>
      <c r="O81" s="2983"/>
      <c r="P81" s="3007"/>
      <c r="Q81" s="2968"/>
      <c r="R81" s="2954"/>
      <c r="S81" s="2954"/>
      <c r="T81" s="2954"/>
      <c r="U81" s="2954"/>
      <c r="V81" s="2954"/>
      <c r="W81" s="2954"/>
      <c r="X81" s="2954"/>
      <c r="Y81" s="2954"/>
      <c r="Z81" s="2954"/>
      <c r="AA81" s="2954"/>
      <c r="AB81" s="2954"/>
      <c r="AC81" s="2954"/>
    </row>
    <row r="82" spans="1:29" s="430" customFormat="1" ht="15.75" thickTop="1">
      <c r="A82" s="510"/>
      <c r="B82" s="495" t="str">
        <f>B12</f>
        <v>配建</v>
      </c>
      <c r="C82" s="511"/>
      <c r="D82" s="511"/>
      <c r="E82" s="511"/>
      <c r="F82" s="511"/>
      <c r="G82" s="511"/>
      <c r="H82" s="512"/>
      <c r="I82" s="512"/>
      <c r="J82" s="512"/>
      <c r="K82" s="512"/>
      <c r="L82" s="513"/>
      <c r="M82" s="514"/>
      <c r="N82" s="2984"/>
      <c r="O82" s="2984"/>
      <c r="P82" s="3008"/>
      <c r="Q82" s="2975"/>
      <c r="R82" s="2976"/>
      <c r="S82" s="2976"/>
      <c r="T82" s="2976"/>
      <c r="U82" s="2976"/>
      <c r="V82" s="2976"/>
      <c r="W82" s="2976"/>
      <c r="X82" s="2976"/>
      <c r="Y82" s="2976"/>
      <c r="Z82" s="2976"/>
      <c r="AA82" s="2976"/>
      <c r="AB82" s="2976"/>
      <c r="AC82" s="2976"/>
    </row>
    <row r="83" spans="1:29" s="430" customFormat="1" ht="15.75" thickBot="1">
      <c r="A83" s="510"/>
      <c r="B83" s="500"/>
      <c r="C83" s="517"/>
      <c r="D83" s="493"/>
      <c r="E83" s="493"/>
      <c r="F83" s="493"/>
      <c r="G83" s="493"/>
      <c r="H83" s="493"/>
      <c r="I83" s="493"/>
      <c r="J83" s="493"/>
      <c r="K83" s="493"/>
      <c r="L83" s="493"/>
      <c r="M83" s="494"/>
      <c r="N83" s="2983"/>
      <c r="O83" s="2983"/>
      <c r="P83" s="3008"/>
      <c r="Q83" s="2975"/>
      <c r="R83" s="2976"/>
      <c r="S83" s="2976"/>
      <c r="T83" s="2976"/>
      <c r="U83" s="2976"/>
      <c r="V83" s="2976"/>
      <c r="W83" s="2976"/>
      <c r="X83" s="2976"/>
      <c r="Y83" s="2976"/>
      <c r="Z83" s="2976"/>
      <c r="AA83" s="2976"/>
      <c r="AB83" s="2976"/>
      <c r="AC83" s="2976"/>
    </row>
    <row r="84" spans="1:29" s="430" customFormat="1" ht="15.75" thickTop="1">
      <c r="A84" s="510"/>
      <c r="B84" s="495">
        <f>B13</f>
        <v>111</v>
      </c>
      <c r="C84" s="511"/>
      <c r="D84" s="511"/>
      <c r="E84" s="511"/>
      <c r="F84" s="511"/>
      <c r="G84" s="511"/>
      <c r="H84" s="512"/>
      <c r="I84" s="512"/>
      <c r="J84" s="512"/>
      <c r="K84" s="512"/>
      <c r="L84" s="513"/>
      <c r="M84" s="514"/>
      <c r="N84" s="2984"/>
      <c r="O84" s="2984"/>
      <c r="P84" s="2952"/>
      <c r="Q84" s="2978"/>
      <c r="R84" s="2976"/>
      <c r="S84" s="2976"/>
      <c r="T84" s="2976"/>
      <c r="U84" s="2976"/>
      <c r="V84" s="2976"/>
      <c r="W84" s="2976"/>
      <c r="X84" s="2976"/>
      <c r="Y84" s="2976"/>
      <c r="Z84" s="2976"/>
      <c r="AA84" s="2976"/>
      <c r="AB84" s="2976"/>
      <c r="AC84" s="2976"/>
    </row>
    <row r="85" spans="1:29" s="430" customFormat="1" ht="15.75" thickBot="1">
      <c r="A85" s="510"/>
      <c r="B85" s="500"/>
      <c r="C85" s="517"/>
      <c r="D85" s="517"/>
      <c r="E85" s="517"/>
      <c r="F85" s="517"/>
      <c r="G85" s="517"/>
      <c r="H85" s="519"/>
      <c r="I85" s="519"/>
      <c r="J85" s="519"/>
      <c r="K85" s="519"/>
      <c r="L85" s="519"/>
      <c r="M85" s="520"/>
      <c r="N85" s="2984"/>
      <c r="O85" s="2984"/>
      <c r="P85" s="3008"/>
      <c r="Q85" s="2975"/>
      <c r="R85" s="2976"/>
      <c r="S85" s="2976"/>
      <c r="T85" s="2976"/>
      <c r="U85" s="2976"/>
      <c r="V85" s="2976"/>
      <c r="W85" s="2976"/>
      <c r="X85" s="2976"/>
      <c r="Y85" s="2976"/>
      <c r="Z85" s="2976"/>
      <c r="AA85" s="2976"/>
      <c r="AB85" s="2976"/>
      <c r="AC85" s="2976"/>
    </row>
    <row r="86" spans="1:29" s="430" customFormat="1" ht="15.75" thickTop="1">
      <c r="A86" s="510"/>
      <c r="B86" s="503">
        <f>B14</f>
        <v>111</v>
      </c>
      <c r="C86" s="480"/>
      <c r="D86" s="480"/>
      <c r="E86" s="480"/>
      <c r="F86" s="480"/>
      <c r="G86" s="480"/>
      <c r="H86" s="521"/>
      <c r="I86" s="521"/>
      <c r="J86" s="521"/>
      <c r="K86" s="521"/>
      <c r="L86" s="522"/>
      <c r="M86" s="523"/>
      <c r="N86" s="2984"/>
      <c r="O86" s="2984"/>
      <c r="P86" s="3013"/>
      <c r="Q86" s="2975"/>
      <c r="R86" s="2976"/>
      <c r="S86" s="2976"/>
      <c r="T86" s="2976"/>
      <c r="U86" s="2976"/>
      <c r="V86" s="2976"/>
      <c r="W86" s="2976"/>
      <c r="X86" s="2976"/>
      <c r="Y86" s="2976"/>
      <c r="Z86" s="2976"/>
      <c r="AA86" s="2976"/>
      <c r="AB86" s="2976"/>
      <c r="AC86" s="2976"/>
    </row>
    <row r="87" spans="1:29" s="430" customFormat="1" ht="15.75" thickBot="1">
      <c r="A87" s="525"/>
      <c r="B87" s="526"/>
      <c r="C87" s="527"/>
      <c r="D87" s="527"/>
      <c r="E87" s="527"/>
      <c r="F87" s="527"/>
      <c r="G87" s="527"/>
      <c r="H87" s="528"/>
      <c r="I87" s="528"/>
      <c r="J87" s="528"/>
      <c r="K87" s="528"/>
      <c r="L87" s="528"/>
      <c r="M87" s="529"/>
      <c r="N87" s="2984"/>
      <c r="O87" s="2984"/>
      <c r="P87" s="3008"/>
      <c r="Q87" s="2975"/>
      <c r="R87" s="2976"/>
      <c r="S87" s="2976"/>
      <c r="T87" s="2976"/>
      <c r="U87" s="2976"/>
      <c r="V87" s="2976"/>
      <c r="W87" s="2976"/>
      <c r="X87" s="2976"/>
      <c r="Y87" s="2976"/>
      <c r="Z87" s="2976"/>
      <c r="AA87" s="2976"/>
      <c r="AB87" s="2976"/>
      <c r="AC87" s="2976"/>
    </row>
    <row r="88" spans="1:29">
      <c r="A88" s="484" t="s">
        <v>2380</v>
      </c>
      <c r="B88" s="485" t="s">
        <v>2417</v>
      </c>
      <c r="C88" s="530" t="s">
        <v>2418</v>
      </c>
      <c r="D88" s="530" t="s">
        <v>2419</v>
      </c>
      <c r="E88" s="530" t="s">
        <v>2420</v>
      </c>
      <c r="F88" s="530" t="s">
        <v>2421</v>
      </c>
      <c r="G88" s="530" t="s">
        <v>2422</v>
      </c>
      <c r="H88" s="486"/>
      <c r="I88" s="486"/>
      <c r="J88" s="486"/>
      <c r="K88" s="531"/>
      <c r="L88" s="532"/>
      <c r="M88" s="533"/>
      <c r="N88" s="2982"/>
      <c r="O88" s="2982"/>
      <c r="P88" s="3009"/>
      <c r="Q88" s="2968"/>
      <c r="R88" s="2954"/>
      <c r="S88" s="2954"/>
      <c r="T88" s="2954"/>
      <c r="U88" s="2954"/>
      <c r="V88" s="2954"/>
      <c r="W88" s="2954"/>
      <c r="X88" s="2954"/>
      <c r="Y88" s="2954"/>
      <c r="Z88" s="2954"/>
      <c r="AA88" s="2954"/>
      <c r="AB88" s="2954"/>
      <c r="AC88" s="295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3"/>
      <c r="O89" s="2983"/>
      <c r="P89" s="3007"/>
      <c r="Q89" s="2968"/>
      <c r="R89" s="2954"/>
      <c r="S89" s="2954"/>
      <c r="T89" s="2954"/>
      <c r="U89" s="2954"/>
      <c r="V89" s="2954"/>
      <c r="W89" s="2954"/>
      <c r="X89" s="2954"/>
      <c r="Y89" s="2954"/>
      <c r="Z89" s="2954"/>
      <c r="AA89" s="2954"/>
      <c r="AB89" s="2954"/>
      <c r="AC89" s="2954"/>
    </row>
    <row r="90" spans="1:29" ht="15.75" thickTop="1">
      <c r="A90" s="491"/>
      <c r="B90" s="495" t="s">
        <v>2605</v>
      </c>
      <c r="C90" s="535" t="s">
        <v>2418</v>
      </c>
      <c r="D90" s="535" t="s">
        <v>2419</v>
      </c>
      <c r="E90" s="535" t="s">
        <v>2420</v>
      </c>
      <c r="F90" s="535" t="s">
        <v>2421</v>
      </c>
      <c r="G90" s="535" t="s">
        <v>2422</v>
      </c>
      <c r="H90" s="496"/>
      <c r="I90" s="496"/>
      <c r="J90" s="496"/>
      <c r="K90" s="497"/>
      <c r="L90" s="498"/>
      <c r="M90" s="499"/>
      <c r="N90" s="2982"/>
      <c r="O90" s="2982"/>
      <c r="P90" s="3007"/>
      <c r="Q90" s="2968"/>
      <c r="R90" s="2954"/>
      <c r="S90" s="2954"/>
      <c r="T90" s="2954"/>
      <c r="U90" s="2954"/>
      <c r="V90" s="2954"/>
      <c r="W90" s="2954"/>
      <c r="X90" s="2954"/>
      <c r="Y90" s="2954"/>
      <c r="Z90" s="2954"/>
      <c r="AA90" s="2954"/>
      <c r="AB90" s="2954"/>
      <c r="AC90" s="295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3"/>
      <c r="O91" s="2983"/>
      <c r="P91" s="3007"/>
      <c r="Q91" s="2968"/>
      <c r="R91" s="2954"/>
      <c r="S91" s="2954"/>
      <c r="T91" s="2954"/>
      <c r="U91" s="2954"/>
      <c r="V91" s="2954"/>
      <c r="W91" s="2954"/>
      <c r="X91" s="2954"/>
      <c r="Y91" s="2954"/>
      <c r="Z91" s="2954"/>
      <c r="AA91" s="2954"/>
      <c r="AB91" s="2954"/>
      <c r="AC91" s="2954"/>
    </row>
    <row r="92" spans="1:29" ht="15.75" thickTop="1">
      <c r="A92" s="491"/>
      <c r="B92" s="495" t="s">
        <v>2518</v>
      </c>
      <c r="C92" s="535" t="s">
        <v>2418</v>
      </c>
      <c r="D92" s="535" t="s">
        <v>2419</v>
      </c>
      <c r="E92" s="535" t="s">
        <v>2420</v>
      </c>
      <c r="F92" s="535" t="s">
        <v>2421</v>
      </c>
      <c r="G92" s="535" t="s">
        <v>2422</v>
      </c>
      <c r="H92" s="496"/>
      <c r="I92" s="496"/>
      <c r="J92" s="496"/>
      <c r="K92" s="497"/>
      <c r="L92" s="498"/>
      <c r="M92" s="499"/>
      <c r="N92" s="2982"/>
      <c r="O92" s="2982"/>
      <c r="P92" s="3007"/>
      <c r="Q92" s="2968"/>
      <c r="R92" s="2954"/>
      <c r="S92" s="2954"/>
      <c r="T92" s="2954"/>
      <c r="U92" s="2954"/>
      <c r="V92" s="2954"/>
      <c r="W92" s="2954"/>
      <c r="X92" s="2954"/>
      <c r="Y92" s="2954"/>
      <c r="Z92" s="2954"/>
      <c r="AA92" s="2954"/>
      <c r="AB92" s="2954"/>
      <c r="AC92" s="295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3"/>
      <c r="O93" s="2983"/>
      <c r="P93" s="3007"/>
      <c r="Q93" s="2968"/>
      <c r="R93" s="2954"/>
      <c r="S93" s="2954"/>
      <c r="T93" s="2954"/>
      <c r="U93" s="2954"/>
      <c r="V93" s="2954"/>
      <c r="W93" s="2954"/>
      <c r="X93" s="2954"/>
      <c r="Y93" s="2954"/>
      <c r="Z93" s="2954"/>
      <c r="AA93" s="2954"/>
      <c r="AB93" s="2954"/>
      <c r="AC93" s="2954"/>
    </row>
    <row r="94" spans="1:29" ht="15.75" thickTop="1">
      <c r="A94" s="491"/>
      <c r="B94" s="495" t="s">
        <v>2423</v>
      </c>
      <c r="C94" s="535" t="s">
        <v>2418</v>
      </c>
      <c r="D94" s="535" t="s">
        <v>2419</v>
      </c>
      <c r="E94" s="535" t="s">
        <v>2420</v>
      </c>
      <c r="F94" s="535" t="s">
        <v>2421</v>
      </c>
      <c r="G94" s="535" t="s">
        <v>2422</v>
      </c>
      <c r="H94" s="496"/>
      <c r="I94" s="496"/>
      <c r="J94" s="496"/>
      <c r="K94" s="497"/>
      <c r="L94" s="498"/>
      <c r="M94" s="499"/>
      <c r="N94" s="2982"/>
      <c r="O94" s="2982"/>
      <c r="P94" s="3007"/>
      <c r="Q94" s="2968"/>
      <c r="R94" s="2954"/>
      <c r="S94" s="2954"/>
      <c r="T94" s="2954"/>
      <c r="U94" s="2954"/>
      <c r="V94" s="2954"/>
      <c r="W94" s="2954"/>
      <c r="X94" s="2954"/>
      <c r="Y94" s="2954"/>
      <c r="Z94" s="2954"/>
      <c r="AA94" s="2954"/>
      <c r="AB94" s="2954"/>
      <c r="AC94" s="295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3"/>
      <c r="O95" s="2983"/>
      <c r="P95" s="3007"/>
      <c r="Q95" s="2968"/>
      <c r="R95" s="2954"/>
      <c r="S95" s="2954"/>
      <c r="T95" s="2954"/>
      <c r="U95" s="2954"/>
      <c r="V95" s="2954"/>
      <c r="W95" s="2954"/>
      <c r="X95" s="2954"/>
      <c r="Y95" s="2954"/>
      <c r="Z95" s="2954"/>
      <c r="AA95" s="2954"/>
      <c r="AB95" s="2954"/>
      <c r="AC95" s="2954"/>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81"/>
      <c r="O96" s="2981"/>
      <c r="P96" s="3007"/>
      <c r="Q96" s="2968"/>
      <c r="R96" s="2888"/>
      <c r="S96" s="2888"/>
      <c r="T96" s="2888"/>
      <c r="U96" s="2888"/>
      <c r="V96" s="2888"/>
      <c r="W96" s="2888"/>
      <c r="X96" s="2888"/>
      <c r="Y96" s="2888"/>
      <c r="Z96" s="2888"/>
      <c r="AA96" s="2888"/>
      <c r="AB96" s="2888"/>
      <c r="AC96" s="288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3"/>
      <c r="O97" s="2983"/>
      <c r="P97" s="3007"/>
      <c r="Q97" s="2968"/>
      <c r="R97" s="2888"/>
      <c r="S97" s="2888"/>
      <c r="T97" s="2888"/>
      <c r="U97" s="2888"/>
      <c r="V97" s="2888"/>
      <c r="W97" s="2888"/>
      <c r="X97" s="2888"/>
      <c r="Y97" s="2888"/>
      <c r="Z97" s="2888"/>
      <c r="AA97" s="2888"/>
      <c r="AB97" s="2888"/>
      <c r="AC97" s="2888"/>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81"/>
      <c r="O98" s="2981"/>
      <c r="P98" s="3007"/>
      <c r="Q98" s="2968"/>
      <c r="R98" s="2888"/>
      <c r="S98" s="2888"/>
      <c r="T98" s="2888"/>
      <c r="U98" s="2888"/>
      <c r="V98" s="2888"/>
      <c r="W98" s="2888"/>
      <c r="X98" s="2888"/>
      <c r="Y98" s="2888"/>
      <c r="Z98" s="2888"/>
      <c r="AA98" s="2888"/>
      <c r="AB98" s="2888"/>
      <c r="AC98" s="288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3"/>
      <c r="O99" s="2983"/>
      <c r="P99" s="3007"/>
      <c r="Q99" s="2968"/>
      <c r="R99" s="2888"/>
      <c r="S99" s="2888"/>
      <c r="T99" s="2888"/>
      <c r="U99" s="2888"/>
      <c r="V99" s="2888"/>
      <c r="W99" s="2888"/>
      <c r="X99" s="2888"/>
      <c r="Y99" s="2888"/>
      <c r="Z99" s="2888"/>
      <c r="AA99" s="2888"/>
      <c r="AB99" s="2888"/>
      <c r="AC99" s="2888"/>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4"/>
      <c r="O100" s="2984"/>
      <c r="P100" s="3008"/>
      <c r="Q100" s="2975"/>
      <c r="R100" s="2976"/>
      <c r="S100" s="2976"/>
      <c r="T100" s="2976"/>
      <c r="U100" s="2976"/>
      <c r="V100" s="2976"/>
      <c r="W100" s="2976"/>
      <c r="X100" s="2976"/>
      <c r="Y100" s="2976"/>
      <c r="Z100" s="2976"/>
      <c r="AA100" s="2976"/>
      <c r="AB100" s="2976"/>
      <c r="AC100" s="297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4"/>
      <c r="O101" s="2984"/>
      <c r="P101" s="3008"/>
      <c r="Q101" s="2975"/>
      <c r="R101" s="2976"/>
      <c r="S101" s="2976"/>
      <c r="T101" s="2976"/>
      <c r="U101" s="2976"/>
      <c r="V101" s="2976"/>
      <c r="W101" s="2976"/>
      <c r="X101" s="2976"/>
      <c r="Y101" s="2976"/>
      <c r="Z101" s="2976"/>
      <c r="AA101" s="2976"/>
      <c r="AB101" s="2976"/>
      <c r="AC101" s="2976"/>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4"/>
      <c r="N102" s="2984"/>
      <c r="O102" s="2984"/>
      <c r="P102" s="3008"/>
      <c r="Q102" s="2975"/>
      <c r="R102" s="2976"/>
      <c r="S102" s="2976"/>
      <c r="T102" s="2976"/>
      <c r="U102" s="2976"/>
      <c r="V102" s="2976"/>
      <c r="W102" s="2976"/>
      <c r="X102" s="2976"/>
      <c r="Y102" s="2976"/>
      <c r="Z102" s="2976"/>
      <c r="AA102" s="2976"/>
      <c r="AB102" s="2976"/>
      <c r="AC102" s="297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4"/>
      <c r="O103" s="2984"/>
      <c r="P103" s="3008"/>
      <c r="Q103" s="2975"/>
      <c r="R103" s="2976"/>
      <c r="S103" s="2976"/>
      <c r="T103" s="2976"/>
      <c r="U103" s="2976"/>
      <c r="V103" s="2976"/>
      <c r="W103" s="2976"/>
      <c r="X103" s="2976"/>
      <c r="Y103" s="2976"/>
      <c r="Z103" s="2976"/>
      <c r="AA103" s="2976"/>
      <c r="AB103" s="2976"/>
      <c r="AC103" s="2976"/>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82"/>
      <c r="O104" s="2982"/>
      <c r="P104" s="3007"/>
      <c r="Q104" s="2968"/>
      <c r="R104" s="2954"/>
      <c r="S104" s="2954"/>
      <c r="T104" s="2954"/>
      <c r="U104" s="2954"/>
      <c r="V104" s="2954"/>
      <c r="W104" s="2954"/>
      <c r="X104" s="2954"/>
      <c r="Y104" s="2954"/>
      <c r="Z104" s="2954"/>
      <c r="AA104" s="2954"/>
      <c r="AB104" s="2954"/>
      <c r="AC104" s="295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3"/>
      <c r="O105" s="2983"/>
      <c r="P105" s="3007"/>
      <c r="Q105" s="2968"/>
      <c r="R105" s="2954"/>
      <c r="S105" s="2954"/>
      <c r="T105" s="2954"/>
      <c r="U105" s="2954"/>
      <c r="V105" s="2954"/>
      <c r="W105" s="2954"/>
      <c r="X105" s="2954"/>
      <c r="Y105" s="2954"/>
      <c r="Z105" s="2954"/>
      <c r="AA105" s="2954"/>
      <c r="AB105" s="2954"/>
      <c r="AC105" s="2954"/>
    </row>
    <row r="106" spans="1:29" ht="27.75" thickTop="1">
      <c r="A106" s="491"/>
      <c r="B106" s="495" t="s">
        <v>2512</v>
      </c>
      <c r="C106" s="511"/>
      <c r="D106" s="511"/>
      <c r="E106" s="511"/>
      <c r="F106" s="511"/>
      <c r="G106" s="511"/>
      <c r="H106" s="540"/>
      <c r="I106" s="540"/>
      <c r="J106" s="540"/>
      <c r="K106" s="541"/>
      <c r="L106" s="542"/>
      <c r="M106" s="543"/>
      <c r="N106" s="2982"/>
      <c r="O106" s="2982"/>
      <c r="P106" s="3007"/>
      <c r="Q106" s="2968"/>
      <c r="R106" s="2954"/>
      <c r="S106" s="2954"/>
      <c r="T106" s="2954"/>
      <c r="U106" s="2954"/>
      <c r="V106" s="2954"/>
      <c r="W106" s="2954"/>
      <c r="X106" s="2954"/>
      <c r="Y106" s="2954"/>
      <c r="Z106" s="2954"/>
      <c r="AA106" s="2954"/>
      <c r="AB106" s="2954"/>
      <c r="AC106" s="295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3"/>
      <c r="O107" s="2983"/>
      <c r="P107" s="3007"/>
      <c r="Q107" s="2968"/>
      <c r="R107" s="2954"/>
      <c r="S107" s="2954"/>
      <c r="T107" s="2954"/>
      <c r="U107" s="2954"/>
      <c r="V107" s="2954"/>
      <c r="W107" s="2954"/>
      <c r="X107" s="2954"/>
      <c r="Y107" s="2954"/>
      <c r="Z107" s="2954"/>
      <c r="AA107" s="2954"/>
      <c r="AB107" s="2954"/>
      <c r="AC107" s="2954"/>
    </row>
    <row r="108" spans="1:29" ht="15.75" thickTop="1">
      <c r="A108" s="491"/>
      <c r="B108" s="495" t="s">
        <v>2571</v>
      </c>
      <c r="C108" s="540"/>
      <c r="D108" s="540"/>
      <c r="E108" s="540"/>
      <c r="F108" s="540"/>
      <c r="G108" s="540"/>
      <c r="H108" s="540"/>
      <c r="I108" s="540"/>
      <c r="J108" s="540"/>
      <c r="K108" s="541"/>
      <c r="L108" s="542"/>
      <c r="M108" s="543"/>
      <c r="N108" s="2982"/>
      <c r="O108" s="2982"/>
      <c r="P108" s="3007"/>
      <c r="Q108" s="2968"/>
      <c r="R108" s="2954"/>
      <c r="S108" s="2954"/>
      <c r="T108" s="2954"/>
      <c r="U108" s="2954"/>
      <c r="V108" s="2954"/>
      <c r="W108" s="2954"/>
      <c r="X108" s="2954"/>
      <c r="Y108" s="2954"/>
      <c r="Z108" s="2954"/>
      <c r="AA108" s="2954"/>
      <c r="AB108" s="2954"/>
      <c r="AC108" s="295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3"/>
      <c r="O109" s="2983"/>
      <c r="P109" s="3007"/>
      <c r="Q109" s="2968"/>
      <c r="R109" s="2954"/>
      <c r="S109" s="2954"/>
      <c r="T109" s="2954"/>
      <c r="U109" s="2954"/>
      <c r="V109" s="2954"/>
      <c r="W109" s="2954"/>
      <c r="X109" s="2954"/>
      <c r="Y109" s="2954"/>
      <c r="Z109" s="2954"/>
      <c r="AA109" s="2954"/>
      <c r="AB109" s="2954"/>
      <c r="AC109" s="2954"/>
    </row>
    <row r="110" spans="1:29" ht="15.75" thickTop="1">
      <c r="A110" s="491"/>
      <c r="B110" s="503">
        <f>B35</f>
        <v>111</v>
      </c>
      <c r="C110" s="511"/>
      <c r="D110" s="511"/>
      <c r="E110" s="511"/>
      <c r="F110" s="511"/>
      <c r="G110" s="544"/>
      <c r="H110" s="544"/>
      <c r="I110" s="544"/>
      <c r="J110" s="544"/>
      <c r="K110" s="545"/>
      <c r="L110" s="546"/>
      <c r="M110" s="547"/>
      <c r="N110" s="2982"/>
      <c r="O110" s="2982"/>
      <c r="P110" s="3007"/>
      <c r="Q110" s="2968"/>
      <c r="R110" s="2954"/>
      <c r="S110" s="2954"/>
      <c r="T110" s="2954"/>
      <c r="U110" s="2954"/>
      <c r="V110" s="2954"/>
      <c r="W110" s="2954"/>
      <c r="X110" s="2954"/>
      <c r="Y110" s="2954"/>
      <c r="Z110" s="2954"/>
      <c r="AA110" s="2954"/>
      <c r="AB110" s="2954"/>
      <c r="AC110" s="2954"/>
    </row>
    <row r="111" spans="1:29" ht="15.75" thickBot="1">
      <c r="A111" s="491"/>
      <c r="B111" s="526"/>
      <c r="C111" s="517"/>
      <c r="D111" s="517"/>
      <c r="E111" s="517"/>
      <c r="F111" s="517"/>
      <c r="G111" s="548"/>
      <c r="H111" s="548"/>
      <c r="I111" s="548"/>
      <c r="J111" s="548"/>
      <c r="K111" s="548"/>
      <c r="L111" s="548"/>
      <c r="M111" s="549"/>
      <c r="N111" s="2983"/>
      <c r="O111" s="2983"/>
      <c r="P111" s="3007"/>
      <c r="Q111" s="2968"/>
      <c r="R111" s="2954"/>
      <c r="S111" s="2954"/>
      <c r="T111" s="2954"/>
      <c r="U111" s="2954"/>
      <c r="V111" s="2954"/>
      <c r="W111" s="2954"/>
      <c r="X111" s="2954"/>
      <c r="Y111" s="2954"/>
      <c r="Z111" s="2954"/>
      <c r="AA111" s="2954"/>
      <c r="AB111" s="2954"/>
      <c r="AC111" s="2954"/>
    </row>
    <row r="112" spans="1:29" ht="15" thickTop="1">
      <c r="A112" s="631"/>
      <c r="B112" s="495">
        <f>B36</f>
        <v>111</v>
      </c>
      <c r="C112" s="480"/>
      <c r="D112" s="480"/>
      <c r="E112" s="480"/>
      <c r="F112" s="480"/>
      <c r="G112" s="540"/>
      <c r="H112" s="540"/>
      <c r="I112" s="540"/>
      <c r="J112" s="540"/>
      <c r="K112" s="541"/>
      <c r="L112" s="542"/>
      <c r="M112" s="543"/>
      <c r="N112" s="2982"/>
      <c r="O112" s="2982"/>
      <c r="P112" s="3007"/>
      <c r="Q112" s="2968"/>
      <c r="R112" s="2954"/>
      <c r="S112" s="2954"/>
      <c r="T112" s="2954"/>
      <c r="U112" s="2954"/>
      <c r="V112" s="2954"/>
      <c r="W112" s="2954"/>
      <c r="X112" s="2954"/>
      <c r="Y112" s="2954"/>
      <c r="Z112" s="2954"/>
      <c r="AA112" s="2954"/>
      <c r="AB112" s="2954"/>
      <c r="AC112" s="2954"/>
    </row>
    <row r="113" spans="1:29" ht="15.75" thickBot="1">
      <c r="A113" s="491"/>
      <c r="B113" s="500"/>
      <c r="C113" s="527"/>
      <c r="D113" s="527"/>
      <c r="E113" s="527"/>
      <c r="F113" s="527"/>
      <c r="G113" s="493"/>
      <c r="H113" s="493"/>
      <c r="I113" s="493"/>
      <c r="J113" s="493"/>
      <c r="K113" s="493"/>
      <c r="L113" s="493"/>
      <c r="M113" s="494"/>
      <c r="N113" s="2983"/>
      <c r="O113" s="2983"/>
      <c r="P113" s="3007"/>
      <c r="Q113" s="2968"/>
      <c r="R113" s="2954"/>
      <c r="S113" s="2954"/>
      <c r="T113" s="2954"/>
      <c r="U113" s="2954"/>
      <c r="V113" s="2954"/>
      <c r="W113" s="2954"/>
      <c r="X113" s="2954"/>
      <c r="Y113" s="2954"/>
      <c r="Z113" s="2954"/>
      <c r="AA113" s="2954"/>
      <c r="AB113" s="2954"/>
      <c r="AC113" s="2954"/>
    </row>
    <row r="114" spans="1:29" s="430" customFormat="1" ht="15" thickTop="1">
      <c r="A114" s="550"/>
      <c r="B114" s="551">
        <f>B37</f>
        <v>111</v>
      </c>
      <c r="C114" s="552"/>
      <c r="D114" s="552"/>
      <c r="E114" s="552"/>
      <c r="F114" s="552"/>
      <c r="G114" s="552"/>
      <c r="H114" s="552"/>
      <c r="I114" s="552"/>
      <c r="J114" s="553"/>
      <c r="K114" s="553"/>
      <c r="L114" s="554"/>
      <c r="M114" s="555"/>
      <c r="N114" s="2984"/>
      <c r="O114" s="2984"/>
      <c r="P114" s="3008"/>
      <c r="Q114" s="2975"/>
      <c r="R114" s="2976"/>
      <c r="S114" s="2976"/>
      <c r="T114" s="2976"/>
      <c r="U114" s="2976"/>
      <c r="V114" s="2976"/>
      <c r="W114" s="2976"/>
      <c r="X114" s="2976"/>
      <c r="Y114" s="2976"/>
      <c r="Z114" s="2976"/>
      <c r="AA114" s="2976"/>
      <c r="AB114" s="2976"/>
      <c r="AC114" s="2976"/>
    </row>
    <row r="115" spans="1:29" s="430" customFormat="1" ht="15.75" thickBot="1">
      <c r="A115" s="510"/>
      <c r="B115" s="503"/>
      <c r="C115" s="469"/>
      <c r="D115" s="633"/>
      <c r="E115" s="633"/>
      <c r="F115" s="633"/>
      <c r="G115" s="633"/>
      <c r="H115" s="633"/>
      <c r="I115" s="633"/>
      <c r="J115" s="633"/>
      <c r="K115" s="633"/>
      <c r="L115" s="633"/>
      <c r="M115" s="655"/>
      <c r="N115" s="2983"/>
      <c r="O115" s="2983"/>
      <c r="P115" s="3008"/>
      <c r="Q115" s="2975"/>
      <c r="R115" s="2976"/>
      <c r="S115" s="2976"/>
      <c r="T115" s="2976"/>
      <c r="U115" s="2976"/>
      <c r="V115" s="2976"/>
      <c r="W115" s="2976"/>
      <c r="X115" s="2976"/>
      <c r="Y115" s="2976"/>
      <c r="Z115" s="2976"/>
      <c r="AA115" s="2976"/>
      <c r="AB115" s="2976"/>
      <c r="AC115" s="2976"/>
    </row>
    <row r="116" spans="1:29">
      <c r="A116" s="484" t="s">
        <v>2384</v>
      </c>
      <c r="B116" s="485" t="s">
        <v>2612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2"/>
      <c r="O116" s="2982"/>
      <c r="P116" s="3007"/>
      <c r="Q116" s="2968"/>
      <c r="R116" s="2954"/>
      <c r="S116" s="2954"/>
      <c r="T116" s="2954"/>
      <c r="U116" s="2954"/>
      <c r="V116" s="2954"/>
      <c r="W116" s="2954"/>
      <c r="X116" s="2954"/>
      <c r="Y116" s="2954"/>
      <c r="Z116" s="2954"/>
      <c r="AA116" s="2954"/>
      <c r="AB116" s="2954"/>
      <c r="AC116" s="2954"/>
    </row>
    <row r="117" spans="1:29" ht="15">
      <c r="A117" s="491"/>
      <c r="B117" s="503"/>
      <c r="C117" s="552"/>
      <c r="D117" s="552"/>
      <c r="E117" s="552"/>
      <c r="F117" s="552"/>
      <c r="G117" s="552"/>
      <c r="H117" s="552"/>
      <c r="I117" s="552"/>
      <c r="J117" s="553"/>
      <c r="K117" s="553"/>
      <c r="L117" s="554"/>
      <c r="M117" s="555"/>
      <c r="N117" s="2982"/>
      <c r="O117" s="2982"/>
      <c r="P117" s="3007"/>
      <c r="Q117" s="2968"/>
      <c r="R117" s="2954"/>
      <c r="S117" s="2954"/>
      <c r="T117" s="2954"/>
      <c r="U117" s="2954"/>
      <c r="V117" s="2954"/>
      <c r="W117" s="2954"/>
      <c r="X117" s="2954"/>
      <c r="Y117" s="2954"/>
      <c r="Z117" s="2954"/>
      <c r="AA117" s="2954"/>
      <c r="AB117" s="2954"/>
      <c r="AC117" s="2954"/>
    </row>
    <row r="118" spans="1:29" ht="15.75" thickBot="1">
      <c r="A118" s="491"/>
      <c r="B118" s="500"/>
      <c r="C118" s="527"/>
      <c r="D118" s="548"/>
      <c r="E118" s="548"/>
      <c r="F118" s="548"/>
      <c r="G118" s="548"/>
      <c r="H118" s="548"/>
      <c r="I118" s="548"/>
      <c r="J118" s="548"/>
      <c r="K118" s="548"/>
      <c r="L118" s="548"/>
      <c r="M118" s="549"/>
      <c r="N118" s="2983"/>
      <c r="O118" s="2983"/>
      <c r="P118" s="3007"/>
      <c r="Q118" s="2968"/>
      <c r="R118" s="2954"/>
      <c r="S118" s="2954"/>
      <c r="T118" s="2954"/>
      <c r="U118" s="2954"/>
      <c r="V118" s="2954"/>
      <c r="W118" s="2954"/>
      <c r="X118" s="2954"/>
      <c r="Y118" s="2954"/>
      <c r="Z118" s="2954"/>
      <c r="AA118" s="2954"/>
      <c r="AB118" s="2954"/>
      <c r="AC118" s="2954"/>
    </row>
    <row r="119" spans="1:29" ht="15" thickTop="1">
      <c r="A119" s="556"/>
      <c r="B119" s="495" t="s">
        <v>2613</v>
      </c>
      <c r="C119" s="540"/>
      <c r="D119" s="540"/>
      <c r="E119" s="540"/>
      <c r="F119" s="540"/>
      <c r="G119" s="540"/>
      <c r="H119" s="540"/>
      <c r="I119" s="540"/>
      <c r="J119" s="540"/>
      <c r="K119" s="541"/>
      <c r="L119" s="542"/>
      <c r="M119" s="543"/>
      <c r="N119" s="2982"/>
      <c r="O119" s="2982"/>
      <c r="P119" s="3007"/>
      <c r="Q119" s="2968"/>
      <c r="R119" s="2954"/>
      <c r="S119" s="2954"/>
      <c r="T119" s="2954"/>
      <c r="U119" s="2954"/>
      <c r="V119" s="2954"/>
      <c r="W119" s="2954"/>
      <c r="X119" s="2954"/>
      <c r="Y119" s="2954"/>
      <c r="Z119" s="2954"/>
      <c r="AA119" s="2954"/>
      <c r="AB119" s="2954"/>
      <c r="AC119" s="295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3"/>
      <c r="O120" s="2983"/>
      <c r="P120" s="3007"/>
      <c r="Q120" s="2968"/>
      <c r="R120" s="2954"/>
      <c r="S120" s="2954"/>
      <c r="T120" s="2954"/>
      <c r="U120" s="2954"/>
      <c r="V120" s="2954"/>
      <c r="W120" s="2954"/>
      <c r="X120" s="2954"/>
      <c r="Y120" s="2954"/>
      <c r="Z120" s="2954"/>
      <c r="AA120" s="2954"/>
      <c r="AB120" s="2954"/>
      <c r="AC120" s="2954"/>
    </row>
    <row r="121" spans="1:29" ht="15" thickTop="1">
      <c r="A121" s="556"/>
      <c r="B121" s="495" t="s">
        <v>2614</v>
      </c>
      <c r="C121" s="511"/>
      <c r="D121" s="511"/>
      <c r="E121" s="511"/>
      <c r="F121" s="540"/>
      <c r="G121" s="540"/>
      <c r="H121" s="540"/>
      <c r="I121" s="540"/>
      <c r="J121" s="540"/>
      <c r="K121" s="541"/>
      <c r="L121" s="542"/>
      <c r="M121" s="543"/>
      <c r="N121" s="2982"/>
      <c r="O121" s="2982"/>
      <c r="P121" s="3007"/>
      <c r="Q121" s="2968"/>
      <c r="R121" s="2954"/>
      <c r="S121" s="2954"/>
      <c r="T121" s="2954"/>
      <c r="U121" s="2954"/>
      <c r="V121" s="2954"/>
      <c r="W121" s="2954"/>
      <c r="X121" s="2954"/>
      <c r="Y121" s="2954"/>
      <c r="Z121" s="2954"/>
      <c r="AA121" s="2954"/>
      <c r="AB121" s="2954"/>
      <c r="AC121" s="295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3"/>
      <c r="O122" s="2983"/>
      <c r="P122" s="3007"/>
      <c r="Q122" s="2968"/>
      <c r="R122" s="2954"/>
      <c r="S122" s="2954"/>
      <c r="T122" s="2954"/>
      <c r="U122" s="2954"/>
      <c r="V122" s="2954"/>
      <c r="W122" s="2954"/>
      <c r="X122" s="2954"/>
      <c r="Y122" s="2954"/>
      <c r="Z122" s="2954"/>
      <c r="AA122" s="2954"/>
      <c r="AB122" s="2954"/>
      <c r="AC122" s="2954"/>
    </row>
    <row r="123" spans="1:29" s="430" customFormat="1" ht="15" thickTop="1">
      <c r="A123" s="550"/>
      <c r="B123" s="495" t="s">
        <v>2615</v>
      </c>
      <c r="C123" s="511"/>
      <c r="D123" s="511"/>
      <c r="E123" s="511"/>
      <c r="F123" s="511"/>
      <c r="G123" s="511"/>
      <c r="H123" s="540"/>
      <c r="I123" s="540"/>
      <c r="J123" s="540"/>
      <c r="K123" s="541"/>
      <c r="L123" s="542"/>
      <c r="M123" s="543"/>
      <c r="N123" s="2984"/>
      <c r="O123" s="2984"/>
      <c r="P123" s="3008"/>
      <c r="Q123" s="2975"/>
      <c r="R123" s="2976"/>
      <c r="S123" s="2976"/>
      <c r="T123" s="2976"/>
      <c r="U123" s="2976"/>
      <c r="V123" s="2976"/>
      <c r="W123" s="2976"/>
      <c r="X123" s="2976"/>
      <c r="Y123" s="2976"/>
      <c r="Z123" s="2976"/>
      <c r="AA123" s="2976"/>
      <c r="AB123" s="2976"/>
      <c r="AC123" s="297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4"/>
      <c r="O124" s="2984"/>
      <c r="P124" s="3008"/>
      <c r="Q124" s="2975"/>
      <c r="R124" s="2976"/>
      <c r="S124" s="2976"/>
      <c r="T124" s="2976"/>
      <c r="U124" s="2976"/>
      <c r="V124" s="2976"/>
      <c r="W124" s="2976"/>
      <c r="X124" s="2976"/>
      <c r="Y124" s="2976"/>
      <c r="Z124" s="2976"/>
      <c r="AA124" s="2976"/>
      <c r="AB124" s="2976"/>
      <c r="AC124" s="2976"/>
    </row>
    <row r="125" spans="1:29" ht="15" thickTop="1">
      <c r="A125" s="556"/>
      <c r="B125" s="495" t="s">
        <v>2616</v>
      </c>
      <c r="C125" s="511"/>
      <c r="D125" s="511"/>
      <c r="E125" s="540"/>
      <c r="F125" s="540"/>
      <c r="G125" s="540"/>
      <c r="H125" s="540"/>
      <c r="I125" s="540"/>
      <c r="J125" s="540"/>
      <c r="K125" s="541"/>
      <c r="L125" s="542"/>
      <c r="M125" s="543"/>
      <c r="N125" s="2982"/>
      <c r="O125" s="2982"/>
      <c r="P125" s="3007"/>
      <c r="Q125" s="2968"/>
      <c r="R125" s="2954"/>
      <c r="S125" s="2954"/>
      <c r="T125" s="2954"/>
      <c r="U125" s="2954"/>
      <c r="V125" s="2954"/>
      <c r="W125" s="2954"/>
      <c r="X125" s="2954"/>
      <c r="Y125" s="2954"/>
      <c r="Z125" s="2954"/>
      <c r="AA125" s="2954"/>
      <c r="AB125" s="2954"/>
      <c r="AC125" s="295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3"/>
      <c r="O126" s="2983"/>
      <c r="P126" s="3007"/>
      <c r="Q126" s="2968"/>
      <c r="R126" s="2954"/>
      <c r="S126" s="2954"/>
      <c r="T126" s="2954"/>
      <c r="U126" s="2954"/>
      <c r="V126" s="2954"/>
      <c r="W126" s="2954"/>
      <c r="X126" s="2954"/>
      <c r="Y126" s="2954"/>
      <c r="Z126" s="2954"/>
      <c r="AA126" s="2954"/>
      <c r="AB126" s="2954"/>
      <c r="AC126" s="2954"/>
    </row>
    <row r="127" spans="1:29" ht="15" thickTop="1">
      <c r="A127" s="556"/>
      <c r="B127" s="495">
        <f>B43</f>
        <v>111</v>
      </c>
      <c r="C127" s="511"/>
      <c r="D127" s="511"/>
      <c r="E127" s="511"/>
      <c r="F127" s="511"/>
      <c r="G127" s="511"/>
      <c r="H127" s="540"/>
      <c r="I127" s="540"/>
      <c r="J127" s="540"/>
      <c r="K127" s="541"/>
      <c r="L127" s="542"/>
      <c r="M127" s="543"/>
      <c r="N127" s="2982"/>
      <c r="O127" s="2982"/>
      <c r="P127" s="3007"/>
      <c r="Q127" s="2968"/>
      <c r="R127" s="2954"/>
      <c r="S127" s="2954"/>
      <c r="T127" s="2954"/>
      <c r="U127" s="2954"/>
      <c r="V127" s="2954"/>
      <c r="W127" s="2954"/>
      <c r="X127" s="2954"/>
      <c r="Y127" s="2954"/>
      <c r="Z127" s="2954"/>
      <c r="AA127" s="2954"/>
      <c r="AB127" s="2954"/>
      <c r="AC127" s="2954"/>
    </row>
    <row r="128" spans="1:29" ht="15.75" thickBot="1">
      <c r="A128" s="491"/>
      <c r="B128" s="500"/>
      <c r="C128" s="517"/>
      <c r="D128" s="517"/>
      <c r="E128" s="517"/>
      <c r="F128" s="517"/>
      <c r="G128" s="493"/>
      <c r="H128" s="493"/>
      <c r="I128" s="493"/>
      <c r="J128" s="493"/>
      <c r="K128" s="493"/>
      <c r="L128" s="493"/>
      <c r="M128" s="494"/>
      <c r="N128" s="2983"/>
      <c r="O128" s="2983"/>
      <c r="P128" s="3007"/>
      <c r="Q128" s="2968"/>
      <c r="R128" s="2954"/>
      <c r="S128" s="2954"/>
      <c r="T128" s="2954"/>
      <c r="U128" s="2954"/>
      <c r="V128" s="2954"/>
      <c r="W128" s="2954"/>
      <c r="X128" s="2954"/>
      <c r="Y128" s="2954"/>
      <c r="Z128" s="2954"/>
      <c r="AA128" s="2954"/>
      <c r="AB128" s="2954"/>
      <c r="AC128" s="2954"/>
    </row>
    <row r="129" spans="1:29" ht="15" thickTop="1">
      <c r="A129" s="556"/>
      <c r="B129" s="495">
        <f>B44</f>
        <v>111</v>
      </c>
      <c r="C129" s="480"/>
      <c r="D129" s="480"/>
      <c r="E129" s="480"/>
      <c r="F129" s="480"/>
      <c r="G129" s="540"/>
      <c r="H129" s="540"/>
      <c r="I129" s="540"/>
      <c r="J129" s="540"/>
      <c r="K129" s="541"/>
      <c r="L129" s="542"/>
      <c r="M129" s="543"/>
      <c r="N129" s="2982"/>
      <c r="O129" s="2982"/>
      <c r="P129" s="3007"/>
      <c r="Q129" s="2968"/>
      <c r="R129" s="2954"/>
      <c r="S129" s="2954"/>
      <c r="T129" s="2954"/>
      <c r="U129" s="2954"/>
      <c r="V129" s="2954"/>
      <c r="W129" s="2954"/>
      <c r="X129" s="2954"/>
      <c r="Y129" s="2954"/>
      <c r="Z129" s="2954"/>
      <c r="AA129" s="2954"/>
      <c r="AB129" s="2954"/>
      <c r="AC129" s="2954"/>
    </row>
    <row r="130" spans="1:29" ht="15.75" thickBot="1">
      <c r="A130" s="491"/>
      <c r="B130" s="500"/>
      <c r="C130" s="527"/>
      <c r="D130" s="527"/>
      <c r="E130" s="527"/>
      <c r="F130" s="527"/>
      <c r="G130" s="493"/>
      <c r="H130" s="493"/>
      <c r="I130" s="493"/>
      <c r="J130" s="493"/>
      <c r="K130" s="493"/>
      <c r="L130" s="493"/>
      <c r="M130" s="494"/>
      <c r="N130" s="2983"/>
      <c r="O130" s="2983"/>
      <c r="P130" s="3007"/>
      <c r="Q130" s="2968"/>
      <c r="R130" s="2954"/>
      <c r="S130" s="2954"/>
      <c r="T130" s="2954"/>
      <c r="U130" s="2954"/>
      <c r="V130" s="2954"/>
      <c r="W130" s="2954"/>
      <c r="X130" s="2954"/>
      <c r="Y130" s="2954"/>
      <c r="Z130" s="2954"/>
      <c r="AA130" s="2954"/>
      <c r="AB130" s="2954"/>
      <c r="AC130" s="2954"/>
    </row>
    <row r="131" spans="1:29" s="430" customFormat="1" ht="15" thickTop="1">
      <c r="A131" s="550"/>
      <c r="B131" s="495">
        <f>B45</f>
        <v>111</v>
      </c>
      <c r="C131" s="480"/>
      <c r="D131" s="480"/>
      <c r="E131" s="480"/>
      <c r="F131" s="480"/>
      <c r="G131" s="512"/>
      <c r="H131" s="512"/>
      <c r="I131" s="512"/>
      <c r="J131" s="512"/>
      <c r="K131" s="512"/>
      <c r="L131" s="513"/>
      <c r="M131" s="514"/>
      <c r="N131" s="2984"/>
      <c r="O131" s="2984"/>
      <c r="P131" s="3008"/>
      <c r="Q131" s="2975"/>
      <c r="R131" s="2976"/>
      <c r="S131" s="2976"/>
      <c r="T131" s="2976"/>
      <c r="U131" s="2976"/>
      <c r="V131" s="2976"/>
      <c r="W131" s="2976"/>
      <c r="X131" s="2976"/>
      <c r="Y131" s="2976"/>
      <c r="Z131" s="2976"/>
      <c r="AA131" s="2976"/>
      <c r="AB131" s="2976"/>
      <c r="AC131" s="2976"/>
    </row>
    <row r="132" spans="1:29" s="430" customFormat="1" ht="15.75" thickBot="1">
      <c r="A132" s="525"/>
      <c r="B132" s="656"/>
      <c r="C132" s="527"/>
      <c r="D132" s="527"/>
      <c r="E132" s="527"/>
      <c r="F132" s="527"/>
      <c r="G132" s="548"/>
      <c r="H132" s="548"/>
      <c r="I132" s="548"/>
      <c r="J132" s="548"/>
      <c r="K132" s="548"/>
      <c r="L132" s="548"/>
      <c r="M132" s="549"/>
      <c r="N132" s="2984"/>
      <c r="O132" s="2984"/>
      <c r="P132" s="3008"/>
      <c r="Q132" s="2975"/>
      <c r="R132" s="2976"/>
      <c r="S132" s="2976"/>
      <c r="T132" s="2976"/>
      <c r="U132" s="2976"/>
      <c r="V132" s="2976"/>
      <c r="W132" s="2976"/>
      <c r="X132" s="2976"/>
      <c r="Y132" s="2976"/>
      <c r="Z132" s="2976"/>
      <c r="AA132" s="2976"/>
      <c r="AB132" s="2976"/>
      <c r="AC132" s="2976"/>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59" priority="18" stopIfTrue="1" operator="containsText" text="超过">
      <formula>NOT(ISERROR(SEARCH("超过",F51)))</formula>
    </cfRule>
  </conditionalFormatting>
  <conditionalFormatting sqref="J53">
    <cfRule type="containsText" dxfId="58" priority="17" stopIfTrue="1" operator="containsText" text="超过">
      <formula>NOT(ISERROR(SEARCH("超过",J53)))</formula>
    </cfRule>
  </conditionalFormatting>
  <conditionalFormatting sqref="H53">
    <cfRule type="containsText" dxfId="57" priority="16" stopIfTrue="1" operator="containsText" text="超过">
      <formula>NOT(ISERROR(SEARCH("超过",H53)))</formula>
    </cfRule>
  </conditionalFormatting>
  <conditionalFormatting sqref="F53">
    <cfRule type="containsText" dxfId="56" priority="15" stopIfTrue="1" operator="containsText" text="超过">
      <formula>NOT(ISERROR(SEARCH("超过",F53)))</formula>
    </cfRule>
  </conditionalFormatting>
  <conditionalFormatting sqref="F52 H52 J52">
    <cfRule type="containsText" dxfId="55" priority="14" stopIfTrue="1" operator="containsText" text="超过">
      <formula>NOT(ISERROR(SEARCH("超过",F52)))</formula>
    </cfRule>
  </conditionalFormatting>
  <conditionalFormatting sqref="E51">
    <cfRule type="expression" dxfId="54" priority="13" stopIfTrue="1">
      <formula>$F$51="超过30%"</formula>
    </cfRule>
  </conditionalFormatting>
  <conditionalFormatting sqref="G53">
    <cfRule type="expression" dxfId="53" priority="12" stopIfTrue="1">
      <formula>$H$53="超过30%"</formula>
    </cfRule>
  </conditionalFormatting>
  <conditionalFormatting sqref="E52">
    <cfRule type="expression" dxfId="52" priority="11" stopIfTrue="1">
      <formula>$F$52="超过20%"</formula>
    </cfRule>
  </conditionalFormatting>
  <conditionalFormatting sqref="E53">
    <cfRule type="expression" dxfId="51" priority="10" stopIfTrue="1">
      <formula>$F$53="超过30%"</formula>
    </cfRule>
  </conditionalFormatting>
  <conditionalFormatting sqref="G51">
    <cfRule type="expression" dxfId="50" priority="9" stopIfTrue="1">
      <formula>$H$53+$H$51="超过30%"</formula>
    </cfRule>
  </conditionalFormatting>
  <conditionalFormatting sqref="G52">
    <cfRule type="expression" dxfId="49" priority="8" stopIfTrue="1">
      <formula>$H$52="超过20%"</formula>
    </cfRule>
  </conditionalFormatting>
  <conditionalFormatting sqref="I51">
    <cfRule type="expression" dxfId="48" priority="7" stopIfTrue="1">
      <formula>$J$51="超过30%"</formula>
    </cfRule>
  </conditionalFormatting>
  <conditionalFormatting sqref="I52">
    <cfRule type="expression" dxfId="47" priority="6" stopIfTrue="1">
      <formula>$J$52="超过20%"</formula>
    </cfRule>
  </conditionalFormatting>
  <conditionalFormatting sqref="I53">
    <cfRule type="expression" dxfId="46" priority="5" stopIfTrue="1">
      <formula>$J$53="超过30%"</formula>
    </cfRule>
  </conditionalFormatting>
  <conditionalFormatting sqref="F47">
    <cfRule type="expression" dxfId="45" priority="4">
      <formula>$D$47="简单平均"</formula>
    </cfRule>
  </conditionalFormatting>
  <conditionalFormatting sqref="H47">
    <cfRule type="expression" dxfId="44" priority="3">
      <formula>$D$47="简单平均"</formula>
    </cfRule>
  </conditionalFormatting>
  <conditionalFormatting sqref="J47">
    <cfRule type="expression" dxfId="43" priority="2">
      <formula>$D$47="简单平均"</formula>
    </cfRule>
  </conditionalFormatting>
  <conditionalFormatting sqref="F7:F45 H7:H45 J7:J45">
    <cfRule type="cellIs" dxfId="42" priority="1" operator="notEqual">
      <formula>100</formula>
    </cfRule>
  </conditionalFormatting>
  <dataValidations count="25">
    <dataValidation type="list" allowBlank="1" showInputMessage="1" showErrorMessage="1" sqref="C25" xr:uid="{00000000-0002-0000-2000-000000000000}">
      <formula1>住宅朝向</formula1>
    </dataValidation>
    <dataValidation type="list" allowBlank="1" showInputMessage="1" showErrorMessage="1" sqref="E28 C28 G28 I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C26 E26 G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G62" xr:uid="{00000000-0002-0000-2000-000013000000}">
      <formula1>"商业,办公,住宅,工业"</formula1>
    </dataValidation>
    <dataValidation type="list" allowBlank="1" showInputMessage="1" showErrorMessage="1" sqref="G63" xr:uid="{00000000-0002-0000-2000-000014000000}">
      <formula1>"住宅,工业"</formula1>
    </dataValidation>
    <dataValidation type="list" allowBlank="1" showInputMessage="1" showErrorMessage="1" sqref="D57:D65" xr:uid="{00000000-0002-0000-2000-000015000000}">
      <formula1>"25%,1"</formula1>
    </dataValidation>
    <dataValidation type="list" allowBlank="1" showInputMessage="1" showErrorMessage="1" sqref="C30 E30 G30 I30" xr:uid="{00000000-0002-0000-2000-000016000000}">
      <formula1>基础设施水平</formula1>
    </dataValidation>
    <dataValidation type="list" allowBlank="1" showInputMessage="1" showErrorMessage="1" sqref="A71" xr:uid="{00000000-0002-0000-2000-000017000000}">
      <formula1>"综合,商业,办公,住宅"</formula1>
    </dataValidation>
    <dataValidation type="list" allowBlank="1" showInputMessage="1" showErrorMessage="1" sqref="D47" xr:uid="{00000000-0002-0000-2000-000018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D30" activeCellId="1" sqref="H5 D30"/>
    </sheetView>
  </sheetViews>
  <sheetFormatPr defaultColWidth="9" defaultRowHeight="14.25"/>
  <cols>
    <col min="1" max="1" width="14.375" style="363" customWidth="1"/>
    <col min="2" max="2" width="15.625" style="363" customWidth="1"/>
    <col min="3" max="3" width="14.375" style="363" customWidth="1"/>
    <col min="4" max="4" width="12.125" style="363" customWidth="1"/>
    <col min="5" max="5" width="14.375" style="363" customWidth="1"/>
    <col min="6" max="6" width="12.125" style="363" customWidth="1"/>
    <col min="7" max="7" width="14.5" style="363" customWidth="1"/>
    <col min="8" max="8" width="12.125" style="363" customWidth="1"/>
    <col min="9" max="9" width="14.5" style="363" customWidth="1"/>
    <col min="10" max="10" width="12.125" style="363" customWidth="1"/>
    <col min="11" max="11" width="12.125" style="452" customWidth="1"/>
    <col min="12" max="12" width="12.125" style="453" customWidth="1"/>
    <col min="13" max="15" width="12.125" style="363" customWidth="1"/>
    <col min="16" max="16" width="4.625" style="363" customWidth="1"/>
    <col min="17" max="17" width="19.5" style="363" customWidth="1"/>
    <col min="18" max="22" width="6.125" style="363" customWidth="1"/>
    <col min="23" max="23" width="5.625" style="363" customWidth="1"/>
    <col min="24" max="24" width="4.125" style="363" customWidth="1"/>
    <col min="25" max="25" width="3.5" style="363" customWidth="1"/>
    <col min="26" max="26" width="19.62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9"/>
      <c r="D2" s="1039"/>
      <c r="E2" s="1039"/>
      <c r="F2" s="1040"/>
      <c r="G2" s="1039"/>
      <c r="H2" s="1039"/>
      <c r="I2" s="1039"/>
      <c r="J2" s="1039"/>
      <c r="K2" s="1041"/>
      <c r="L2" s="2963"/>
      <c r="M2" s="2964"/>
      <c r="N2" s="2964"/>
      <c r="O2" s="2964"/>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5"/>
      <c r="E3" s="1039"/>
      <c r="F3" s="1040"/>
      <c r="G3" s="1039"/>
      <c r="H3" s="1039"/>
      <c r="I3" s="1039"/>
      <c r="J3" s="1039"/>
      <c r="K3" s="1041"/>
      <c r="L3" s="2963"/>
      <c r="M3" s="2964"/>
      <c r="N3" s="2964"/>
      <c r="O3" s="2964"/>
      <c r="P3" s="708"/>
      <c r="Q3" s="708"/>
      <c r="R3" s="708"/>
      <c r="S3" s="708"/>
      <c r="T3" s="708"/>
      <c r="U3" s="708"/>
      <c r="V3" s="708"/>
      <c r="W3" s="708"/>
      <c r="X3" s="708"/>
      <c r="Y3" s="708"/>
      <c r="Z3" s="708"/>
      <c r="AA3" s="708"/>
      <c r="AB3" s="725"/>
      <c r="AC3" s="722"/>
    </row>
    <row r="4" spans="1:29" ht="15">
      <c r="A4" s="361" t="s">
        <v>2466</v>
      </c>
      <c r="B4" s="362"/>
      <c r="C4" s="3925" t="s">
        <v>2467</v>
      </c>
      <c r="D4" s="3926"/>
      <c r="E4" s="3927" t="s">
        <v>2468</v>
      </c>
      <c r="F4" s="3928"/>
      <c r="G4" s="3925" t="s">
        <v>2469</v>
      </c>
      <c r="H4" s="3926"/>
      <c r="I4" s="3925" t="s">
        <v>2470</v>
      </c>
      <c r="J4" s="3926"/>
      <c r="K4" s="567" t="s">
        <v>2471</v>
      </c>
      <c r="L4" s="2944"/>
      <c r="M4" s="2945"/>
      <c r="N4" s="2945"/>
      <c r="O4" s="2945"/>
      <c r="P4" s="3929" t="s">
        <v>2472</v>
      </c>
      <c r="Q4" s="3930"/>
      <c r="R4" s="3935" t="s">
        <v>2468</v>
      </c>
      <c r="S4" s="3936"/>
      <c r="T4" s="3935" t="s">
        <v>2469</v>
      </c>
      <c r="U4" s="3936"/>
      <c r="V4" s="3941" t="s">
        <v>2470</v>
      </c>
      <c r="W4" s="3941"/>
      <c r="X4" s="1539"/>
      <c r="Y4" s="3935" t="s">
        <v>2472</v>
      </c>
      <c r="Z4" s="3936"/>
      <c r="AA4" s="3922" t="s">
        <v>2468</v>
      </c>
      <c r="AB4" s="3923" t="s">
        <v>2469</v>
      </c>
      <c r="AC4" s="3922" t="s">
        <v>2470</v>
      </c>
    </row>
    <row r="5" spans="1:29" ht="15">
      <c r="A5" s="364"/>
      <c r="B5" s="365"/>
      <c r="C5" s="3944" t="s">
        <v>2363</v>
      </c>
      <c r="D5" s="3945"/>
      <c r="E5" s="3951" t="s">
        <v>2364</v>
      </c>
      <c r="F5" s="3952"/>
      <c r="G5" s="3944" t="s">
        <v>2365</v>
      </c>
      <c r="H5" s="3945"/>
      <c r="I5" s="3944" t="s">
        <v>2366</v>
      </c>
      <c r="J5" s="3945"/>
      <c r="K5" s="567"/>
      <c r="L5" s="2944"/>
      <c r="M5" s="2945"/>
      <c r="N5" s="2945"/>
      <c r="O5" s="2945"/>
      <c r="P5" s="3931"/>
      <c r="Q5" s="3932"/>
      <c r="R5" s="3937"/>
      <c r="S5" s="3938"/>
      <c r="T5" s="3937"/>
      <c r="U5" s="3938"/>
      <c r="V5" s="3941"/>
      <c r="W5" s="3941"/>
      <c r="X5" s="1539"/>
      <c r="Y5" s="3937"/>
      <c r="Z5" s="3938"/>
      <c r="AA5" s="3923"/>
      <c r="AB5" s="3923"/>
      <c r="AC5" s="3923"/>
    </row>
    <row r="6" spans="1:29" ht="15.75" thickBot="1">
      <c r="A6" s="366"/>
      <c r="B6" s="367"/>
      <c r="C6" s="3974" t="s">
        <v>2618</v>
      </c>
      <c r="D6" s="3975"/>
      <c r="E6" s="3976" t="s">
        <v>2618</v>
      </c>
      <c r="F6" s="3977"/>
      <c r="G6" s="3974" t="s">
        <v>2618</v>
      </c>
      <c r="H6" s="3975"/>
      <c r="I6" s="3974" t="s">
        <v>2618</v>
      </c>
      <c r="J6" s="3975"/>
      <c r="K6" s="567" t="s">
        <v>2368</v>
      </c>
      <c r="L6" s="2944"/>
      <c r="M6" s="2945"/>
      <c r="N6" s="2945"/>
      <c r="O6" s="2945"/>
      <c r="P6" s="3933"/>
      <c r="Q6" s="3934"/>
      <c r="R6" s="3937"/>
      <c r="S6" s="3938"/>
      <c r="T6" s="3939"/>
      <c r="U6" s="3940"/>
      <c r="V6" s="3941"/>
      <c r="W6" s="3941"/>
      <c r="X6" s="1539"/>
      <c r="Y6" s="3939"/>
      <c r="Z6" s="3940"/>
      <c r="AA6" s="3924"/>
      <c r="AB6" s="3924"/>
      <c r="AC6" s="3924"/>
    </row>
    <row r="7" spans="1:29" s="113" customFormat="1" ht="15.75" thickBot="1">
      <c r="A7" s="368" t="s">
        <v>2369</v>
      </c>
      <c r="B7" s="369"/>
      <c r="C7" s="370">
        <f>'数据-取费表'!B2</f>
        <v>44357</v>
      </c>
      <c r="D7" s="371">
        <v>100</v>
      </c>
      <c r="E7" s="372"/>
      <c r="F7" s="373">
        <f>SUMIF(65:65,YEAR(E7)&amp;"-"&amp;INT((MONTH(E7)+2)/3),66:66)</f>
        <v>0</v>
      </c>
      <c r="G7" s="2160"/>
      <c r="H7" s="371">
        <f>SUMIF(65:65,YEAR(G7)&amp;"-"&amp;INT((MONTH(G7)+2)/3),66:66)</f>
        <v>0</v>
      </c>
      <c r="I7" s="2160"/>
      <c r="J7" s="371">
        <f>SUMIF(65:65,YEAR(I7)&amp;"-"&amp;INT((MONTH(I7)+2)/3),66:66)</f>
        <v>0</v>
      </c>
      <c r="K7" s="568"/>
      <c r="L7" s="2946"/>
      <c r="M7" s="2947"/>
      <c r="N7" s="2947"/>
      <c r="O7" s="2947"/>
      <c r="P7" s="3946" t="s">
        <v>2370</v>
      </c>
      <c r="Q7" s="3948"/>
      <c r="R7" s="710" t="s">
        <v>17</v>
      </c>
      <c r="S7" s="711">
        <f t="shared" ref="S7:S15" si="0">F7</f>
        <v>0</v>
      </c>
      <c r="T7" s="710" t="s">
        <v>17</v>
      </c>
      <c r="U7" s="711">
        <f t="shared" ref="U7:U15" si="1">H7</f>
        <v>0</v>
      </c>
      <c r="V7" s="710" t="s">
        <v>17</v>
      </c>
      <c r="W7" s="711">
        <f t="shared" ref="W7:W15" si="2">J7</f>
        <v>0</v>
      </c>
      <c r="X7" s="712"/>
      <c r="Y7" s="3946" t="s">
        <v>2370</v>
      </c>
      <c r="Z7" s="3947"/>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6"/>
      <c r="M8" s="2947"/>
      <c r="N8" s="2947"/>
      <c r="O8" s="2947"/>
      <c r="P8" s="3946" t="s">
        <v>2373</v>
      </c>
      <c r="Q8" s="3947"/>
      <c r="R8" s="710" t="s">
        <v>17</v>
      </c>
      <c r="S8" s="711">
        <f t="shared" si="0"/>
        <v>0</v>
      </c>
      <c r="T8" s="710" t="s">
        <v>17</v>
      </c>
      <c r="U8" s="711">
        <f t="shared" si="1"/>
        <v>0</v>
      </c>
      <c r="V8" s="710" t="s">
        <v>17</v>
      </c>
      <c r="W8" s="711">
        <f t="shared" si="2"/>
        <v>0</v>
      </c>
      <c r="X8" s="712"/>
      <c r="Y8" s="3946" t="s">
        <v>2373</v>
      </c>
      <c r="Z8" s="3947"/>
      <c r="AA8" s="713" t="e">
        <f t="shared" ref="AA8:AA40" si="3">D8/F8</f>
        <v>#DIV/0!</v>
      </c>
      <c r="AB8" s="713" t="e">
        <f t="shared" ref="AB8:AB40" si="4">D8/H8</f>
        <v>#DIV/0!</v>
      </c>
      <c r="AC8" s="713" t="e">
        <f t="shared" ref="AC8:AC40" si="5">D8/J8</f>
        <v>#DIV/0!</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6"/>
      <c r="M9" s="2947"/>
      <c r="N9" s="2947"/>
      <c r="O9" s="3001"/>
      <c r="P9" s="3910" t="s">
        <v>2376</v>
      </c>
      <c r="Q9" s="1527" t="str">
        <f t="shared" ref="Q9:Q15" si="6">B9</f>
        <v>用途</v>
      </c>
      <c r="R9" s="710" t="s">
        <v>17</v>
      </c>
      <c r="S9" s="711">
        <f t="shared" si="0"/>
        <v>100</v>
      </c>
      <c r="T9" s="710" t="s">
        <v>17</v>
      </c>
      <c r="U9" s="711">
        <f t="shared" si="1"/>
        <v>100</v>
      </c>
      <c r="V9" s="710" t="s">
        <v>17</v>
      </c>
      <c r="W9" s="711">
        <f t="shared" si="2"/>
        <v>100</v>
      </c>
      <c r="X9" s="712"/>
      <c r="Y9" s="3780"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100</v>
      </c>
      <c r="G10" s="391"/>
      <c r="H10" s="132">
        <f>ROUND(100/'数据-取费表'!G16,0)</f>
        <v>100</v>
      </c>
      <c r="I10" s="391"/>
      <c r="J10" s="132">
        <f>ROUND(100/'数据-取费表'!G16,0)</f>
        <v>100</v>
      </c>
      <c r="K10" s="628"/>
      <c r="L10" s="2948"/>
      <c r="M10" s="2949"/>
      <c r="N10" s="2949"/>
      <c r="O10" s="3002"/>
      <c r="P10" s="3910"/>
      <c r="Q10" s="1527" t="str">
        <f t="shared" si="6"/>
        <v>土地使用年限（年）</v>
      </c>
      <c r="R10" s="710" t="s">
        <v>17</v>
      </c>
      <c r="S10" s="711">
        <f t="shared" si="0"/>
        <v>100</v>
      </c>
      <c r="T10" s="710" t="s">
        <v>17</v>
      </c>
      <c r="U10" s="711">
        <f t="shared" si="1"/>
        <v>100</v>
      </c>
      <c r="V10" s="710" t="s">
        <v>17</v>
      </c>
      <c r="W10" s="711">
        <f t="shared" si="2"/>
        <v>100</v>
      </c>
      <c r="X10" s="712"/>
      <c r="Y10" s="3780"/>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0"/>
      <c r="M11" s="2945"/>
      <c r="N11" s="2945"/>
      <c r="O11" s="3003"/>
      <c r="P11" s="3910"/>
      <c r="Q11" s="1527" t="str">
        <f t="shared" si="6"/>
        <v>容积率</v>
      </c>
      <c r="R11" s="710" t="s">
        <v>17</v>
      </c>
      <c r="S11" s="711" t="e">
        <f t="shared" si="0"/>
        <v>#N/A</v>
      </c>
      <c r="T11" s="710" t="s">
        <v>17</v>
      </c>
      <c r="U11" s="711" t="e">
        <f t="shared" si="1"/>
        <v>#N/A</v>
      </c>
      <c r="V11" s="710" t="s">
        <v>17</v>
      </c>
      <c r="W11" s="711" t="e">
        <f t="shared" si="2"/>
        <v>#N/A</v>
      </c>
      <c r="X11" s="712"/>
      <c r="Y11" s="3780"/>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6"/>
      <c r="M12" s="2947"/>
      <c r="N12" s="2947"/>
      <c r="O12" s="3001"/>
      <c r="P12" s="3910"/>
      <c r="Q12" s="1527">
        <f t="shared" si="6"/>
        <v>111</v>
      </c>
      <c r="R12" s="710" t="s">
        <v>17</v>
      </c>
      <c r="S12" s="711">
        <f t="shared" si="0"/>
        <v>100</v>
      </c>
      <c r="T12" s="710" t="s">
        <v>17</v>
      </c>
      <c r="U12" s="711">
        <f t="shared" si="1"/>
        <v>100</v>
      </c>
      <c r="V12" s="710" t="s">
        <v>17</v>
      </c>
      <c r="W12" s="711">
        <f t="shared" si="2"/>
        <v>100</v>
      </c>
      <c r="X12" s="712"/>
      <c r="Y12" s="3780"/>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51"/>
      <c r="M13" s="2945"/>
      <c r="N13" s="2945"/>
      <c r="O13" s="3003"/>
      <c r="P13" s="3910"/>
      <c r="Q13" s="1527">
        <f t="shared" si="6"/>
        <v>111</v>
      </c>
      <c r="R13" s="710" t="s">
        <v>17</v>
      </c>
      <c r="S13" s="711">
        <f t="shared" si="0"/>
        <v>100</v>
      </c>
      <c r="T13" s="710" t="s">
        <v>17</v>
      </c>
      <c r="U13" s="711">
        <f t="shared" si="1"/>
        <v>100</v>
      </c>
      <c r="V13" s="710" t="s">
        <v>17</v>
      </c>
      <c r="W13" s="711">
        <f t="shared" si="2"/>
        <v>100</v>
      </c>
      <c r="X13" s="712"/>
      <c r="Y13" s="3780"/>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51"/>
      <c r="M14" s="2945"/>
      <c r="N14" s="2945"/>
      <c r="O14" s="3003"/>
      <c r="P14" s="3910"/>
      <c r="Q14" s="1527">
        <f t="shared" si="6"/>
        <v>111</v>
      </c>
      <c r="R14" s="710" t="s">
        <v>17</v>
      </c>
      <c r="S14" s="711">
        <f t="shared" si="0"/>
        <v>100</v>
      </c>
      <c r="T14" s="710" t="s">
        <v>17</v>
      </c>
      <c r="U14" s="711">
        <f t="shared" si="1"/>
        <v>100</v>
      </c>
      <c r="V14" s="710" t="s">
        <v>17</v>
      </c>
      <c r="W14" s="711">
        <f t="shared" si="2"/>
        <v>100</v>
      </c>
      <c r="X14" s="712"/>
      <c r="Y14" s="3780"/>
      <c r="Z14" s="55">
        <f t="shared" si="7"/>
        <v>111</v>
      </c>
      <c r="AA14" s="713">
        <f t="shared" si="3"/>
        <v>1</v>
      </c>
      <c r="AB14" s="713">
        <f t="shared" si="4"/>
        <v>1</v>
      </c>
      <c r="AC14" s="713">
        <f t="shared" si="5"/>
        <v>1</v>
      </c>
    </row>
    <row r="15" spans="1:29" ht="57">
      <c r="A15" s="399" t="s">
        <v>2380</v>
      </c>
      <c r="B15" s="585" t="s">
        <v>2619</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1"/>
      <c r="M15" s="2945"/>
      <c r="N15" s="2945"/>
      <c r="O15" s="3003"/>
      <c r="P15" s="3912" t="s">
        <v>2381</v>
      </c>
      <c r="Q15" s="1536" t="str">
        <f t="shared" si="6"/>
        <v>产业集聚程度</v>
      </c>
      <c r="R15" s="714" t="s">
        <v>17</v>
      </c>
      <c r="S15" s="715">
        <f t="shared" si="0"/>
        <v>100</v>
      </c>
      <c r="T15" s="714" t="s">
        <v>17</v>
      </c>
      <c r="U15" s="715">
        <f t="shared" si="1"/>
        <v>100</v>
      </c>
      <c r="V15" s="714" t="s">
        <v>17</v>
      </c>
      <c r="W15" s="715">
        <f t="shared" si="2"/>
        <v>100</v>
      </c>
      <c r="X15" s="1539"/>
      <c r="Y15" s="3912"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51"/>
      <c r="M16" s="2945"/>
      <c r="N16" s="2945"/>
      <c r="O16" s="3003"/>
      <c r="P16" s="3913"/>
      <c r="Q16" s="1536"/>
      <c r="R16" s="714"/>
      <c r="S16" s="715"/>
      <c r="T16" s="714"/>
      <c r="U16" s="715"/>
      <c r="V16" s="714"/>
      <c r="W16" s="715"/>
      <c r="X16" s="1539"/>
      <c r="Y16" s="3913"/>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1"/>
      <c r="M17" s="2945"/>
      <c r="N17" s="2945"/>
      <c r="O17" s="3003"/>
      <c r="P17" s="3913"/>
      <c r="Q17" s="1536" t="str">
        <f>B17</f>
        <v>交通便捷度</v>
      </c>
      <c r="R17" s="714" t="s">
        <v>17</v>
      </c>
      <c r="S17" s="715">
        <f>F17</f>
        <v>100</v>
      </c>
      <c r="T17" s="714" t="s">
        <v>17</v>
      </c>
      <c r="U17" s="715">
        <f>H17</f>
        <v>100</v>
      </c>
      <c r="V17" s="714" t="s">
        <v>17</v>
      </c>
      <c r="W17" s="715">
        <f>J17</f>
        <v>100</v>
      </c>
      <c r="X17" s="1539"/>
      <c r="Y17" s="3913"/>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51"/>
      <c r="M18" s="2945"/>
      <c r="N18" s="2945"/>
      <c r="O18" s="3003"/>
      <c r="P18" s="3913"/>
      <c r="Q18" s="1536"/>
      <c r="R18" s="714"/>
      <c r="S18" s="715"/>
      <c r="T18" s="714"/>
      <c r="U18" s="715"/>
      <c r="V18" s="714"/>
      <c r="W18" s="715"/>
      <c r="X18" s="1539"/>
      <c r="Y18" s="3913"/>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1"/>
      <c r="M19" s="2945"/>
      <c r="N19" s="2945"/>
      <c r="O19" s="3003"/>
      <c r="P19" s="3913"/>
      <c r="Q19" s="1536" t="str">
        <f t="shared" ref="Q19:Q33" si="8">B19</f>
        <v>区域土地利用方向</v>
      </c>
      <c r="R19" s="714" t="s">
        <v>17</v>
      </c>
      <c r="S19" s="715">
        <f>F19</f>
        <v>100</v>
      </c>
      <c r="T19" s="714" t="s">
        <v>17</v>
      </c>
      <c r="U19" s="715">
        <f>H19</f>
        <v>100</v>
      </c>
      <c r="V19" s="714" t="s">
        <v>17</v>
      </c>
      <c r="W19" s="715">
        <f>J19</f>
        <v>100</v>
      </c>
      <c r="X19" s="1539"/>
      <c r="Y19" s="3913"/>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51"/>
      <c r="L20" s="2951"/>
      <c r="M20" s="2945"/>
      <c r="N20" s="2945"/>
      <c r="O20" s="3003"/>
      <c r="P20" s="3913"/>
      <c r="Q20" s="1536"/>
      <c r="R20" s="714"/>
      <c r="S20" s="715"/>
      <c r="T20" s="714"/>
      <c r="U20" s="715"/>
      <c r="V20" s="714"/>
      <c r="W20" s="715"/>
      <c r="X20" s="1539"/>
      <c r="Y20" s="3913"/>
      <c r="Z20" s="1540"/>
      <c r="AA20" s="1537"/>
      <c r="AB20" s="1537"/>
      <c r="AC20" s="1537"/>
    </row>
    <row r="21" spans="1:29" ht="71.25">
      <c r="A21" s="364"/>
      <c r="B21" s="587" t="s">
        <v>2620</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1"/>
      <c r="M21" s="2945"/>
      <c r="N21" s="2945"/>
      <c r="O21" s="3003"/>
      <c r="P21" s="3913"/>
      <c r="Q21" s="1536" t="str">
        <f t="shared" si="8"/>
        <v>环境状况</v>
      </c>
      <c r="R21" s="714" t="s">
        <v>17</v>
      </c>
      <c r="S21" s="715">
        <f>F21</f>
        <v>100</v>
      </c>
      <c r="T21" s="714" t="s">
        <v>17</v>
      </c>
      <c r="U21" s="715">
        <f>H21</f>
        <v>100</v>
      </c>
      <c r="V21" s="714" t="s">
        <v>17</v>
      </c>
      <c r="W21" s="715">
        <f>J21</f>
        <v>100</v>
      </c>
      <c r="X21" s="1539"/>
      <c r="Y21" s="3913"/>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51"/>
      <c r="M22" s="2945"/>
      <c r="N22" s="2945"/>
      <c r="O22" s="3003"/>
      <c r="P22" s="3913"/>
      <c r="Q22" s="1536"/>
      <c r="R22" s="714"/>
      <c r="S22" s="715"/>
      <c r="T22" s="714"/>
      <c r="U22" s="715"/>
      <c r="V22" s="714"/>
      <c r="W22" s="715"/>
      <c r="X22" s="1539"/>
      <c r="Y22" s="3913"/>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6"/>
      <c r="M23" s="2947"/>
      <c r="N23" s="2947"/>
      <c r="O23" s="3001"/>
      <c r="P23" s="3913"/>
      <c r="Q23" s="1527" t="str">
        <f t="shared" si="8"/>
        <v>公共配套设施</v>
      </c>
      <c r="R23" s="710" t="s">
        <v>17</v>
      </c>
      <c r="S23" s="711">
        <f>F23</f>
        <v>100</v>
      </c>
      <c r="T23" s="710" t="s">
        <v>17</v>
      </c>
      <c r="U23" s="711">
        <f>H23</f>
        <v>100</v>
      </c>
      <c r="V23" s="710" t="s">
        <v>17</v>
      </c>
      <c r="W23" s="711">
        <f>J23</f>
        <v>100</v>
      </c>
      <c r="X23" s="712"/>
      <c r="Y23" s="3913"/>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6"/>
      <c r="M24" s="2947"/>
      <c r="N24" s="2947"/>
      <c r="O24" s="3001"/>
      <c r="P24" s="3913"/>
      <c r="Q24" s="1527"/>
      <c r="R24" s="710"/>
      <c r="S24" s="711"/>
      <c r="T24" s="710"/>
      <c r="U24" s="711"/>
      <c r="V24" s="710"/>
      <c r="W24" s="711"/>
      <c r="X24" s="712"/>
      <c r="Y24" s="3913"/>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6"/>
      <c r="M25" s="2947"/>
      <c r="N25" s="2947"/>
      <c r="O25" s="3001"/>
      <c r="P25" s="3913"/>
      <c r="Q25" s="1527" t="str">
        <f t="shared" ref="Q25" si="9">B25</f>
        <v>基础设施水平</v>
      </c>
      <c r="R25" s="710" t="s">
        <v>17</v>
      </c>
      <c r="S25" s="711">
        <f>F25</f>
        <v>100</v>
      </c>
      <c r="T25" s="710" t="s">
        <v>17</v>
      </c>
      <c r="U25" s="711">
        <f>H25</f>
        <v>100</v>
      </c>
      <c r="V25" s="710" t="s">
        <v>17</v>
      </c>
      <c r="W25" s="711">
        <f>J25</f>
        <v>100</v>
      </c>
      <c r="X25" s="712"/>
      <c r="Y25" s="3913"/>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6"/>
      <c r="M26" s="2947"/>
      <c r="N26" s="2947"/>
      <c r="O26" s="3001"/>
      <c r="P26" s="3913"/>
      <c r="Q26" s="1527"/>
      <c r="R26" s="710"/>
      <c r="S26" s="711"/>
      <c r="T26" s="710"/>
      <c r="U26" s="711"/>
      <c r="V26" s="710"/>
      <c r="W26" s="711"/>
      <c r="X26" s="712"/>
      <c r="Y26" s="3913"/>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51"/>
      <c r="M27" s="2945"/>
      <c r="N27" s="2945"/>
      <c r="O27" s="3003"/>
      <c r="P27" s="3913"/>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913"/>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1"/>
      <c r="M28" s="2945"/>
      <c r="N28" s="2945"/>
      <c r="O28" s="3003"/>
      <c r="P28" s="3913"/>
      <c r="Q28" s="1536" t="str">
        <f t="shared" si="8"/>
        <v>毗邻道路的类型与等级</v>
      </c>
      <c r="R28" s="714" t="s">
        <v>17</v>
      </c>
      <c r="S28" s="715">
        <f t="shared" si="10"/>
        <v>100</v>
      </c>
      <c r="T28" s="714" t="s">
        <v>17</v>
      </c>
      <c r="U28" s="715">
        <f t="shared" si="11"/>
        <v>100</v>
      </c>
      <c r="V28" s="714" t="s">
        <v>17</v>
      </c>
      <c r="W28" s="715">
        <f t="shared" si="12"/>
        <v>100</v>
      </c>
      <c r="X28" s="1539"/>
      <c r="Y28" s="3913"/>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51"/>
      <c r="M29" s="2945"/>
      <c r="N29" s="2945"/>
      <c r="O29" s="3003"/>
      <c r="P29" s="3913"/>
      <c r="Q29" s="1536"/>
      <c r="R29" s="714"/>
      <c r="S29" s="715"/>
      <c r="T29" s="714"/>
      <c r="U29" s="715"/>
      <c r="V29" s="714"/>
      <c r="W29" s="715"/>
      <c r="X29" s="1539"/>
      <c r="Y29" s="3913"/>
      <c r="Z29" s="1540"/>
      <c r="AA29" s="1537">
        <v>1</v>
      </c>
      <c r="AB29" s="1537">
        <v>1</v>
      </c>
      <c r="AC29" s="1537">
        <v>1</v>
      </c>
    </row>
    <row r="30" spans="1:29" ht="15">
      <c r="A30" s="387"/>
      <c r="B30" s="610" t="s">
        <v>2571</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1"/>
      <c r="M30" s="2945"/>
      <c r="N30" s="2945"/>
      <c r="O30" s="3003"/>
      <c r="P30" s="3913"/>
      <c r="Q30" s="1536" t="str">
        <f t="shared" si="8"/>
        <v>土地级别</v>
      </c>
      <c r="R30" s="714" t="s">
        <v>17</v>
      </c>
      <c r="S30" s="715">
        <f t="shared" si="10"/>
        <v>100</v>
      </c>
      <c r="T30" s="714" t="s">
        <v>17</v>
      </c>
      <c r="U30" s="715">
        <f t="shared" si="11"/>
        <v>100</v>
      </c>
      <c r="V30" s="714" t="s">
        <v>17</v>
      </c>
      <c r="W30" s="715">
        <f t="shared" si="12"/>
        <v>100</v>
      </c>
      <c r="X30" s="1539"/>
      <c r="Y30" s="3913"/>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1"/>
      <c r="M31" s="2945"/>
      <c r="N31" s="2945"/>
      <c r="O31" s="3003"/>
      <c r="P31" s="3913"/>
      <c r="Q31" s="1536">
        <f t="shared" si="8"/>
        <v>111</v>
      </c>
      <c r="R31" s="714" t="s">
        <v>17</v>
      </c>
      <c r="S31" s="715">
        <f t="shared" si="10"/>
        <v>100</v>
      </c>
      <c r="T31" s="714" t="s">
        <v>17</v>
      </c>
      <c r="U31" s="715">
        <f t="shared" si="11"/>
        <v>100</v>
      </c>
      <c r="V31" s="714" t="s">
        <v>17</v>
      </c>
      <c r="W31" s="715">
        <f t="shared" si="12"/>
        <v>100</v>
      </c>
      <c r="X31" s="1539"/>
      <c r="Y31" s="3913"/>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1"/>
      <c r="M32" s="2945"/>
      <c r="N32" s="2945"/>
      <c r="O32" s="3003"/>
      <c r="P32" s="3968" t="s">
        <v>2386</v>
      </c>
      <c r="Q32" s="1536">
        <f t="shared" si="8"/>
        <v>111</v>
      </c>
      <c r="R32" s="714" t="s">
        <v>17</v>
      </c>
      <c r="S32" s="715">
        <f t="shared" si="10"/>
        <v>100</v>
      </c>
      <c r="T32" s="714" t="s">
        <v>17</v>
      </c>
      <c r="U32" s="715">
        <f t="shared" si="11"/>
        <v>100</v>
      </c>
      <c r="V32" s="714" t="s">
        <v>17</v>
      </c>
      <c r="W32" s="715">
        <f t="shared" si="12"/>
        <v>100</v>
      </c>
      <c r="X32" s="1539"/>
      <c r="Y32" s="3917"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0"/>
      <c r="M33" s="2952"/>
      <c r="N33" s="2952"/>
      <c r="O33" s="3004"/>
      <c r="P33" s="3917"/>
      <c r="Q33" s="1536">
        <f t="shared" si="8"/>
        <v>111</v>
      </c>
      <c r="R33" s="717" t="s">
        <v>17</v>
      </c>
      <c r="S33" s="718">
        <f t="shared" si="10"/>
        <v>100</v>
      </c>
      <c r="T33" s="717" t="s">
        <v>17</v>
      </c>
      <c r="U33" s="718">
        <f t="shared" si="11"/>
        <v>100</v>
      </c>
      <c r="V33" s="717" t="s">
        <v>17</v>
      </c>
      <c r="W33" s="718">
        <f t="shared" si="12"/>
        <v>100</v>
      </c>
      <c r="X33" s="719"/>
      <c r="Y33" s="3917"/>
      <c r="Z33" s="720">
        <f t="shared" si="13"/>
        <v>111</v>
      </c>
      <c r="AA33" s="1537">
        <f t="shared" si="3"/>
        <v>1</v>
      </c>
      <c r="AB33" s="1537">
        <f t="shared" si="4"/>
        <v>1</v>
      </c>
      <c r="AC33" s="1537">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1"/>
      <c r="M34" s="2945"/>
      <c r="N34" s="2945"/>
      <c r="O34" s="3003"/>
      <c r="P34" s="3917"/>
      <c r="Q34" s="1536" t="str">
        <f>B34</f>
        <v>宗地面积</v>
      </c>
      <c r="R34" s="714" t="s">
        <v>17</v>
      </c>
      <c r="S34" s="715" t="e">
        <f t="shared" si="10"/>
        <v>#N/A</v>
      </c>
      <c r="T34" s="714" t="s">
        <v>17</v>
      </c>
      <c r="U34" s="715" t="e">
        <f t="shared" si="11"/>
        <v>#N/A</v>
      </c>
      <c r="V34" s="714" t="s">
        <v>17</v>
      </c>
      <c r="W34" s="715" t="e">
        <f t="shared" si="12"/>
        <v>#N/A</v>
      </c>
      <c r="X34" s="1539"/>
      <c r="Y34" s="3917"/>
      <c r="Z34" s="1540" t="str">
        <f t="shared" si="13"/>
        <v>宗地面积</v>
      </c>
      <c r="AA34" s="1537" t="e">
        <f t="shared" si="3"/>
        <v>#N/A</v>
      </c>
      <c r="AB34" s="1537" t="e">
        <f t="shared" si="4"/>
        <v>#N/A</v>
      </c>
      <c r="AC34" s="1537" t="e">
        <f t="shared" si="5"/>
        <v>#N/A</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51"/>
      <c r="M35" s="2945"/>
      <c r="N35" s="2945"/>
      <c r="O35" s="3003"/>
      <c r="P35" s="3917"/>
      <c r="Q35" s="1536" t="str">
        <f t="shared" ref="Q35:Q40" si="14">B35</f>
        <v>宗地形状</v>
      </c>
      <c r="R35" s="714" t="s">
        <v>17</v>
      </c>
      <c r="S35" s="715">
        <f t="shared" si="10"/>
        <v>100</v>
      </c>
      <c r="T35" s="714" t="s">
        <v>17</v>
      </c>
      <c r="U35" s="715">
        <f t="shared" si="11"/>
        <v>100</v>
      </c>
      <c r="V35" s="714" t="s">
        <v>17</v>
      </c>
      <c r="W35" s="715">
        <f t="shared" si="12"/>
        <v>100</v>
      </c>
      <c r="X35" s="1539"/>
      <c r="Y35" s="3917"/>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6"/>
      <c r="M36" s="2947"/>
      <c r="N36" s="2947"/>
      <c r="O36" s="3001"/>
      <c r="P36" s="3917"/>
      <c r="Q36" s="1536" t="str">
        <f t="shared" si="14"/>
        <v>宗地开发程度</v>
      </c>
      <c r="R36" s="710" t="s">
        <v>17</v>
      </c>
      <c r="S36" s="711">
        <f t="shared" si="10"/>
        <v>100</v>
      </c>
      <c r="T36" s="710" t="s">
        <v>17</v>
      </c>
      <c r="U36" s="711">
        <f t="shared" si="11"/>
        <v>100</v>
      </c>
      <c r="V36" s="710" t="s">
        <v>17</v>
      </c>
      <c r="W36" s="711">
        <f t="shared" si="12"/>
        <v>100</v>
      </c>
      <c r="X36" s="712"/>
      <c r="Y36" s="3917"/>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51"/>
      <c r="M37" s="2945"/>
      <c r="N37" s="2945"/>
      <c r="O37" s="3003"/>
      <c r="P37" s="3917" t="s">
        <v>2386</v>
      </c>
      <c r="Q37" s="1536" t="str">
        <f t="shared" si="14"/>
        <v>工程地质条件</v>
      </c>
      <c r="R37" s="714" t="s">
        <v>17</v>
      </c>
      <c r="S37" s="715">
        <f t="shared" si="10"/>
        <v>100</v>
      </c>
      <c r="T37" s="714" t="s">
        <v>17</v>
      </c>
      <c r="U37" s="715">
        <f t="shared" si="11"/>
        <v>100</v>
      </c>
      <c r="V37" s="714" t="s">
        <v>17</v>
      </c>
      <c r="W37" s="715">
        <f t="shared" si="12"/>
        <v>100</v>
      </c>
      <c r="X37" s="1539"/>
      <c r="Y37" s="3917" t="s">
        <v>2386</v>
      </c>
      <c r="Z37" s="1540" t="str">
        <f t="shared" si="13"/>
        <v>工程地质条件</v>
      </c>
      <c r="AA37" s="1537">
        <f t="shared" si="3"/>
        <v>1</v>
      </c>
      <c r="AB37" s="1537">
        <f t="shared" si="4"/>
        <v>1</v>
      </c>
      <c r="AC37" s="1537">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1"/>
      <c r="M38" s="2945"/>
      <c r="N38" s="2945"/>
      <c r="O38" s="3003"/>
      <c r="P38" s="3917"/>
      <c r="Q38" s="1536">
        <f t="shared" si="14"/>
        <v>111</v>
      </c>
      <c r="R38" s="714" t="s">
        <v>17</v>
      </c>
      <c r="S38" s="715">
        <f t="shared" si="10"/>
        <v>100</v>
      </c>
      <c r="T38" s="714" t="s">
        <v>17</v>
      </c>
      <c r="U38" s="715">
        <f t="shared" si="11"/>
        <v>100</v>
      </c>
      <c r="V38" s="714" t="s">
        <v>17</v>
      </c>
      <c r="W38" s="715">
        <f t="shared" si="12"/>
        <v>100</v>
      </c>
      <c r="X38" s="1539"/>
      <c r="Y38" s="3917"/>
      <c r="Z38" s="1540">
        <f t="shared" si="13"/>
        <v>111</v>
      </c>
      <c r="AA38" s="1537">
        <f t="shared" si="3"/>
        <v>1</v>
      </c>
      <c r="AB38" s="1537">
        <f t="shared" si="4"/>
        <v>1</v>
      </c>
      <c r="AC38" s="1537">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1"/>
      <c r="M39" s="2945"/>
      <c r="N39" s="2945"/>
      <c r="O39" s="3003"/>
      <c r="P39" s="3917"/>
      <c r="Q39" s="1536">
        <f t="shared" si="14"/>
        <v>111</v>
      </c>
      <c r="R39" s="714" t="s">
        <v>17</v>
      </c>
      <c r="S39" s="715">
        <f t="shared" si="10"/>
        <v>100</v>
      </c>
      <c r="T39" s="714" t="s">
        <v>17</v>
      </c>
      <c r="U39" s="715">
        <f t="shared" si="11"/>
        <v>100</v>
      </c>
      <c r="V39" s="714" t="s">
        <v>17</v>
      </c>
      <c r="W39" s="715">
        <f t="shared" si="12"/>
        <v>100</v>
      </c>
      <c r="X39" s="1539"/>
      <c r="Y39" s="3917"/>
      <c r="Z39" s="1540">
        <f t="shared" si="13"/>
        <v>111</v>
      </c>
      <c r="AA39" s="1537">
        <f t="shared" si="3"/>
        <v>1</v>
      </c>
      <c r="AB39" s="1537">
        <f t="shared" si="4"/>
        <v>1</v>
      </c>
      <c r="AC39" s="1537">
        <f t="shared" si="5"/>
        <v>1</v>
      </c>
    </row>
    <row r="40" spans="1:31" s="430" customFormat="1" ht="15.75" thickBot="1">
      <c r="A40" s="427"/>
      <c r="B40" s="1296">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50"/>
      <c r="M40" s="2952"/>
      <c r="N40" s="2952"/>
      <c r="O40" s="3004"/>
      <c r="P40" s="3917"/>
      <c r="Q40" s="1536">
        <f t="shared" si="14"/>
        <v>111</v>
      </c>
      <c r="R40" s="717" t="s">
        <v>17</v>
      </c>
      <c r="S40" s="718">
        <f t="shared" si="10"/>
        <v>100</v>
      </c>
      <c r="T40" s="717" t="s">
        <v>17</v>
      </c>
      <c r="U40" s="718">
        <f t="shared" si="11"/>
        <v>100</v>
      </c>
      <c r="V40" s="717" t="s">
        <v>17</v>
      </c>
      <c r="W40" s="718">
        <f t="shared" si="12"/>
        <v>100</v>
      </c>
      <c r="X40" s="719"/>
      <c r="Y40" s="3917"/>
      <c r="Z40" s="720">
        <f t="shared" si="13"/>
        <v>111</v>
      </c>
      <c r="AA40" s="1537">
        <f t="shared" si="3"/>
        <v>1</v>
      </c>
      <c r="AB40" s="1537">
        <f t="shared" si="4"/>
        <v>1</v>
      </c>
      <c r="AC40" s="1537">
        <f t="shared" si="5"/>
        <v>1</v>
      </c>
    </row>
    <row r="41" spans="1:31" ht="15">
      <c r="A41" s="438" t="s">
        <v>2541</v>
      </c>
      <c r="B41" s="2168" t="s">
        <v>2621</v>
      </c>
      <c r="C41" s="638" t="s">
        <v>1</v>
      </c>
      <c r="D41" s="440"/>
      <c r="E41" s="441"/>
      <c r="F41" s="442"/>
      <c r="G41" s="443"/>
      <c r="H41" s="444"/>
      <c r="I41" s="441"/>
      <c r="J41" s="444"/>
      <c r="K41" s="723"/>
      <c r="L41" s="2953"/>
      <c r="M41" s="2945"/>
      <c r="N41" s="2945"/>
      <c r="O41" s="2954"/>
      <c r="P41" s="3910" t="str">
        <f>A41</f>
        <v>成交单价</v>
      </c>
      <c r="Q41" s="3910"/>
      <c r="R41" s="3941">
        <f>E41</f>
        <v>0</v>
      </c>
      <c r="S41" s="3941"/>
      <c r="T41" s="3941">
        <f>G41</f>
        <v>0</v>
      </c>
      <c r="U41" s="3941"/>
      <c r="V41" s="3941">
        <f>I41</f>
        <v>0</v>
      </c>
      <c r="W41" s="3941"/>
      <c r="X41" s="699"/>
      <c r="Y41" s="721"/>
      <c r="Z41" s="699"/>
      <c r="AA41" s="699"/>
      <c r="AB41" s="699"/>
      <c r="AC41" s="699"/>
    </row>
    <row r="42" spans="1:31" ht="15.75" thickBot="1">
      <c r="A42" s="445" t="s">
        <v>2490</v>
      </c>
      <c r="B42" s="639"/>
      <c r="C42" s="448" t="e">
        <f>R43</f>
        <v>#DIV/0!</v>
      </c>
      <c r="D42" s="2538" t="s">
        <v>2881</v>
      </c>
      <c r="E42" s="448" t="e">
        <f>R42</f>
        <v>#DIV/0!</v>
      </c>
      <c r="F42" s="2539"/>
      <c r="G42" s="447" t="e">
        <f>T42</f>
        <v>#DIV/0!</v>
      </c>
      <c r="H42" s="2539"/>
      <c r="I42" s="448" t="e">
        <f>V42</f>
        <v>#DIV/0!</v>
      </c>
      <c r="J42" s="2539"/>
      <c r="K42" s="2541">
        <f>F42+H42+J42</f>
        <v>0</v>
      </c>
      <c r="L42" s="2953"/>
      <c r="M42" s="2945"/>
      <c r="N42" s="2945"/>
      <c r="O42" s="2954"/>
      <c r="P42" s="3910" t="str">
        <f>A42</f>
        <v>比较价值（元/平方米）</v>
      </c>
      <c r="Q42" s="3910"/>
      <c r="R42" s="3970" t="e">
        <f>ROUND(PRODUCT(R41,AA7:AA40),0)</f>
        <v>#DIV/0!</v>
      </c>
      <c r="S42" s="3970"/>
      <c r="T42" s="3970" t="e">
        <f>ROUND(PRODUCT(T41,AB7:AB40),0)</f>
        <v>#DIV/0!</v>
      </c>
      <c r="U42" s="3970"/>
      <c r="V42" s="3970" t="e">
        <f>ROUND(PRODUCT(V41,AC7:AC40),0)</f>
        <v>#DIV/0!</v>
      </c>
      <c r="W42" s="3970"/>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3"/>
      <c r="M43" s="2945"/>
      <c r="N43" s="2945"/>
      <c r="O43" s="2954"/>
      <c r="P43" s="3907" t="str">
        <f>A43</f>
        <v>估价对象XX用房的比较价值（楼面单价，元/平方米）</v>
      </c>
      <c r="Q43" s="3908"/>
      <c r="R43" s="3971" t="e">
        <f>ROUND(IF(D42="简单平均",AVERAGE(R42:W42),R42*F42+T42*H42+V42*J42),0)</f>
        <v>#DIV/0!</v>
      </c>
      <c r="S43" s="3971"/>
      <c r="T43" s="3971"/>
      <c r="U43" s="3971"/>
      <c r="V43" s="3971"/>
      <c r="W43" s="3971"/>
      <c r="X43" s="699"/>
      <c r="Y43" s="699"/>
      <c r="Z43" s="699"/>
      <c r="AA43" s="699"/>
      <c r="AB43" s="699"/>
      <c r="AC43" s="699"/>
    </row>
    <row r="44" spans="1:31">
      <c r="A44" s="2954"/>
      <c r="B44" s="2954"/>
      <c r="C44" s="2954"/>
      <c r="D44" s="2954"/>
      <c r="E44" s="2954"/>
      <c r="F44" s="2954"/>
      <c r="G44" s="2958"/>
      <c r="H44" s="2954"/>
      <c r="I44" s="2954"/>
      <c r="J44" s="2954"/>
      <c r="K44" s="2959"/>
      <c r="L44" s="2955"/>
      <c r="M44" s="2945"/>
      <c r="N44" s="2945"/>
      <c r="O44" s="2954"/>
      <c r="P44" s="2954"/>
      <c r="Q44" s="2954"/>
      <c r="R44" s="2954"/>
      <c r="S44" s="2954"/>
      <c r="T44" s="2954"/>
      <c r="U44" s="2954"/>
      <c r="V44" s="2954"/>
      <c r="W44" s="2954"/>
      <c r="X44" s="2954"/>
      <c r="Y44" s="2954"/>
      <c r="Z44" s="2954"/>
      <c r="AA44" s="2954"/>
      <c r="AB44" s="2954"/>
      <c r="AC44" s="2954"/>
      <c r="AD44" s="2954"/>
      <c r="AE44" s="2954"/>
    </row>
    <row r="45" spans="1:31">
      <c r="A45" s="2954"/>
      <c r="B45" s="2954"/>
      <c r="C45" s="2954"/>
      <c r="D45" s="2954"/>
      <c r="E45" s="2954"/>
      <c r="F45" s="2954"/>
      <c r="G45" s="2954"/>
      <c r="H45" s="2954"/>
      <c r="I45" s="2954"/>
      <c r="J45" s="2954"/>
      <c r="K45" s="2959"/>
      <c r="L45" s="2955"/>
      <c r="M45" s="2945"/>
      <c r="N45" s="2945"/>
      <c r="O45" s="2954"/>
      <c r="P45" s="2954"/>
      <c r="Q45" s="2954"/>
      <c r="R45" s="2954"/>
      <c r="S45" s="2954"/>
      <c r="T45" s="2954"/>
      <c r="U45" s="2954"/>
      <c r="V45" s="2954"/>
      <c r="W45" s="2954"/>
      <c r="X45" s="2954"/>
      <c r="Y45" s="2954"/>
      <c r="Z45" s="2954"/>
      <c r="AA45" s="2954"/>
      <c r="AB45" s="2954"/>
      <c r="AC45" s="2954"/>
      <c r="AD45" s="2954"/>
      <c r="AE45" s="2954"/>
    </row>
    <row r="46" spans="1:31" ht="13.5" customHeight="1">
      <c r="A46" s="2954"/>
      <c r="B46" s="2954"/>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9"/>
      <c r="L46" s="2955"/>
      <c r="M46" s="2945"/>
      <c r="N46" s="2945"/>
      <c r="O46" s="2954"/>
      <c r="P46" s="2954"/>
      <c r="Q46" s="2954"/>
      <c r="R46" s="2954"/>
      <c r="S46" s="2954"/>
      <c r="T46" s="2954"/>
      <c r="U46" s="2954"/>
      <c r="V46" s="2954"/>
      <c r="W46" s="2954"/>
      <c r="X46" s="2954"/>
      <c r="Y46" s="2954"/>
      <c r="Z46" s="2954"/>
      <c r="AA46" s="2954"/>
      <c r="AB46" s="2954"/>
      <c r="AC46" s="2954"/>
      <c r="AD46" s="2954"/>
      <c r="AE46" s="2954"/>
    </row>
    <row r="47" spans="1:31" ht="13.5" customHeight="1">
      <c r="A47" s="2954"/>
      <c r="B47" s="2954"/>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9"/>
      <c r="L47" s="2955"/>
      <c r="M47" s="2954"/>
      <c r="N47" s="2954"/>
      <c r="O47" s="2954"/>
      <c r="P47" s="2954"/>
      <c r="Q47" s="2954"/>
      <c r="R47" s="2954"/>
      <c r="S47" s="2954"/>
      <c r="T47" s="2954"/>
      <c r="U47" s="2954"/>
      <c r="V47" s="2954"/>
      <c r="W47" s="2954"/>
      <c r="X47" s="2954"/>
      <c r="Y47" s="2954"/>
      <c r="Z47" s="2954"/>
      <c r="AA47" s="2954"/>
      <c r="AB47" s="2954"/>
      <c r="AC47" s="2954"/>
      <c r="AD47" s="2954"/>
      <c r="AE47" s="2954"/>
    </row>
    <row r="48" spans="1:31" s="459" customFormat="1" ht="13.5" customHeight="1">
      <c r="A48" s="2957"/>
      <c r="B48" s="2957"/>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2"/>
      <c r="L48" s="2956"/>
      <c r="M48" s="2957"/>
      <c r="N48" s="2957"/>
      <c r="O48" s="2957"/>
      <c r="P48" s="2957"/>
      <c r="Q48" s="2957"/>
      <c r="R48" s="2957"/>
      <c r="S48" s="2957"/>
      <c r="T48" s="2957"/>
      <c r="U48" s="2957"/>
      <c r="V48" s="2957"/>
      <c r="W48" s="2957"/>
      <c r="X48" s="2957"/>
      <c r="Y48" s="2957"/>
      <c r="Z48" s="2957"/>
      <c r="AA48" s="2957"/>
      <c r="AB48" s="2957"/>
      <c r="AC48" s="2957"/>
      <c r="AD48" s="2957"/>
      <c r="AE48" s="2957"/>
    </row>
    <row r="49" spans="1:31" s="459" customFormat="1" ht="15" thickBot="1">
      <c r="A49" s="2957"/>
      <c r="B49" s="2960"/>
      <c r="C49" s="702"/>
      <c r="D49" s="700"/>
      <c r="E49" s="700"/>
      <c r="F49" s="700"/>
      <c r="G49" s="700"/>
      <c r="H49" s="700"/>
      <c r="I49" s="700"/>
      <c r="J49" s="700"/>
      <c r="K49" s="2962"/>
      <c r="L49" s="2956"/>
      <c r="M49" s="2957"/>
      <c r="N49" s="2957"/>
      <c r="O49" s="2957"/>
      <c r="P49" s="2957"/>
      <c r="Q49" s="2957"/>
      <c r="R49" s="2957"/>
      <c r="S49" s="2957"/>
      <c r="T49" s="2957"/>
      <c r="U49" s="2957"/>
      <c r="V49" s="2957"/>
      <c r="W49" s="2957"/>
      <c r="X49" s="2957"/>
      <c r="Y49" s="2957"/>
      <c r="Z49" s="2957"/>
      <c r="AA49" s="2957"/>
      <c r="AB49" s="2957"/>
      <c r="AC49" s="2957"/>
      <c r="AD49" s="2957"/>
      <c r="AE49" s="2957"/>
    </row>
    <row r="50" spans="1:31" ht="27">
      <c r="A50" s="640" t="s">
        <v>2579</v>
      </c>
      <c r="B50" s="641" t="s">
        <v>2580</v>
      </c>
      <c r="C50" s="2169" t="s">
        <v>2581</v>
      </c>
      <c r="D50" s="2170" t="s">
        <v>2582</v>
      </c>
      <c r="E50" s="642" t="s">
        <v>2583</v>
      </c>
      <c r="F50" s="643" t="s">
        <v>2584</v>
      </c>
      <c r="G50" s="3925" t="s">
        <v>2585</v>
      </c>
      <c r="H50" s="3972"/>
      <c r="I50" s="1540" t="s">
        <v>2622</v>
      </c>
      <c r="J50" s="1540">
        <f>项目基本情况!F35</f>
        <v>0</v>
      </c>
      <c r="K50" s="2172" t="s">
        <v>2587</v>
      </c>
      <c r="L50" s="2955"/>
      <c r="M50" s="2954"/>
      <c r="N50" s="2954"/>
      <c r="O50" s="2954"/>
      <c r="P50" s="2954"/>
      <c r="Q50" s="2954"/>
      <c r="R50" s="2954"/>
      <c r="S50" s="2954"/>
      <c r="T50" s="2954"/>
      <c r="U50" s="2954"/>
      <c r="V50" s="2954"/>
      <c r="W50" s="2954"/>
      <c r="X50" s="2954"/>
      <c r="Y50" s="2954"/>
      <c r="Z50" s="2954"/>
      <c r="AA50" s="2954"/>
      <c r="AB50" s="2954"/>
      <c r="AC50" s="2954"/>
      <c r="AD50" s="2954"/>
      <c r="AE50" s="2954"/>
    </row>
    <row r="51" spans="1:31" s="648" customFormat="1">
      <c r="A51" s="644" t="s">
        <v>2588</v>
      </c>
      <c r="B51" s="645" t="e">
        <f>C43</f>
        <v>#DIV/0!</v>
      </c>
      <c r="C51" s="646">
        <v>1</v>
      </c>
      <c r="D51" s="1075">
        <v>1</v>
      </c>
      <c r="E51" s="646">
        <f>'数据-汇总表'!E8+'数据-汇总表'!E9</f>
        <v>198.07</v>
      </c>
      <c r="F51" s="647" t="e">
        <f t="shared" ref="F51:F60" si="15">ROUND(B51*E51/10000,0)</f>
        <v>#DIV/0!</v>
      </c>
      <c r="G51" s="3921"/>
      <c r="H51" s="3910"/>
      <c r="I51" s="879">
        <v>1</v>
      </c>
      <c r="J51" s="879">
        <v>1</v>
      </c>
      <c r="K51" s="2957"/>
      <c r="L51" s="3011"/>
      <c r="M51" s="3011"/>
      <c r="N51" s="3011"/>
      <c r="O51" s="3011"/>
      <c r="P51" s="3011"/>
      <c r="Q51" s="3011"/>
      <c r="R51" s="3011"/>
      <c r="S51" s="3011"/>
      <c r="T51" s="3011"/>
      <c r="U51" s="3011"/>
      <c r="V51" s="3011"/>
      <c r="W51" s="3011"/>
      <c r="X51" s="3011"/>
      <c r="Y51" s="3011"/>
      <c r="Z51" s="3011"/>
      <c r="AA51" s="3011"/>
      <c r="AB51" s="3011"/>
      <c r="AC51" s="3011"/>
      <c r="AD51" s="3011"/>
      <c r="AE51" s="3011"/>
    </row>
    <row r="52" spans="1:31" s="648" customFormat="1">
      <c r="A52" s="649" t="s">
        <v>2589</v>
      </c>
      <c r="B52" s="224" t="e">
        <f>ROUND($C$43*C52*D52,0)</f>
        <v>#DIV/0!</v>
      </c>
      <c r="C52" s="176">
        <f t="shared" ref="C52:C60" si="16">IF($C$50="北京市系数",I52,J52)</f>
        <v>0</v>
      </c>
      <c r="D52" s="1076">
        <v>0.25</v>
      </c>
      <c r="E52" s="650"/>
      <c r="F52" s="647" t="e">
        <f t="shared" si="15"/>
        <v>#DIV/0!</v>
      </c>
      <c r="G52" s="3973" t="s">
        <v>2590</v>
      </c>
      <c r="H52" s="1018">
        <f>项目基本情况!B37</f>
        <v>0</v>
      </c>
      <c r="I52" s="879">
        <f>SUMIF(修正!A45:A56,H52,修正!B45:B56)</f>
        <v>0</v>
      </c>
      <c r="J52" s="880"/>
      <c r="K52" s="2954"/>
      <c r="L52" s="3011"/>
      <c r="M52" s="3011"/>
      <c r="N52" s="3011"/>
      <c r="O52" s="3011"/>
      <c r="P52" s="3011"/>
      <c r="Q52" s="3011"/>
      <c r="R52" s="3011"/>
      <c r="S52" s="3011"/>
      <c r="T52" s="3011"/>
      <c r="U52" s="3011"/>
      <c r="V52" s="3011"/>
      <c r="W52" s="3011"/>
      <c r="X52" s="3011"/>
      <c r="Y52" s="3011"/>
      <c r="Z52" s="3011"/>
      <c r="AA52" s="3011"/>
      <c r="AB52" s="3011"/>
      <c r="AC52" s="3011"/>
      <c r="AD52" s="3011"/>
      <c r="AE52" s="3011"/>
    </row>
    <row r="53" spans="1:31" s="648" customFormat="1">
      <c r="A53" s="649" t="s">
        <v>2591</v>
      </c>
      <c r="B53" s="224" t="e">
        <f t="shared" ref="B53:B60" si="17">ROUND($C$43*C53*D53,0)</f>
        <v>#DIV/0!</v>
      </c>
      <c r="C53" s="176">
        <f t="shared" si="16"/>
        <v>0</v>
      </c>
      <c r="D53" s="1076">
        <v>0.25</v>
      </c>
      <c r="E53" s="650"/>
      <c r="F53" s="647" t="e">
        <f t="shared" si="15"/>
        <v>#DIV/0!</v>
      </c>
      <c r="G53" s="3973"/>
      <c r="H53" s="1018">
        <f>项目基本情况!B37</f>
        <v>0</v>
      </c>
      <c r="I53" s="879">
        <f>SUMIF(修正!A45:A56,H53,修正!C45:C56)</f>
        <v>0</v>
      </c>
      <c r="J53" s="880"/>
      <c r="K53" s="2957"/>
      <c r="L53" s="3011"/>
      <c r="M53" s="3011"/>
      <c r="N53" s="3011"/>
      <c r="O53" s="3011"/>
      <c r="P53" s="3011"/>
      <c r="Q53" s="3011"/>
      <c r="R53" s="3011"/>
      <c r="S53" s="3011"/>
      <c r="T53" s="3011"/>
      <c r="U53" s="3011"/>
      <c r="V53" s="3011"/>
      <c r="W53" s="3011"/>
      <c r="X53" s="3011"/>
      <c r="Y53" s="3011"/>
      <c r="Z53" s="3011"/>
      <c r="AA53" s="3011"/>
      <c r="AB53" s="3011"/>
      <c r="AC53" s="3011"/>
      <c r="AD53" s="3011"/>
      <c r="AE53" s="3011"/>
    </row>
    <row r="54" spans="1:31" s="648" customFormat="1">
      <c r="A54" s="649" t="s">
        <v>2592</v>
      </c>
      <c r="B54" s="224" t="e">
        <f t="shared" si="17"/>
        <v>#DIV/0!</v>
      </c>
      <c r="C54" s="176">
        <f t="shared" si="16"/>
        <v>0</v>
      </c>
      <c r="D54" s="1076">
        <v>0.25</v>
      </c>
      <c r="E54" s="650"/>
      <c r="F54" s="647" t="e">
        <f t="shared" si="15"/>
        <v>#DIV/0!</v>
      </c>
      <c r="G54" s="3973"/>
      <c r="H54" s="1018">
        <f>项目基本情况!B37</f>
        <v>0</v>
      </c>
      <c r="I54" s="879">
        <f>SUMIF(修正!A45:A56,H54,修正!D45:D56)</f>
        <v>0</v>
      </c>
      <c r="J54" s="880"/>
      <c r="K54" s="2954"/>
      <c r="L54" s="3011"/>
      <c r="M54" s="3011"/>
      <c r="N54" s="3011"/>
      <c r="O54" s="3011"/>
      <c r="P54" s="3011"/>
      <c r="Q54" s="3011"/>
      <c r="R54" s="3011"/>
      <c r="S54" s="3011"/>
      <c r="T54" s="3011"/>
      <c r="U54" s="3011"/>
      <c r="V54" s="3011"/>
      <c r="W54" s="3011"/>
      <c r="X54" s="3011"/>
      <c r="Y54" s="3011"/>
      <c r="Z54" s="3011"/>
      <c r="AA54" s="3011"/>
      <c r="AB54" s="3011"/>
      <c r="AC54" s="3011"/>
      <c r="AD54" s="3011"/>
      <c r="AE54" s="3011"/>
    </row>
    <row r="55" spans="1:31" s="648" customFormat="1">
      <c r="A55" s="649" t="s">
        <v>2593</v>
      </c>
      <c r="B55" s="224" t="e">
        <f t="shared" si="17"/>
        <v>#DIV/0!</v>
      </c>
      <c r="C55" s="176">
        <f t="shared" si="16"/>
        <v>0</v>
      </c>
      <c r="D55" s="1076">
        <v>0.25</v>
      </c>
      <c r="E55" s="650"/>
      <c r="F55" s="647" t="e">
        <f t="shared" si="15"/>
        <v>#DIV/0!</v>
      </c>
      <c r="G55" s="3973"/>
      <c r="H55" s="1018">
        <f>项目基本情况!B37</f>
        <v>0</v>
      </c>
      <c r="I55" s="879">
        <f>SUMIF(修正!A45:A56,H55,修正!E45:E56)</f>
        <v>0</v>
      </c>
      <c r="J55" s="880"/>
      <c r="K55" s="2957"/>
      <c r="L55" s="3011"/>
      <c r="M55" s="3011"/>
      <c r="N55" s="3011"/>
      <c r="O55" s="3011"/>
      <c r="P55" s="3011"/>
      <c r="Q55" s="3011"/>
      <c r="R55" s="3011"/>
      <c r="S55" s="3011"/>
      <c r="T55" s="3011"/>
      <c r="U55" s="3011"/>
      <c r="V55" s="3011"/>
      <c r="W55" s="3011"/>
      <c r="X55" s="3011"/>
      <c r="Y55" s="3011"/>
      <c r="Z55" s="3011"/>
      <c r="AA55" s="3011"/>
      <c r="AB55" s="3011"/>
      <c r="AC55" s="3011"/>
      <c r="AD55" s="3011"/>
      <c r="AE55" s="3011"/>
    </row>
    <row r="56" spans="1:31" s="648" customFormat="1">
      <c r="A56" s="649" t="s">
        <v>2594</v>
      </c>
      <c r="B56" s="224" t="e">
        <f t="shared" si="17"/>
        <v>#DIV/0!</v>
      </c>
      <c r="C56" s="176">
        <f t="shared" si="16"/>
        <v>0</v>
      </c>
      <c r="D56" s="1076">
        <v>0.25</v>
      </c>
      <c r="E56" s="223">
        <f>'数据-汇总表'!E11</f>
        <v>0</v>
      </c>
      <c r="F56" s="647" t="e">
        <f t="shared" si="15"/>
        <v>#DIV/0!</v>
      </c>
      <c r="G56" s="2173" t="s">
        <v>2595</v>
      </c>
      <c r="H56" s="1018">
        <f>项目基本情况!C37</f>
        <v>0</v>
      </c>
      <c r="I56" s="879">
        <f>SUMIF(修正!A45:A56,H56,修正!F45:F56)</f>
        <v>0</v>
      </c>
      <c r="J56" s="880"/>
      <c r="K56" s="2954"/>
      <c r="L56" s="3011"/>
      <c r="M56" s="3011"/>
      <c r="N56" s="3011"/>
      <c r="O56" s="3011"/>
      <c r="P56" s="3011"/>
      <c r="Q56" s="3011"/>
      <c r="R56" s="3011"/>
      <c r="S56" s="3011"/>
      <c r="T56" s="3011"/>
      <c r="U56" s="3011"/>
      <c r="V56" s="3011"/>
      <c r="W56" s="3011"/>
      <c r="X56" s="3011"/>
      <c r="Y56" s="3011"/>
      <c r="Z56" s="3011"/>
      <c r="AA56" s="3011"/>
      <c r="AB56" s="3011"/>
      <c r="AC56" s="3011"/>
      <c r="AD56" s="3011"/>
      <c r="AE56" s="3011"/>
    </row>
    <row r="57" spans="1:31" s="648" customFormat="1">
      <c r="A57" s="649" t="s">
        <v>2596</v>
      </c>
      <c r="B57" s="224" t="e">
        <f t="shared" si="17"/>
        <v>#DIV/0!</v>
      </c>
      <c r="C57" s="176">
        <f t="shared" si="16"/>
        <v>0</v>
      </c>
      <c r="D57" s="1076">
        <v>0.25</v>
      </c>
      <c r="E57" s="223">
        <f>'数据-汇总表'!E12</f>
        <v>0</v>
      </c>
      <c r="F57" s="647" t="e">
        <f t="shared" si="15"/>
        <v>#DIV/0!</v>
      </c>
      <c r="G57" s="1023" t="s">
        <v>2597</v>
      </c>
      <c r="H57" s="1018">
        <f>IF(G57="商业",项目基本情况!B37,IF(G57="办公",项目基本情况!C37,IF(G57="住宅",项目基本情况!D37,项目基本情况!E37)))</f>
        <v>0</v>
      </c>
      <c r="I57" s="879">
        <f>SUMIF(修正!A45:A56,H57,修正!G45:G56)</f>
        <v>0</v>
      </c>
      <c r="J57" s="880"/>
      <c r="K57" s="2957"/>
      <c r="L57" s="3011"/>
      <c r="M57" s="3011"/>
      <c r="N57" s="3011"/>
      <c r="O57" s="3011"/>
      <c r="P57" s="3011"/>
      <c r="Q57" s="3011"/>
      <c r="R57" s="3011"/>
      <c r="S57" s="3011"/>
      <c r="T57" s="3011"/>
      <c r="U57" s="3011"/>
      <c r="V57" s="3011"/>
      <c r="W57" s="3011"/>
      <c r="X57" s="3011"/>
      <c r="Y57" s="3011"/>
      <c r="Z57" s="3011"/>
      <c r="AA57" s="3011"/>
      <c r="AB57" s="3011"/>
      <c r="AC57" s="3011"/>
      <c r="AD57" s="3011"/>
      <c r="AE57" s="3011"/>
    </row>
    <row r="58" spans="1:31" s="648" customFormat="1">
      <c r="A58" s="649" t="s">
        <v>2598</v>
      </c>
      <c r="B58" s="224" t="e">
        <f t="shared" si="17"/>
        <v>#DIV/0!</v>
      </c>
      <c r="C58" s="176">
        <f t="shared" si="16"/>
        <v>0</v>
      </c>
      <c r="D58" s="1076">
        <v>0.25</v>
      </c>
      <c r="E58" s="223">
        <f>'数据-汇总表'!E13</f>
        <v>0</v>
      </c>
      <c r="F58" s="647" t="e">
        <f t="shared" si="15"/>
        <v>#DIV/0!</v>
      </c>
      <c r="G58" s="1023" t="s">
        <v>2599</v>
      </c>
      <c r="H58" s="1018">
        <f>IF(G58="商业",项目基本情况!B37,IF(G58="办公",项目基本情况!C37,IF(G58="住宅",项目基本情况!D37,项目基本情况!E37)))</f>
        <v>0</v>
      </c>
      <c r="I58" s="879">
        <f>SUMIF(修正!A45:A56,H58,修正!H45:H56)</f>
        <v>0</v>
      </c>
      <c r="J58" s="880"/>
      <c r="K58" s="2954"/>
      <c r="L58" s="3011"/>
      <c r="M58" s="3011"/>
      <c r="N58" s="3011"/>
      <c r="O58" s="3011"/>
      <c r="P58" s="3011"/>
      <c r="Q58" s="3011"/>
      <c r="R58" s="3011"/>
      <c r="S58" s="3011"/>
      <c r="T58" s="3011"/>
      <c r="U58" s="3011"/>
      <c r="V58" s="3011"/>
      <c r="W58" s="3011"/>
      <c r="X58" s="3011"/>
      <c r="Y58" s="3011"/>
      <c r="Z58" s="3011"/>
      <c r="AA58" s="3011"/>
      <c r="AB58" s="3011"/>
      <c r="AC58" s="3011"/>
      <c r="AD58" s="3011"/>
      <c r="AE58" s="3011"/>
    </row>
    <row r="59" spans="1:31" s="648" customFormat="1">
      <c r="A59" s="649" t="s">
        <v>2600</v>
      </c>
      <c r="B59" s="224" t="e">
        <f t="shared" si="17"/>
        <v>#DIV/0!</v>
      </c>
      <c r="C59" s="176">
        <f t="shared" si="16"/>
        <v>0</v>
      </c>
      <c r="D59" s="1076">
        <v>0.25</v>
      </c>
      <c r="E59" s="223">
        <f>'数据-汇总表'!E14</f>
        <v>0</v>
      </c>
      <c r="F59" s="647" t="e">
        <f t="shared" si="15"/>
        <v>#DIV/0!</v>
      </c>
      <c r="G59" s="2173" t="s">
        <v>2590</v>
      </c>
      <c r="H59" s="1018">
        <f>项目基本情况!B37</f>
        <v>0</v>
      </c>
      <c r="I59" s="879">
        <f>SUMIF(修正!A45:A56,H59,修正!H45:H56)</f>
        <v>0</v>
      </c>
      <c r="J59" s="880"/>
      <c r="K59" s="2957"/>
      <c r="L59" s="3011"/>
      <c r="M59" s="3011"/>
      <c r="N59" s="3011"/>
      <c r="O59" s="3011"/>
      <c r="P59" s="3011"/>
      <c r="Q59" s="3011"/>
      <c r="R59" s="3011"/>
      <c r="S59" s="3011"/>
      <c r="T59" s="3011"/>
      <c r="U59" s="3011"/>
      <c r="V59" s="3011"/>
      <c r="W59" s="3011"/>
      <c r="X59" s="3011"/>
      <c r="Y59" s="3011"/>
      <c r="Z59" s="3011"/>
      <c r="AA59" s="3011"/>
      <c r="AB59" s="3011"/>
      <c r="AC59" s="3011"/>
      <c r="AD59" s="3011"/>
      <c r="AE59" s="3011"/>
    </row>
    <row r="60" spans="1:31" s="648" customFormat="1" ht="15" thickBot="1">
      <c r="A60" s="649" t="s">
        <v>2601</v>
      </c>
      <c r="B60" s="224" t="e">
        <f t="shared" si="17"/>
        <v>#DIV/0!</v>
      </c>
      <c r="C60" s="176">
        <f t="shared" si="16"/>
        <v>0</v>
      </c>
      <c r="D60" s="1076">
        <v>0.25</v>
      </c>
      <c r="E60" s="223">
        <f>'数据-汇总表'!E15</f>
        <v>0</v>
      </c>
      <c r="F60" s="647" t="e">
        <f t="shared" si="15"/>
        <v>#DIV/0!</v>
      </c>
      <c r="G60" s="2174" t="s">
        <v>2595</v>
      </c>
      <c r="H60" s="1028">
        <f>项目基本情况!C37</f>
        <v>0</v>
      </c>
      <c r="I60" s="879">
        <f>SUMIF(修正!A45:A56,H60,修正!H45:H56)</f>
        <v>0</v>
      </c>
      <c r="J60" s="880"/>
      <c r="K60" s="2954"/>
      <c r="L60" s="3011"/>
      <c r="M60" s="3011"/>
      <c r="N60" s="3011"/>
      <c r="O60" s="3011"/>
      <c r="P60" s="3011"/>
      <c r="Q60" s="3011"/>
      <c r="R60" s="3011"/>
      <c r="S60" s="3011"/>
      <c r="T60" s="3011"/>
      <c r="U60" s="3011"/>
      <c r="V60" s="3011"/>
      <c r="W60" s="3011"/>
      <c r="X60" s="3011"/>
      <c r="Y60" s="3011"/>
      <c r="Z60" s="3011"/>
      <c r="AA60" s="3011"/>
      <c r="AB60" s="3011"/>
      <c r="AC60" s="3011"/>
      <c r="AD60" s="3011"/>
      <c r="AE60" s="3011"/>
    </row>
    <row r="61" spans="1:31" s="648" customFormat="1" ht="15" thickBot="1">
      <c r="A61" s="651" t="s">
        <v>2602</v>
      </c>
      <c r="B61" s="652" t="s">
        <v>28</v>
      </c>
      <c r="C61" s="652" t="s">
        <v>29</v>
      </c>
      <c r="D61" s="652" t="s">
        <v>997</v>
      </c>
      <c r="E61" s="652">
        <f>IF(B41="楼面地价",SUM(E51:E60),'数据-汇总表'!D3)</f>
        <v>1442.46</v>
      </c>
      <c r="F61" s="653" t="e">
        <f>IF(B41="楼面地价",SUM(F51:F60),ROUND(C43*E61/10000,0))</f>
        <v>#DIV/0!</v>
      </c>
      <c r="G61" s="1070"/>
      <c r="H61" s="1070"/>
      <c r="I61" s="1070"/>
      <c r="J61" s="1070"/>
      <c r="K61" s="2959"/>
      <c r="L61" s="3011"/>
      <c r="M61" s="3011"/>
      <c r="N61" s="3011"/>
      <c r="O61" s="3011"/>
      <c r="P61" s="3011"/>
      <c r="Q61" s="3011"/>
      <c r="R61" s="3011"/>
      <c r="S61" s="3011"/>
      <c r="T61" s="3011"/>
      <c r="U61" s="3011"/>
      <c r="V61" s="3011"/>
      <c r="W61" s="3011"/>
      <c r="X61" s="3011"/>
      <c r="Y61" s="3011"/>
      <c r="Z61" s="3011"/>
      <c r="AA61" s="3011"/>
      <c r="AB61" s="3011"/>
      <c r="AC61" s="3011"/>
      <c r="AD61" s="3011"/>
      <c r="AE61" s="3011"/>
    </row>
    <row r="62" spans="1:31">
      <c r="A62" s="1058"/>
      <c r="B62" s="1060"/>
      <c r="C62" s="1062"/>
      <c r="D62" s="1058"/>
      <c r="E62" s="1058"/>
      <c r="F62" s="1058"/>
      <c r="G62" s="1058"/>
      <c r="H62" s="1058"/>
      <c r="I62" s="1058"/>
      <c r="J62" s="1058"/>
      <c r="K62" s="1019"/>
      <c r="L62" s="1020"/>
      <c r="M62" s="1058"/>
      <c r="N62" s="1058"/>
      <c r="O62" s="1058"/>
      <c r="P62" s="2954"/>
      <c r="Q62" s="2954"/>
      <c r="R62" s="2954"/>
      <c r="S62" s="2954"/>
      <c r="T62" s="2954"/>
      <c r="U62" s="2954"/>
      <c r="V62" s="2954"/>
      <c r="W62" s="2954"/>
      <c r="X62" s="2954"/>
      <c r="Y62" s="2954"/>
      <c r="Z62" s="2954"/>
      <c r="AA62" s="2954"/>
      <c r="AB62" s="2954"/>
      <c r="AC62" s="2954"/>
      <c r="AD62" s="2954"/>
      <c r="AE62" s="2954"/>
    </row>
    <row r="63" spans="1:31">
      <c r="A63" s="1058"/>
      <c r="B63" s="1060"/>
      <c r="C63" s="701" t="str">
        <f>YEAR(C7)&amp;"-"&amp;MONTH(C7)&amp;"-1"</f>
        <v>2021-6-1</v>
      </c>
      <c r="D63" s="701">
        <f>EDATE(C63,-3)</f>
        <v>44256</v>
      </c>
      <c r="E63" s="701">
        <f>EDATE(D63,-3)</f>
        <v>44166</v>
      </c>
      <c r="F63" s="701">
        <f t="shared" ref="F63:O63" si="18">EDATE(E63,-3)</f>
        <v>44075</v>
      </c>
      <c r="G63" s="701">
        <f t="shared" si="18"/>
        <v>43983</v>
      </c>
      <c r="H63" s="701">
        <f t="shared" si="18"/>
        <v>43891</v>
      </c>
      <c r="I63" s="701">
        <f t="shared" si="18"/>
        <v>43800</v>
      </c>
      <c r="J63" s="701">
        <f t="shared" si="18"/>
        <v>43709</v>
      </c>
      <c r="K63" s="701">
        <f t="shared" si="18"/>
        <v>43617</v>
      </c>
      <c r="L63" s="701">
        <f t="shared" si="18"/>
        <v>43525</v>
      </c>
      <c r="M63" s="701">
        <f t="shared" si="18"/>
        <v>43435</v>
      </c>
      <c r="N63" s="701">
        <f t="shared" si="18"/>
        <v>43344</v>
      </c>
      <c r="O63" s="701">
        <f t="shared" si="18"/>
        <v>43252</v>
      </c>
      <c r="P63" s="2954"/>
      <c r="Q63" s="2954"/>
      <c r="R63" s="2954"/>
      <c r="S63" s="2954"/>
      <c r="T63" s="2954"/>
      <c r="U63" s="2954"/>
      <c r="V63" s="2954"/>
      <c r="W63" s="2954"/>
      <c r="X63" s="2954"/>
      <c r="Y63" s="2954"/>
      <c r="Z63" s="2954"/>
      <c r="AA63" s="2954"/>
      <c r="AB63" s="2954"/>
      <c r="AC63" s="2954"/>
      <c r="AD63" s="2954"/>
      <c r="AE63" s="2954"/>
    </row>
    <row r="64" spans="1:31" ht="21.75" thickBot="1">
      <c r="A64" s="703" t="s">
        <v>2495</v>
      </c>
      <c r="B64" s="699"/>
      <c r="C64" s="704"/>
      <c r="D64" s="704"/>
      <c r="E64" s="704"/>
      <c r="F64" s="705"/>
      <c r="G64" s="705"/>
      <c r="H64" s="704"/>
      <c r="I64" s="704"/>
      <c r="J64" s="704"/>
      <c r="K64" s="706"/>
      <c r="L64" s="707"/>
      <c r="M64" s="704"/>
      <c r="N64" s="704"/>
      <c r="O64" s="1071"/>
      <c r="P64" s="2998"/>
      <c r="Q64" s="2968"/>
      <c r="R64" s="2954"/>
      <c r="S64" s="2954"/>
      <c r="T64" s="2954"/>
      <c r="U64" s="2954"/>
      <c r="V64" s="2954"/>
      <c r="W64" s="2954"/>
      <c r="X64" s="2954"/>
      <c r="Y64" s="2954"/>
      <c r="Z64" s="2954"/>
      <c r="AA64" s="2954"/>
      <c r="AB64" s="2954"/>
      <c r="AC64" s="2954"/>
      <c r="AD64" s="2954"/>
      <c r="AE64" s="2954"/>
    </row>
    <row r="65" spans="1:31" s="465" customFormat="1" ht="15">
      <c r="A65" s="2175" t="s">
        <v>2603</v>
      </c>
      <c r="B65" s="1269"/>
      <c r="C65" s="1344" t="str">
        <f>YEAR(C63)&amp;"-"&amp;ROUNDUP(MONTH(C63)/3,0)</f>
        <v>2021-2</v>
      </c>
      <c r="D65" s="1344" t="str">
        <f t="shared" ref="D65:O65" si="19">YEAR(D63)&amp;"-"&amp;ROUNDUP(MONTH(D63)/3,0)</f>
        <v>2021-1</v>
      </c>
      <c r="E65" s="1344" t="str">
        <f t="shared" si="19"/>
        <v>2020-4</v>
      </c>
      <c r="F65" s="1344" t="str">
        <f t="shared" si="19"/>
        <v>2020-3</v>
      </c>
      <c r="G65" s="1344" t="str">
        <f t="shared" si="19"/>
        <v>2020-2</v>
      </c>
      <c r="H65" s="1344" t="str">
        <f t="shared" si="19"/>
        <v>2020-1</v>
      </c>
      <c r="I65" s="1344" t="str">
        <f t="shared" si="19"/>
        <v>2019-4</v>
      </c>
      <c r="J65" s="1344" t="str">
        <f t="shared" si="19"/>
        <v>2019-3</v>
      </c>
      <c r="K65" s="1344" t="str">
        <f t="shared" si="19"/>
        <v>2019-2</v>
      </c>
      <c r="L65" s="1344" t="str">
        <f t="shared" si="19"/>
        <v>2019-1</v>
      </c>
      <c r="M65" s="1344" t="str">
        <f t="shared" si="19"/>
        <v>2018-4</v>
      </c>
      <c r="N65" s="1344" t="str">
        <f t="shared" si="19"/>
        <v>2018-3</v>
      </c>
      <c r="O65" s="1344" t="str">
        <f t="shared" si="19"/>
        <v>2018-2</v>
      </c>
      <c r="P65" s="3005"/>
      <c r="Q65" s="2970"/>
      <c r="R65" s="2970"/>
      <c r="S65" s="2970"/>
      <c r="T65" s="2970"/>
      <c r="U65" s="2970"/>
      <c r="V65" s="2970"/>
      <c r="W65" s="2970"/>
      <c r="X65" s="2970"/>
      <c r="Y65" s="2970"/>
      <c r="Z65" s="2970"/>
      <c r="AA65" s="2970"/>
      <c r="AB65" s="2970"/>
      <c r="AC65" s="2970"/>
      <c r="AD65" s="2970"/>
      <c r="AE65" s="2970"/>
    </row>
    <row r="66" spans="1:31" s="113" customFormat="1" ht="30.75" customHeight="1">
      <c r="A66" s="2180" t="s">
        <v>2623</v>
      </c>
      <c r="B66" s="294" t="str">
        <f>"北京市平均增长率"&amp;TEXT(基准地价修正!P24,"0.00%")</f>
        <v>北京市平均增长率1.25%</v>
      </c>
      <c r="C66" s="560">
        <v>100</v>
      </c>
      <c r="D66" s="552"/>
      <c r="E66" s="552"/>
      <c r="F66" s="552"/>
      <c r="G66" s="552"/>
      <c r="H66" s="552"/>
      <c r="I66" s="552"/>
      <c r="J66" s="552"/>
      <c r="K66" s="552"/>
      <c r="L66" s="552"/>
      <c r="M66" s="1340"/>
      <c r="N66" s="1340"/>
      <c r="O66" s="1342"/>
      <c r="P66" s="2968"/>
      <c r="Q66" s="2888"/>
      <c r="R66" s="2888"/>
      <c r="S66" s="2888"/>
      <c r="T66" s="2888"/>
      <c r="U66" s="2888"/>
      <c r="V66" s="2888"/>
      <c r="W66" s="2888"/>
      <c r="X66" s="2888"/>
      <c r="Y66" s="2888"/>
      <c r="Z66" s="2888"/>
      <c r="AA66" s="2888"/>
      <c r="AB66" s="2888"/>
      <c r="AC66" s="2888"/>
      <c r="AD66" s="2888"/>
      <c r="AE66" s="2888"/>
    </row>
    <row r="67" spans="1:31" s="113" customFormat="1" ht="15.75" thickBot="1">
      <c r="A67" s="472" t="s">
        <v>2406</v>
      </c>
      <c r="B67" s="473"/>
      <c r="C67" s="474"/>
      <c r="D67" s="475"/>
      <c r="E67" s="475"/>
      <c r="F67" s="475"/>
      <c r="G67" s="475"/>
      <c r="H67" s="475"/>
      <c r="I67" s="475"/>
      <c r="J67" s="475"/>
      <c r="K67" s="475"/>
      <c r="L67" s="475"/>
      <c r="M67" s="476"/>
      <c r="N67" s="476"/>
      <c r="O67" s="477"/>
      <c r="P67" s="2968"/>
      <c r="Q67" s="2968"/>
      <c r="R67" s="2888"/>
      <c r="S67" s="2888"/>
      <c r="T67" s="2888"/>
      <c r="U67" s="2888"/>
      <c r="V67" s="2888"/>
      <c r="W67" s="2888"/>
      <c r="X67" s="2888"/>
      <c r="Y67" s="2888"/>
      <c r="Z67" s="2888"/>
      <c r="AA67" s="2888"/>
      <c r="AB67" s="2888"/>
      <c r="AC67" s="2888"/>
      <c r="AD67" s="2888"/>
      <c r="AE67" s="2888"/>
    </row>
    <row r="68" spans="1:31" s="113" customFormat="1" ht="15">
      <c r="A68" s="478" t="s">
        <v>2371</v>
      </c>
      <c r="B68" s="467"/>
      <c r="C68" s="479" t="s">
        <v>2473</v>
      </c>
      <c r="D68" s="480"/>
      <c r="E68" s="480"/>
      <c r="F68" s="480"/>
      <c r="G68" s="480"/>
      <c r="H68" s="480"/>
      <c r="I68" s="480"/>
      <c r="J68" s="480"/>
      <c r="K68" s="480"/>
      <c r="L68" s="481"/>
      <c r="M68" s="482"/>
      <c r="N68" s="2981"/>
      <c r="O68" s="2981"/>
      <c r="P68" s="3006"/>
      <c r="Q68" s="2968"/>
      <c r="R68" s="2888"/>
      <c r="S68" s="2888"/>
      <c r="T68" s="2888"/>
      <c r="U68" s="2888"/>
      <c r="V68" s="2888"/>
      <c r="W68" s="2888"/>
      <c r="X68" s="2888"/>
      <c r="Y68" s="2888"/>
      <c r="Z68" s="2888"/>
      <c r="AA68" s="2888"/>
      <c r="AB68" s="2888"/>
      <c r="AC68" s="2888"/>
      <c r="AD68" s="2888"/>
      <c r="AE68" s="2888"/>
    </row>
    <row r="69" spans="1:31" s="113" customFormat="1" ht="15.75" thickBot="1">
      <c r="A69" s="478"/>
      <c r="B69" s="467"/>
      <c r="C69" s="595">
        <v>100</v>
      </c>
      <c r="D69" s="469"/>
      <c r="E69" s="469"/>
      <c r="F69" s="469"/>
      <c r="G69" s="469"/>
      <c r="H69" s="469"/>
      <c r="I69" s="469"/>
      <c r="J69" s="469"/>
      <c r="K69" s="469"/>
      <c r="L69" s="469"/>
      <c r="M69" s="471"/>
      <c r="N69" s="2981"/>
      <c r="O69" s="2981"/>
      <c r="P69" s="2968"/>
      <c r="Q69" s="2968"/>
      <c r="R69" s="2888"/>
      <c r="S69" s="2888"/>
      <c r="T69" s="2888"/>
      <c r="U69" s="2888"/>
      <c r="V69" s="2888"/>
      <c r="W69" s="2888"/>
      <c r="X69" s="2888"/>
      <c r="Y69" s="2888"/>
      <c r="Z69" s="2888"/>
      <c r="AA69" s="2888"/>
      <c r="AB69" s="2888"/>
      <c r="AC69" s="2888"/>
      <c r="AD69" s="2888"/>
      <c r="AE69" s="2888"/>
    </row>
    <row r="70" spans="1:31">
      <c r="A70" s="484" t="s">
        <v>2409</v>
      </c>
      <c r="B70" s="485" t="s">
        <v>2375</v>
      </c>
      <c r="C70" s="487"/>
      <c r="D70" s="487"/>
      <c r="E70" s="487"/>
      <c r="F70" s="487"/>
      <c r="G70" s="487"/>
      <c r="H70" s="487"/>
      <c r="I70" s="487"/>
      <c r="J70" s="487"/>
      <c r="K70" s="488"/>
      <c r="L70" s="489"/>
      <c r="M70" s="490"/>
      <c r="N70" s="2982"/>
      <c r="O70" s="2982"/>
      <c r="P70" s="3007"/>
      <c r="Q70" s="2968"/>
      <c r="R70" s="2954"/>
      <c r="S70" s="2954"/>
      <c r="T70" s="2954"/>
      <c r="U70" s="2954"/>
      <c r="V70" s="2954"/>
      <c r="W70" s="2954"/>
      <c r="X70" s="2954"/>
      <c r="Y70" s="2954"/>
      <c r="Z70" s="2954"/>
      <c r="AA70" s="2954"/>
      <c r="AB70" s="2954"/>
      <c r="AC70" s="2954"/>
      <c r="AD70" s="2954"/>
      <c r="AE70" s="2954"/>
    </row>
    <row r="71" spans="1:31" ht="15.75" thickBot="1">
      <c r="A71" s="491"/>
      <c r="B71" s="492"/>
      <c r="C71" s="493"/>
      <c r="D71" s="493"/>
      <c r="E71" s="493"/>
      <c r="F71" s="493"/>
      <c r="G71" s="493"/>
      <c r="H71" s="493"/>
      <c r="I71" s="493"/>
      <c r="J71" s="493"/>
      <c r="K71" s="493"/>
      <c r="L71" s="493"/>
      <c r="M71" s="494"/>
      <c r="N71" s="2983"/>
      <c r="O71" s="2983"/>
      <c r="P71" s="3007"/>
      <c r="Q71" s="2968"/>
      <c r="R71" s="2954"/>
      <c r="S71" s="2954"/>
      <c r="T71" s="2954"/>
      <c r="U71" s="2954"/>
      <c r="V71" s="2954"/>
      <c r="W71" s="2954"/>
      <c r="X71" s="2954"/>
      <c r="Y71" s="2954"/>
      <c r="Z71" s="2954"/>
      <c r="AA71" s="2954"/>
      <c r="AB71" s="2954"/>
      <c r="AC71" s="2954"/>
      <c r="AD71" s="2954"/>
      <c r="AE71" s="2954"/>
    </row>
    <row r="72" spans="1:31" ht="27.75" thickTop="1">
      <c r="A72" s="491"/>
      <c r="B72" s="495" t="s">
        <v>2378</v>
      </c>
      <c r="C72" s="496"/>
      <c r="D72" s="496"/>
      <c r="E72" s="496"/>
      <c r="F72" s="496"/>
      <c r="G72" s="496"/>
      <c r="H72" s="496"/>
      <c r="I72" s="496"/>
      <c r="J72" s="496"/>
      <c r="K72" s="497"/>
      <c r="L72" s="498"/>
      <c r="M72" s="499"/>
      <c r="N72" s="2982"/>
      <c r="O72" s="2982"/>
      <c r="P72" s="3007"/>
      <c r="Q72" s="2968"/>
      <c r="R72" s="2954"/>
      <c r="S72" s="2954"/>
      <c r="T72" s="2954"/>
      <c r="U72" s="2954"/>
      <c r="V72" s="2954"/>
      <c r="W72" s="2954"/>
      <c r="X72" s="2954"/>
      <c r="Y72" s="2954"/>
      <c r="Z72" s="2954"/>
      <c r="AA72" s="2954"/>
      <c r="AB72" s="2954"/>
      <c r="AC72" s="2954"/>
      <c r="AD72" s="2954"/>
      <c r="AE72" s="2954"/>
    </row>
    <row r="73" spans="1:31" ht="15.75" thickBot="1">
      <c r="A73" s="491"/>
      <c r="B73" s="500"/>
      <c r="C73" s="501"/>
      <c r="D73" s="501"/>
      <c r="E73" s="501"/>
      <c r="F73" s="501"/>
      <c r="G73" s="501"/>
      <c r="H73" s="501"/>
      <c r="I73" s="501"/>
      <c r="J73" s="501"/>
      <c r="K73" s="501"/>
      <c r="L73" s="501"/>
      <c r="M73" s="502"/>
      <c r="N73" s="2983"/>
      <c r="O73" s="2983"/>
      <c r="P73" s="3007"/>
      <c r="Q73" s="2968"/>
      <c r="R73" s="2954"/>
      <c r="S73" s="2954"/>
      <c r="T73" s="2954"/>
      <c r="U73" s="2954"/>
      <c r="V73" s="2954"/>
      <c r="W73" s="2954"/>
      <c r="X73" s="2954"/>
      <c r="Y73" s="2954"/>
      <c r="Z73" s="2954"/>
      <c r="AA73" s="2954"/>
      <c r="AB73" s="2954"/>
      <c r="AC73" s="2954"/>
      <c r="AD73" s="2954"/>
      <c r="AE73" s="2954"/>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3"/>
      <c r="O74" s="2983"/>
      <c r="P74" s="3007"/>
      <c r="Q74" s="2968"/>
      <c r="R74" s="2954"/>
      <c r="S74" s="2954"/>
      <c r="T74" s="2954"/>
      <c r="U74" s="2954"/>
      <c r="V74" s="2954"/>
      <c r="W74" s="2954"/>
      <c r="X74" s="2954"/>
      <c r="Y74" s="2954"/>
      <c r="Z74" s="2954"/>
      <c r="AA74" s="2954"/>
      <c r="AB74" s="2954"/>
      <c r="AC74" s="2954"/>
      <c r="AD74" s="2954"/>
      <c r="AE74" s="2954"/>
    </row>
    <row r="75" spans="1:31" ht="15">
      <c r="A75" s="491"/>
      <c r="B75" s="505"/>
      <c r="C75" s="506"/>
      <c r="D75" s="506"/>
      <c r="E75" s="506"/>
      <c r="F75" s="506"/>
      <c r="G75" s="506"/>
      <c r="H75" s="506"/>
      <c r="I75" s="506"/>
      <c r="J75" s="506"/>
      <c r="K75" s="507"/>
      <c r="L75" s="508"/>
      <c r="M75" s="509"/>
      <c r="N75" s="2982"/>
      <c r="O75" s="2982"/>
      <c r="P75" s="3007"/>
      <c r="Q75" s="2968"/>
      <c r="R75" s="2954"/>
      <c r="S75" s="2954"/>
      <c r="T75" s="2954"/>
      <c r="U75" s="2954"/>
      <c r="V75" s="2954"/>
      <c r="W75" s="2954"/>
      <c r="X75" s="2954"/>
      <c r="Y75" s="2954"/>
      <c r="Z75" s="2954"/>
      <c r="AA75" s="2954"/>
      <c r="AB75" s="2954"/>
      <c r="AC75" s="2954"/>
      <c r="AD75" s="2954"/>
      <c r="AE75" s="295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3"/>
      <c r="O76" s="2983"/>
      <c r="P76" s="3007"/>
      <c r="Q76" s="2968"/>
      <c r="R76" s="2954"/>
      <c r="S76" s="2954"/>
      <c r="T76" s="2954"/>
      <c r="U76" s="2954"/>
      <c r="V76" s="2954"/>
      <c r="W76" s="2954"/>
      <c r="X76" s="2954"/>
      <c r="Y76" s="2954"/>
      <c r="Z76" s="2954"/>
      <c r="AA76" s="2954"/>
      <c r="AB76" s="2954"/>
      <c r="AC76" s="2954"/>
      <c r="AD76" s="2954"/>
      <c r="AE76" s="2954"/>
    </row>
    <row r="77" spans="1:31" s="430" customFormat="1" ht="15.75" thickTop="1">
      <c r="A77" s="510"/>
      <c r="B77" s="495">
        <f>B12</f>
        <v>111</v>
      </c>
      <c r="C77" s="511"/>
      <c r="D77" s="511"/>
      <c r="E77" s="511"/>
      <c r="F77" s="511"/>
      <c r="G77" s="511"/>
      <c r="H77" s="512"/>
      <c r="I77" s="512"/>
      <c r="J77" s="512"/>
      <c r="K77" s="512"/>
      <c r="L77" s="513"/>
      <c r="M77" s="514"/>
      <c r="N77" s="2984"/>
      <c r="O77" s="2984"/>
      <c r="P77" s="3008"/>
      <c r="Q77" s="2975"/>
      <c r="R77" s="2976"/>
      <c r="S77" s="2976"/>
      <c r="T77" s="2976"/>
      <c r="U77" s="2976"/>
      <c r="V77" s="2976"/>
      <c r="W77" s="2976"/>
      <c r="X77" s="2976"/>
      <c r="Y77" s="2976"/>
      <c r="Z77" s="2976"/>
      <c r="AA77" s="2976"/>
      <c r="AB77" s="2976"/>
      <c r="AC77" s="2976"/>
      <c r="AD77" s="2976"/>
      <c r="AE77" s="2976"/>
    </row>
    <row r="78" spans="1:31" s="430" customFormat="1" ht="15.75" thickBot="1">
      <c r="A78" s="510"/>
      <c r="B78" s="500"/>
      <c r="C78" s="517"/>
      <c r="D78" s="493"/>
      <c r="E78" s="493"/>
      <c r="F78" s="493"/>
      <c r="G78" s="493"/>
      <c r="H78" s="493"/>
      <c r="I78" s="493"/>
      <c r="J78" s="493"/>
      <c r="K78" s="493"/>
      <c r="L78" s="493"/>
      <c r="M78" s="494"/>
      <c r="N78" s="2983"/>
      <c r="O78" s="2983"/>
      <c r="P78" s="3008"/>
      <c r="Q78" s="2975"/>
      <c r="R78" s="2976"/>
      <c r="S78" s="2976"/>
      <c r="T78" s="2976"/>
      <c r="U78" s="2976"/>
      <c r="V78" s="2976"/>
      <c r="W78" s="2976"/>
      <c r="X78" s="2976"/>
      <c r="Y78" s="2976"/>
      <c r="Z78" s="2976"/>
      <c r="AA78" s="2976"/>
      <c r="AB78" s="2976"/>
      <c r="AC78" s="2976"/>
      <c r="AD78" s="2976"/>
      <c r="AE78" s="2976"/>
    </row>
    <row r="79" spans="1:31" s="430" customFormat="1" ht="15.75" thickTop="1">
      <c r="A79" s="510"/>
      <c r="B79" s="495">
        <f>B13</f>
        <v>111</v>
      </c>
      <c r="C79" s="511"/>
      <c r="D79" s="511"/>
      <c r="E79" s="511"/>
      <c r="F79" s="511"/>
      <c r="G79" s="511"/>
      <c r="H79" s="512"/>
      <c r="I79" s="512"/>
      <c r="J79" s="512"/>
      <c r="K79" s="512"/>
      <c r="L79" s="513"/>
      <c r="M79" s="514"/>
      <c r="N79" s="2984"/>
      <c r="O79" s="2984"/>
      <c r="P79" s="2952"/>
      <c r="Q79" s="2978"/>
      <c r="R79" s="2976"/>
      <c r="S79" s="2976"/>
      <c r="T79" s="2976"/>
      <c r="U79" s="2976"/>
      <c r="V79" s="2976"/>
      <c r="W79" s="2976"/>
      <c r="X79" s="2976"/>
      <c r="Y79" s="2976"/>
      <c r="Z79" s="2976"/>
      <c r="AA79" s="2976"/>
      <c r="AB79" s="2976"/>
      <c r="AC79" s="2976"/>
      <c r="AD79" s="2976"/>
      <c r="AE79" s="2976"/>
    </row>
    <row r="80" spans="1:31" s="430" customFormat="1" ht="15.75" thickBot="1">
      <c r="A80" s="510"/>
      <c r="B80" s="500"/>
      <c r="C80" s="517"/>
      <c r="D80" s="517"/>
      <c r="E80" s="517"/>
      <c r="F80" s="517"/>
      <c r="G80" s="517"/>
      <c r="H80" s="519"/>
      <c r="I80" s="519"/>
      <c r="J80" s="519"/>
      <c r="K80" s="519"/>
      <c r="L80" s="519"/>
      <c r="M80" s="520"/>
      <c r="N80" s="2984"/>
      <c r="O80" s="2984"/>
      <c r="P80" s="3008"/>
      <c r="Q80" s="2975"/>
      <c r="R80" s="2976"/>
      <c r="S80" s="2976"/>
      <c r="T80" s="2976"/>
      <c r="U80" s="2976"/>
      <c r="V80" s="2976"/>
      <c r="W80" s="2976"/>
      <c r="X80" s="2976"/>
      <c r="Y80" s="2976"/>
      <c r="Z80" s="2976"/>
      <c r="AA80" s="2976"/>
      <c r="AB80" s="2976"/>
      <c r="AC80" s="2976"/>
      <c r="AD80" s="2976"/>
      <c r="AE80" s="2976"/>
    </row>
    <row r="81" spans="1:31" s="430" customFormat="1" ht="15.75" thickTop="1">
      <c r="A81" s="510"/>
      <c r="B81" s="503">
        <f>B14</f>
        <v>111</v>
      </c>
      <c r="C81" s="480"/>
      <c r="D81" s="480"/>
      <c r="E81" s="480"/>
      <c r="F81" s="480"/>
      <c r="G81" s="480"/>
      <c r="H81" s="521"/>
      <c r="I81" s="521"/>
      <c r="J81" s="521"/>
      <c r="K81" s="521"/>
      <c r="L81" s="522"/>
      <c r="M81" s="523"/>
      <c r="N81" s="2984"/>
      <c r="O81" s="2984"/>
      <c r="P81" s="3013"/>
      <c r="Q81" s="2975"/>
      <c r="R81" s="2976"/>
      <c r="S81" s="2976"/>
      <c r="T81" s="2976"/>
      <c r="U81" s="2976"/>
      <c r="V81" s="2976"/>
      <c r="W81" s="2976"/>
      <c r="X81" s="2976"/>
      <c r="Y81" s="2976"/>
      <c r="Z81" s="2976"/>
      <c r="AA81" s="2976"/>
      <c r="AB81" s="2976"/>
      <c r="AC81" s="2976"/>
      <c r="AD81" s="2976"/>
      <c r="AE81" s="2976"/>
    </row>
    <row r="82" spans="1:31" s="430" customFormat="1" ht="15.75" thickBot="1">
      <c r="A82" s="525"/>
      <c r="B82" s="526"/>
      <c r="C82" s="527"/>
      <c r="D82" s="527"/>
      <c r="E82" s="527"/>
      <c r="F82" s="527"/>
      <c r="G82" s="527"/>
      <c r="H82" s="528"/>
      <c r="I82" s="528"/>
      <c r="J82" s="528"/>
      <c r="K82" s="528"/>
      <c r="L82" s="528"/>
      <c r="M82" s="529"/>
      <c r="N82" s="2984"/>
      <c r="O82" s="2984"/>
      <c r="P82" s="3008"/>
      <c r="Q82" s="2975"/>
      <c r="R82" s="2976"/>
      <c r="S82" s="2976"/>
      <c r="T82" s="2976"/>
      <c r="U82" s="2976"/>
      <c r="V82" s="2976"/>
      <c r="W82" s="2976"/>
      <c r="X82" s="2976"/>
      <c r="Y82" s="2976"/>
      <c r="Z82" s="2976"/>
      <c r="AA82" s="2976"/>
      <c r="AB82" s="2976"/>
      <c r="AC82" s="2976"/>
      <c r="AD82" s="2976"/>
      <c r="AE82" s="2976"/>
    </row>
    <row r="83" spans="1:31">
      <c r="A83" s="484" t="s">
        <v>2380</v>
      </c>
      <c r="B83" s="485" t="s">
        <v>2526</v>
      </c>
      <c r="C83" s="530" t="s">
        <v>2418</v>
      </c>
      <c r="D83" s="530" t="s">
        <v>2419</v>
      </c>
      <c r="E83" s="530" t="s">
        <v>2420</v>
      </c>
      <c r="F83" s="530" t="s">
        <v>2421</v>
      </c>
      <c r="G83" s="530" t="s">
        <v>2422</v>
      </c>
      <c r="H83" s="486"/>
      <c r="I83" s="486"/>
      <c r="J83" s="486"/>
      <c r="K83" s="531"/>
      <c r="L83" s="532"/>
      <c r="M83" s="533"/>
      <c r="N83" s="2982"/>
      <c r="O83" s="2982"/>
      <c r="P83" s="3009"/>
      <c r="Q83" s="2968"/>
      <c r="R83" s="2954"/>
      <c r="S83" s="2954"/>
      <c r="T83" s="2954"/>
      <c r="U83" s="2954"/>
      <c r="V83" s="2954"/>
      <c r="W83" s="2954"/>
      <c r="X83" s="2954"/>
      <c r="Y83" s="2954"/>
      <c r="Z83" s="2954"/>
      <c r="AA83" s="2954"/>
      <c r="AB83" s="2954"/>
      <c r="AC83" s="2954"/>
      <c r="AD83" s="2954"/>
      <c r="AE83" s="295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3"/>
      <c r="O84" s="2983"/>
      <c r="P84" s="3007"/>
      <c r="Q84" s="2968"/>
      <c r="R84" s="2954"/>
      <c r="S84" s="2954"/>
      <c r="T84" s="2954"/>
      <c r="U84" s="2954"/>
      <c r="V84" s="2954"/>
      <c r="W84" s="2954"/>
      <c r="X84" s="2954"/>
      <c r="Y84" s="2954"/>
      <c r="Z84" s="2954"/>
      <c r="AA84" s="2954"/>
      <c r="AB84" s="2954"/>
      <c r="AC84" s="2954"/>
      <c r="AD84" s="2954"/>
      <c r="AE84" s="2954"/>
    </row>
    <row r="85" spans="1:31" ht="15.75" thickTop="1">
      <c r="A85" s="491"/>
      <c r="B85" s="495" t="s">
        <v>2423</v>
      </c>
      <c r="C85" s="535" t="s">
        <v>2418</v>
      </c>
      <c r="D85" s="535" t="s">
        <v>2419</v>
      </c>
      <c r="E85" s="535" t="s">
        <v>2420</v>
      </c>
      <c r="F85" s="535" t="s">
        <v>2421</v>
      </c>
      <c r="G85" s="535" t="s">
        <v>2422</v>
      </c>
      <c r="H85" s="496"/>
      <c r="I85" s="496"/>
      <c r="J85" s="496"/>
      <c r="K85" s="497"/>
      <c r="L85" s="498"/>
      <c r="M85" s="499"/>
      <c r="N85" s="2982"/>
      <c r="O85" s="2982"/>
      <c r="P85" s="3007"/>
      <c r="Q85" s="2968"/>
      <c r="R85" s="2954"/>
      <c r="S85" s="2954"/>
      <c r="T85" s="2954"/>
      <c r="U85" s="2954"/>
      <c r="V85" s="2954"/>
      <c r="W85" s="2954"/>
      <c r="X85" s="2954"/>
      <c r="Y85" s="2954"/>
      <c r="Z85" s="2954"/>
      <c r="AA85" s="2954"/>
      <c r="AB85" s="2954"/>
      <c r="AC85" s="2954"/>
      <c r="AD85" s="2954"/>
      <c r="AE85" s="295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3"/>
      <c r="O86" s="2983"/>
      <c r="P86" s="3007"/>
      <c r="Q86" s="2968"/>
      <c r="R86" s="2954"/>
      <c r="S86" s="2954"/>
      <c r="T86" s="2954"/>
      <c r="U86" s="2954"/>
      <c r="V86" s="2954"/>
      <c r="W86" s="2954"/>
      <c r="X86" s="2954"/>
      <c r="Y86" s="2954"/>
      <c r="Z86" s="2954"/>
      <c r="AA86" s="2954"/>
      <c r="AB86" s="2954"/>
      <c r="AC86" s="2954"/>
      <c r="AD86" s="2954"/>
      <c r="AE86" s="2954"/>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81"/>
      <c r="O87" s="2981"/>
      <c r="P87" s="3007"/>
      <c r="Q87" s="2968"/>
      <c r="R87" s="2888"/>
      <c r="S87" s="2888"/>
      <c r="T87" s="2888"/>
      <c r="U87" s="2888"/>
      <c r="V87" s="2888"/>
      <c r="W87" s="2888"/>
      <c r="X87" s="2888"/>
      <c r="Y87" s="2888"/>
      <c r="Z87" s="2888"/>
      <c r="AA87" s="2888"/>
      <c r="AB87" s="2888"/>
      <c r="AC87" s="2888"/>
      <c r="AD87" s="2888"/>
      <c r="AE87" s="288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3"/>
      <c r="O88" s="2983"/>
      <c r="P88" s="3007"/>
      <c r="Q88" s="2968"/>
      <c r="R88" s="2888"/>
      <c r="S88" s="2888"/>
      <c r="T88" s="2888"/>
      <c r="U88" s="2888"/>
      <c r="V88" s="2888"/>
      <c r="W88" s="2888"/>
      <c r="X88" s="2888"/>
      <c r="Y88" s="2888"/>
      <c r="Z88" s="2888"/>
      <c r="AA88" s="2888"/>
      <c r="AB88" s="2888"/>
      <c r="AC88" s="2888"/>
      <c r="AD88" s="2888"/>
      <c r="AE88" s="2888"/>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81"/>
      <c r="O89" s="2981"/>
      <c r="P89" s="3007"/>
      <c r="Q89" s="2968"/>
      <c r="R89" s="2888"/>
      <c r="S89" s="2888"/>
      <c r="T89" s="2888"/>
      <c r="U89" s="2888"/>
      <c r="V89" s="2888"/>
      <c r="W89" s="2888"/>
      <c r="X89" s="2888"/>
      <c r="Y89" s="2888"/>
      <c r="Z89" s="2888"/>
      <c r="AA89" s="2888"/>
      <c r="AB89" s="2888"/>
      <c r="AC89" s="2888"/>
      <c r="AD89" s="2888"/>
      <c r="AE89" s="288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3"/>
      <c r="O90" s="2983"/>
      <c r="P90" s="3007"/>
      <c r="Q90" s="2968"/>
      <c r="R90" s="2888"/>
      <c r="S90" s="2888"/>
      <c r="T90" s="2888"/>
      <c r="U90" s="2888"/>
      <c r="V90" s="2888"/>
      <c r="W90" s="2888"/>
      <c r="X90" s="2888"/>
      <c r="Y90" s="2888"/>
      <c r="Z90" s="2888"/>
      <c r="AA90" s="2888"/>
      <c r="AB90" s="2888"/>
      <c r="AC90" s="2888"/>
      <c r="AD90" s="2888"/>
      <c r="AE90" s="2888"/>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4"/>
      <c r="O91" s="2984"/>
      <c r="P91" s="3008"/>
      <c r="Q91" s="2975"/>
      <c r="R91" s="2976"/>
      <c r="S91" s="2976"/>
      <c r="T91" s="2976"/>
      <c r="U91" s="2976"/>
      <c r="V91" s="2976"/>
      <c r="W91" s="2976"/>
      <c r="X91" s="2976"/>
      <c r="Y91" s="2976"/>
      <c r="Z91" s="2976"/>
      <c r="AA91" s="2976"/>
      <c r="AB91" s="2976"/>
      <c r="AC91" s="2976"/>
      <c r="AD91" s="2976"/>
      <c r="AE91" s="297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4"/>
      <c r="O92" s="2984"/>
      <c r="P92" s="3008"/>
      <c r="Q92" s="2975"/>
      <c r="R92" s="2976"/>
      <c r="S92" s="2976"/>
      <c r="T92" s="2976"/>
      <c r="U92" s="2976"/>
      <c r="V92" s="2976"/>
      <c r="W92" s="2976"/>
      <c r="X92" s="2976"/>
      <c r="Y92" s="2976"/>
      <c r="Z92" s="2976"/>
      <c r="AA92" s="2976"/>
      <c r="AB92" s="2976"/>
      <c r="AC92" s="2976"/>
      <c r="AD92" s="2976"/>
      <c r="AE92" s="2976"/>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4"/>
      <c r="O93" s="2984"/>
      <c r="P93" s="3008"/>
      <c r="Q93" s="2975"/>
      <c r="R93" s="2976"/>
      <c r="S93" s="2976"/>
      <c r="T93" s="2976"/>
      <c r="U93" s="2976"/>
      <c r="V93" s="2976"/>
      <c r="W93" s="2976"/>
      <c r="X93" s="2976"/>
      <c r="Y93" s="2976"/>
      <c r="Z93" s="2976"/>
      <c r="AA93" s="2976"/>
      <c r="AB93" s="2976"/>
      <c r="AC93" s="2976"/>
      <c r="AD93" s="2976"/>
      <c r="AE93" s="297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4"/>
      <c r="O94" s="2984"/>
      <c r="P94" s="3008"/>
      <c r="Q94" s="2975"/>
      <c r="R94" s="2976"/>
      <c r="S94" s="2976"/>
      <c r="T94" s="2976"/>
      <c r="U94" s="2976"/>
      <c r="V94" s="2976"/>
      <c r="W94" s="2976"/>
      <c r="X94" s="2976"/>
      <c r="Y94" s="2976"/>
      <c r="Z94" s="2976"/>
      <c r="AA94" s="2976"/>
      <c r="AB94" s="2976"/>
      <c r="AC94" s="2976"/>
      <c r="AD94" s="2976"/>
      <c r="AE94" s="2976"/>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82"/>
      <c r="O95" s="2982"/>
      <c r="P95" s="3007"/>
      <c r="Q95" s="2968"/>
      <c r="R95" s="2954"/>
      <c r="S95" s="2954"/>
      <c r="T95" s="2954"/>
      <c r="U95" s="2954"/>
      <c r="V95" s="2954"/>
      <c r="W95" s="2954"/>
      <c r="X95" s="2954"/>
      <c r="Y95" s="2954"/>
      <c r="Z95" s="2954"/>
      <c r="AA95" s="2954"/>
      <c r="AB95" s="2954"/>
      <c r="AC95" s="2954"/>
      <c r="AD95" s="2954"/>
      <c r="AE95" s="295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3"/>
      <c r="O96" s="2983"/>
      <c r="P96" s="3007"/>
      <c r="Q96" s="2968"/>
      <c r="R96" s="2954"/>
      <c r="S96" s="2954"/>
      <c r="T96" s="2954"/>
      <c r="U96" s="2954"/>
      <c r="V96" s="2954"/>
      <c r="W96" s="2954"/>
      <c r="X96" s="2954"/>
      <c r="Y96" s="2954"/>
      <c r="Z96" s="2954"/>
      <c r="AA96" s="2954"/>
      <c r="AB96" s="2954"/>
      <c r="AC96" s="2954"/>
      <c r="AD96" s="2954"/>
      <c r="AE96" s="2954"/>
    </row>
    <row r="97" spans="1:31" ht="27.75" thickTop="1">
      <c r="A97" s="491"/>
      <c r="B97" s="495" t="s">
        <v>2512</v>
      </c>
      <c r="C97" s="511"/>
      <c r="D97" s="511"/>
      <c r="E97" s="511"/>
      <c r="F97" s="511"/>
      <c r="G97" s="511"/>
      <c r="H97" s="540"/>
      <c r="I97" s="540"/>
      <c r="J97" s="540"/>
      <c r="K97" s="541"/>
      <c r="L97" s="542"/>
      <c r="M97" s="543"/>
      <c r="N97" s="2982"/>
      <c r="O97" s="2982"/>
      <c r="P97" s="3007"/>
      <c r="Q97" s="2968"/>
      <c r="R97" s="2954"/>
      <c r="S97" s="2954"/>
      <c r="T97" s="2954"/>
      <c r="U97" s="2954"/>
      <c r="V97" s="2954"/>
      <c r="W97" s="2954"/>
      <c r="X97" s="2954"/>
      <c r="Y97" s="2954"/>
      <c r="Z97" s="2954"/>
      <c r="AA97" s="2954"/>
      <c r="AB97" s="2954"/>
      <c r="AC97" s="2954"/>
      <c r="AD97" s="2954"/>
      <c r="AE97" s="295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3"/>
      <c r="O98" s="2983"/>
      <c r="P98" s="3007"/>
      <c r="Q98" s="2968"/>
      <c r="R98" s="2954"/>
      <c r="S98" s="2954"/>
      <c r="T98" s="2954"/>
      <c r="U98" s="2954"/>
      <c r="V98" s="2954"/>
      <c r="W98" s="2954"/>
      <c r="X98" s="2954"/>
      <c r="Y98" s="2954"/>
      <c r="Z98" s="2954"/>
      <c r="AA98" s="2954"/>
      <c r="AB98" s="2954"/>
      <c r="AC98" s="2954"/>
      <c r="AD98" s="2954"/>
      <c r="AE98" s="2954"/>
    </row>
    <row r="99" spans="1:31" ht="15.75" thickTop="1">
      <c r="A99" s="491"/>
      <c r="B99" s="495" t="s">
        <v>2571</v>
      </c>
      <c r="C99" s="540"/>
      <c r="D99" s="540"/>
      <c r="E99" s="540"/>
      <c r="F99" s="540"/>
      <c r="G99" s="540"/>
      <c r="H99" s="540"/>
      <c r="I99" s="540"/>
      <c r="J99" s="540"/>
      <c r="K99" s="541"/>
      <c r="L99" s="542"/>
      <c r="M99" s="543"/>
      <c r="N99" s="2982"/>
      <c r="O99" s="2982"/>
      <c r="P99" s="3007"/>
      <c r="Q99" s="2968"/>
      <c r="R99" s="2954"/>
      <c r="S99" s="2954"/>
      <c r="T99" s="2954"/>
      <c r="U99" s="2954"/>
      <c r="V99" s="2954"/>
      <c r="W99" s="2954"/>
      <c r="X99" s="2954"/>
      <c r="Y99" s="2954"/>
      <c r="Z99" s="2954"/>
      <c r="AA99" s="2954"/>
      <c r="AB99" s="2954"/>
      <c r="AC99" s="2954"/>
      <c r="AD99" s="2954"/>
      <c r="AE99" s="295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3"/>
      <c r="O100" s="2983"/>
      <c r="P100" s="3007"/>
      <c r="Q100" s="2968"/>
      <c r="R100" s="2954"/>
      <c r="S100" s="2954"/>
      <c r="T100" s="2954"/>
      <c r="U100" s="2954"/>
      <c r="V100" s="2954"/>
      <c r="W100" s="2954"/>
      <c r="X100" s="2954"/>
      <c r="Y100" s="2954"/>
      <c r="Z100" s="2954"/>
      <c r="AA100" s="2954"/>
      <c r="AB100" s="2954"/>
      <c r="AC100" s="2954"/>
      <c r="AD100" s="2954"/>
      <c r="AE100" s="2954"/>
    </row>
    <row r="101" spans="1:31" ht="15.75" thickTop="1">
      <c r="A101" s="491"/>
      <c r="B101" s="503">
        <f>B31</f>
        <v>111</v>
      </c>
      <c r="C101" s="511"/>
      <c r="D101" s="511"/>
      <c r="E101" s="511"/>
      <c r="F101" s="511"/>
      <c r="G101" s="544"/>
      <c r="H101" s="544"/>
      <c r="I101" s="544"/>
      <c r="J101" s="544"/>
      <c r="K101" s="545"/>
      <c r="L101" s="546"/>
      <c r="M101" s="547"/>
      <c r="N101" s="2982"/>
      <c r="O101" s="2982"/>
      <c r="P101" s="3007"/>
      <c r="Q101" s="2968"/>
      <c r="R101" s="2954"/>
      <c r="S101" s="2954"/>
      <c r="T101" s="2954"/>
      <c r="U101" s="2954"/>
      <c r="V101" s="2954"/>
      <c r="W101" s="2954"/>
      <c r="X101" s="2954"/>
      <c r="Y101" s="2954"/>
      <c r="Z101" s="2954"/>
      <c r="AA101" s="2954"/>
      <c r="AB101" s="2954"/>
      <c r="AC101" s="2954"/>
      <c r="AD101" s="2954"/>
      <c r="AE101" s="2954"/>
    </row>
    <row r="102" spans="1:31" ht="15.75" thickBot="1">
      <c r="A102" s="491"/>
      <c r="B102" s="526"/>
      <c r="C102" s="517"/>
      <c r="D102" s="493"/>
      <c r="E102" s="493"/>
      <c r="F102" s="493"/>
      <c r="G102" s="548"/>
      <c r="H102" s="548"/>
      <c r="I102" s="548"/>
      <c r="J102" s="548"/>
      <c r="K102" s="548"/>
      <c r="L102" s="548"/>
      <c r="M102" s="549"/>
      <c r="N102" s="2983"/>
      <c r="O102" s="2983"/>
      <c r="P102" s="3007"/>
      <c r="Q102" s="2968"/>
      <c r="R102" s="2954"/>
      <c r="S102" s="2954"/>
      <c r="T102" s="2954"/>
      <c r="U102" s="2954"/>
      <c r="V102" s="2954"/>
      <c r="W102" s="2954"/>
      <c r="X102" s="2954"/>
      <c r="Y102" s="2954"/>
      <c r="Z102" s="2954"/>
      <c r="AA102" s="2954"/>
      <c r="AB102" s="2954"/>
      <c r="AC102" s="2954"/>
      <c r="AD102" s="2954"/>
      <c r="AE102" s="2954"/>
    </row>
    <row r="103" spans="1:31" ht="15" thickTop="1">
      <c r="A103" s="631"/>
      <c r="B103" s="495">
        <f>B32</f>
        <v>111</v>
      </c>
      <c r="C103" s="511"/>
      <c r="D103" s="511"/>
      <c r="E103" s="511"/>
      <c r="F103" s="511"/>
      <c r="G103" s="540"/>
      <c r="H103" s="540"/>
      <c r="I103" s="540"/>
      <c r="J103" s="540"/>
      <c r="K103" s="541"/>
      <c r="L103" s="542"/>
      <c r="M103" s="543"/>
      <c r="N103" s="2982"/>
      <c r="O103" s="2982"/>
      <c r="P103" s="3007"/>
      <c r="Q103" s="2968"/>
      <c r="R103" s="2954"/>
      <c r="S103" s="2954"/>
      <c r="T103" s="2954"/>
      <c r="U103" s="2954"/>
      <c r="V103" s="2954"/>
      <c r="W103" s="2954"/>
      <c r="X103" s="2954"/>
      <c r="Y103" s="2954"/>
      <c r="Z103" s="2954"/>
      <c r="AA103" s="2954"/>
      <c r="AB103" s="2954"/>
      <c r="AC103" s="2954"/>
      <c r="AD103" s="2954"/>
      <c r="AE103" s="2954"/>
    </row>
    <row r="104" spans="1:31" ht="15.75" thickBot="1">
      <c r="A104" s="491"/>
      <c r="B104" s="500"/>
      <c r="C104" s="517"/>
      <c r="D104" s="517"/>
      <c r="E104" s="517"/>
      <c r="F104" s="517"/>
      <c r="G104" s="493"/>
      <c r="H104" s="493"/>
      <c r="I104" s="493"/>
      <c r="J104" s="493"/>
      <c r="K104" s="493"/>
      <c r="L104" s="493"/>
      <c r="M104" s="494"/>
      <c r="N104" s="2983"/>
      <c r="O104" s="2983"/>
      <c r="P104" s="3007"/>
      <c r="Q104" s="2968"/>
      <c r="R104" s="2954"/>
      <c r="S104" s="2954"/>
      <c r="T104" s="2954"/>
      <c r="U104" s="2954"/>
      <c r="V104" s="2954"/>
      <c r="W104" s="2954"/>
      <c r="X104" s="2954"/>
      <c r="Y104" s="2954"/>
      <c r="Z104" s="2954"/>
      <c r="AA104" s="2954"/>
      <c r="AB104" s="2954"/>
      <c r="AC104" s="2954"/>
      <c r="AD104" s="2954"/>
      <c r="AE104" s="2954"/>
    </row>
    <row r="105" spans="1:31" s="430" customFormat="1" ht="15" thickTop="1">
      <c r="A105" s="550"/>
      <c r="B105" s="551">
        <f>B33</f>
        <v>111</v>
      </c>
      <c r="C105" s="480"/>
      <c r="D105" s="480"/>
      <c r="E105" s="480"/>
      <c r="F105" s="480"/>
      <c r="G105" s="552"/>
      <c r="H105" s="552"/>
      <c r="I105" s="552"/>
      <c r="J105" s="553"/>
      <c r="K105" s="553"/>
      <c r="L105" s="554"/>
      <c r="M105" s="555"/>
      <c r="N105" s="2984"/>
      <c r="O105" s="2984"/>
      <c r="P105" s="3008"/>
      <c r="Q105" s="2975"/>
      <c r="R105" s="2976"/>
      <c r="S105" s="2976"/>
      <c r="T105" s="2976"/>
      <c r="U105" s="2976"/>
      <c r="V105" s="2976"/>
      <c r="W105" s="2976"/>
      <c r="X105" s="2976"/>
      <c r="Y105" s="2976"/>
      <c r="Z105" s="2976"/>
      <c r="AA105" s="2976"/>
      <c r="AB105" s="2976"/>
      <c r="AC105" s="2976"/>
      <c r="AD105" s="2976"/>
      <c r="AE105" s="2976"/>
    </row>
    <row r="106" spans="1:31" s="430" customFormat="1" ht="15.75" thickBot="1">
      <c r="A106" s="510"/>
      <c r="B106" s="503"/>
      <c r="C106" s="527"/>
      <c r="D106" s="527"/>
      <c r="E106" s="527"/>
      <c r="F106" s="527"/>
      <c r="G106" s="633"/>
      <c r="H106" s="633"/>
      <c r="I106" s="633"/>
      <c r="J106" s="633"/>
      <c r="K106" s="633"/>
      <c r="L106" s="633"/>
      <c r="M106" s="655"/>
      <c r="N106" s="2983"/>
      <c r="O106" s="2983"/>
      <c r="P106" s="3008"/>
      <c r="Q106" s="2975"/>
      <c r="R106" s="2976"/>
      <c r="S106" s="2976"/>
      <c r="T106" s="2976"/>
      <c r="U106" s="2976"/>
      <c r="V106" s="2976"/>
      <c r="W106" s="2976"/>
      <c r="X106" s="2976"/>
      <c r="Y106" s="2976"/>
      <c r="Z106" s="2976"/>
      <c r="AA106" s="2976"/>
      <c r="AB106" s="2976"/>
      <c r="AC106" s="2976"/>
      <c r="AD106" s="2976"/>
      <c r="AE106" s="2976"/>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82"/>
      <c r="O107" s="2982"/>
      <c r="P107" s="3007"/>
      <c r="Q107" s="2968"/>
      <c r="R107" s="2954"/>
      <c r="S107" s="2954"/>
      <c r="T107" s="2954"/>
      <c r="U107" s="2954"/>
      <c r="V107" s="2954"/>
      <c r="W107" s="2954"/>
      <c r="X107" s="2954"/>
      <c r="Y107" s="2954"/>
      <c r="Z107" s="2954"/>
      <c r="AA107" s="2954"/>
      <c r="AB107" s="2954"/>
      <c r="AC107" s="2954"/>
      <c r="AD107" s="2954"/>
      <c r="AE107" s="2954"/>
    </row>
    <row r="108" spans="1:31" ht="15">
      <c r="A108" s="491"/>
      <c r="B108" s="503"/>
      <c r="C108" s="552"/>
      <c r="D108" s="552"/>
      <c r="E108" s="552"/>
      <c r="F108" s="552"/>
      <c r="G108" s="552"/>
      <c r="H108" s="552"/>
      <c r="I108" s="552"/>
      <c r="J108" s="553"/>
      <c r="K108" s="553"/>
      <c r="L108" s="554"/>
      <c r="M108" s="555"/>
      <c r="N108" s="2982"/>
      <c r="O108" s="2982"/>
      <c r="P108" s="3007"/>
      <c r="Q108" s="2968"/>
      <c r="R108" s="2954"/>
      <c r="S108" s="2954"/>
      <c r="T108" s="2954"/>
      <c r="U108" s="2954"/>
      <c r="V108" s="2954"/>
      <c r="W108" s="2954"/>
      <c r="X108" s="2954"/>
      <c r="Y108" s="2954"/>
      <c r="Z108" s="2954"/>
      <c r="AA108" s="2954"/>
      <c r="AB108" s="2954"/>
      <c r="AC108" s="2954"/>
      <c r="AD108" s="2954"/>
      <c r="AE108" s="2954"/>
    </row>
    <row r="109" spans="1:31" ht="15.75" thickBot="1">
      <c r="A109" s="491"/>
      <c r="B109" s="500"/>
      <c r="C109" s="527"/>
      <c r="D109" s="548"/>
      <c r="E109" s="548"/>
      <c r="F109" s="548"/>
      <c r="G109" s="548"/>
      <c r="H109" s="548"/>
      <c r="I109" s="548"/>
      <c r="J109" s="548"/>
      <c r="K109" s="548"/>
      <c r="L109" s="548"/>
      <c r="M109" s="549"/>
      <c r="N109" s="2983"/>
      <c r="O109" s="2983"/>
      <c r="P109" s="3007"/>
      <c r="Q109" s="2968"/>
      <c r="R109" s="2954"/>
      <c r="S109" s="2954"/>
      <c r="T109" s="2954"/>
      <c r="U109" s="2954"/>
      <c r="V109" s="2954"/>
      <c r="W109" s="2954"/>
      <c r="X109" s="2954"/>
      <c r="Y109" s="2954"/>
      <c r="Z109" s="2954"/>
      <c r="AA109" s="2954"/>
      <c r="AB109" s="2954"/>
      <c r="AC109" s="2954"/>
      <c r="AD109" s="2954"/>
      <c r="AE109" s="2954"/>
    </row>
    <row r="110" spans="1:31" ht="15" thickTop="1">
      <c r="A110" s="556"/>
      <c r="B110" s="495" t="s">
        <v>2613</v>
      </c>
      <c r="C110" s="540"/>
      <c r="D110" s="540"/>
      <c r="E110" s="540"/>
      <c r="F110" s="540"/>
      <c r="G110" s="540"/>
      <c r="H110" s="540"/>
      <c r="I110" s="540"/>
      <c r="J110" s="540"/>
      <c r="K110" s="541"/>
      <c r="L110" s="542"/>
      <c r="M110" s="543"/>
      <c r="N110" s="2982"/>
      <c r="O110" s="2982"/>
      <c r="P110" s="3007"/>
      <c r="Q110" s="2968"/>
      <c r="R110" s="2954"/>
      <c r="S110" s="2954"/>
      <c r="T110" s="2954"/>
      <c r="U110" s="2954"/>
      <c r="V110" s="2954"/>
      <c r="W110" s="2954"/>
      <c r="X110" s="2954"/>
      <c r="Y110" s="2954"/>
      <c r="Z110" s="2954"/>
      <c r="AA110" s="2954"/>
      <c r="AB110" s="2954"/>
      <c r="AC110" s="2954"/>
      <c r="AD110" s="2954"/>
      <c r="AE110" s="295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3"/>
      <c r="O111" s="2983"/>
      <c r="P111" s="3007"/>
      <c r="Q111" s="2968"/>
      <c r="R111" s="2954"/>
      <c r="S111" s="2954"/>
      <c r="T111" s="2954"/>
      <c r="U111" s="2954"/>
      <c r="V111" s="2954"/>
      <c r="W111" s="2954"/>
      <c r="X111" s="2954"/>
      <c r="Y111" s="2954"/>
      <c r="Z111" s="2954"/>
      <c r="AA111" s="2954"/>
      <c r="AB111" s="2954"/>
      <c r="AC111" s="2954"/>
      <c r="AD111" s="2954"/>
      <c r="AE111" s="2954"/>
    </row>
    <row r="112" spans="1:31" s="430" customFormat="1" ht="15" thickTop="1">
      <c r="A112" s="550"/>
      <c r="B112" s="495" t="s">
        <v>2615</v>
      </c>
      <c r="C112" s="511"/>
      <c r="D112" s="511"/>
      <c r="E112" s="511"/>
      <c r="F112" s="511"/>
      <c r="G112" s="511"/>
      <c r="H112" s="540"/>
      <c r="I112" s="540"/>
      <c r="J112" s="540"/>
      <c r="K112" s="541"/>
      <c r="L112" s="542"/>
      <c r="M112" s="543"/>
      <c r="N112" s="2984"/>
      <c r="O112" s="2984"/>
      <c r="P112" s="3008"/>
      <c r="Q112" s="2975"/>
      <c r="R112" s="2976"/>
      <c r="S112" s="2976"/>
      <c r="T112" s="2976"/>
      <c r="U112" s="2976"/>
      <c r="V112" s="2976"/>
      <c r="W112" s="2976"/>
      <c r="X112" s="2976"/>
      <c r="Y112" s="2976"/>
      <c r="Z112" s="2976"/>
      <c r="AA112" s="2976"/>
      <c r="AB112" s="2976"/>
      <c r="AC112" s="2976"/>
      <c r="AD112" s="2976"/>
      <c r="AE112" s="297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4"/>
      <c r="O113" s="2984"/>
      <c r="P113" s="3008"/>
      <c r="Q113" s="2975"/>
      <c r="R113" s="2976"/>
      <c r="S113" s="2976"/>
      <c r="T113" s="2976"/>
      <c r="U113" s="2976"/>
      <c r="V113" s="2976"/>
      <c r="W113" s="2976"/>
      <c r="X113" s="2976"/>
      <c r="Y113" s="2976"/>
      <c r="Z113" s="2976"/>
      <c r="AA113" s="2976"/>
      <c r="AB113" s="2976"/>
      <c r="AC113" s="2976"/>
      <c r="AD113" s="2976"/>
      <c r="AE113" s="2976"/>
    </row>
    <row r="114" spans="1:31" ht="15" thickTop="1">
      <c r="A114" s="556"/>
      <c r="B114" s="495" t="s">
        <v>2616</v>
      </c>
      <c r="C114" s="511"/>
      <c r="D114" s="511"/>
      <c r="E114" s="540"/>
      <c r="F114" s="540"/>
      <c r="G114" s="540"/>
      <c r="H114" s="540"/>
      <c r="I114" s="540"/>
      <c r="J114" s="540"/>
      <c r="K114" s="541"/>
      <c r="L114" s="542"/>
      <c r="M114" s="543"/>
      <c r="N114" s="2982"/>
      <c r="O114" s="2982"/>
      <c r="P114" s="3007"/>
      <c r="Q114" s="2968"/>
      <c r="R114" s="2954"/>
      <c r="S114" s="2954"/>
      <c r="T114" s="2954"/>
      <c r="U114" s="2954"/>
      <c r="V114" s="2954"/>
      <c r="W114" s="2954"/>
      <c r="X114" s="2954"/>
      <c r="Y114" s="2954"/>
      <c r="Z114" s="2954"/>
      <c r="AA114" s="2954"/>
      <c r="AB114" s="2954"/>
      <c r="AC114" s="2954"/>
      <c r="AD114" s="2954"/>
      <c r="AE114" s="295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3"/>
      <c r="O115" s="2983"/>
      <c r="P115" s="3007"/>
      <c r="Q115" s="2968"/>
      <c r="R115" s="2954"/>
      <c r="S115" s="2954"/>
      <c r="T115" s="2954"/>
      <c r="U115" s="2954"/>
      <c r="V115" s="2954"/>
      <c r="W115" s="2954"/>
      <c r="X115" s="2954"/>
      <c r="Y115" s="2954"/>
      <c r="Z115" s="2954"/>
      <c r="AA115" s="2954"/>
      <c r="AB115" s="2954"/>
      <c r="AC115" s="2954"/>
      <c r="AD115" s="2954"/>
      <c r="AE115" s="2954"/>
    </row>
    <row r="116" spans="1:31" ht="15" thickTop="1">
      <c r="A116" s="556"/>
      <c r="B116" s="495">
        <f>B38</f>
        <v>111</v>
      </c>
      <c r="C116" s="511"/>
      <c r="D116" s="511"/>
      <c r="E116" s="511"/>
      <c r="F116" s="511"/>
      <c r="G116" s="511"/>
      <c r="H116" s="540"/>
      <c r="I116" s="540"/>
      <c r="J116" s="540"/>
      <c r="K116" s="541"/>
      <c r="L116" s="542"/>
      <c r="M116" s="543"/>
      <c r="N116" s="2982"/>
      <c r="O116" s="2982"/>
      <c r="P116" s="3007"/>
      <c r="Q116" s="2968"/>
      <c r="R116" s="2954"/>
      <c r="S116" s="2954"/>
      <c r="T116" s="2954"/>
      <c r="U116" s="2954"/>
      <c r="V116" s="2954"/>
      <c r="W116" s="2954"/>
      <c r="X116" s="2954"/>
      <c r="Y116" s="2954"/>
      <c r="Z116" s="2954"/>
      <c r="AA116" s="2954"/>
      <c r="AB116" s="2954"/>
      <c r="AC116" s="2954"/>
      <c r="AD116" s="2954"/>
      <c r="AE116" s="2954"/>
    </row>
    <row r="117" spans="1:31" ht="15.75" thickBot="1">
      <c r="A117" s="491"/>
      <c r="B117" s="500"/>
      <c r="C117" s="517"/>
      <c r="D117" s="493"/>
      <c r="E117" s="493"/>
      <c r="F117" s="493"/>
      <c r="G117" s="493"/>
      <c r="H117" s="493"/>
      <c r="I117" s="493"/>
      <c r="J117" s="493"/>
      <c r="K117" s="493"/>
      <c r="L117" s="493"/>
      <c r="M117" s="494"/>
      <c r="N117" s="2983"/>
      <c r="O117" s="2983"/>
      <c r="P117" s="3007"/>
      <c r="Q117" s="2968"/>
      <c r="R117" s="2954"/>
      <c r="S117" s="2954"/>
      <c r="T117" s="2954"/>
      <c r="U117" s="2954"/>
      <c r="V117" s="2954"/>
      <c r="W117" s="2954"/>
      <c r="X117" s="2954"/>
      <c r="Y117" s="2954"/>
      <c r="Z117" s="2954"/>
      <c r="AA117" s="2954"/>
      <c r="AB117" s="2954"/>
      <c r="AC117" s="2954"/>
      <c r="AD117" s="2954"/>
      <c r="AE117" s="2954"/>
    </row>
    <row r="118" spans="1:31" ht="15" thickTop="1">
      <c r="A118" s="556"/>
      <c r="B118" s="495">
        <f>B39</f>
        <v>111</v>
      </c>
      <c r="C118" s="511"/>
      <c r="D118" s="511"/>
      <c r="E118" s="511"/>
      <c r="F118" s="511"/>
      <c r="G118" s="540"/>
      <c r="H118" s="540"/>
      <c r="I118" s="540"/>
      <c r="J118" s="540"/>
      <c r="K118" s="541"/>
      <c r="L118" s="542"/>
      <c r="M118" s="543"/>
      <c r="N118" s="2982"/>
      <c r="O118" s="2982"/>
      <c r="P118" s="3007"/>
      <c r="Q118" s="2968"/>
      <c r="R118" s="2954"/>
      <c r="S118" s="2954"/>
      <c r="T118" s="2954"/>
      <c r="U118" s="2954"/>
      <c r="V118" s="2954"/>
      <c r="W118" s="2954"/>
      <c r="X118" s="2954"/>
      <c r="Y118" s="2954"/>
      <c r="Z118" s="2954"/>
      <c r="AA118" s="2954"/>
      <c r="AB118" s="2954"/>
      <c r="AC118" s="2954"/>
      <c r="AD118" s="2954"/>
      <c r="AE118" s="2954"/>
    </row>
    <row r="119" spans="1:31" ht="15.75" thickBot="1">
      <c r="A119" s="491"/>
      <c r="B119" s="500"/>
      <c r="C119" s="517"/>
      <c r="D119" s="517"/>
      <c r="E119" s="517"/>
      <c r="F119" s="517"/>
      <c r="G119" s="493"/>
      <c r="H119" s="493"/>
      <c r="I119" s="493"/>
      <c r="J119" s="493"/>
      <c r="K119" s="493"/>
      <c r="L119" s="493"/>
      <c r="M119" s="494"/>
      <c r="N119" s="2983"/>
      <c r="O119" s="2983"/>
      <c r="P119" s="3007"/>
      <c r="Q119" s="2968"/>
      <c r="R119" s="2954"/>
      <c r="S119" s="2954"/>
      <c r="T119" s="2954"/>
      <c r="U119" s="2954"/>
      <c r="V119" s="2954"/>
      <c r="W119" s="2954"/>
      <c r="X119" s="2954"/>
      <c r="Y119" s="2954"/>
      <c r="Z119" s="2954"/>
      <c r="AA119" s="2954"/>
      <c r="AB119" s="2954"/>
      <c r="AC119" s="2954"/>
      <c r="AD119" s="2954"/>
      <c r="AE119" s="2954"/>
    </row>
    <row r="120" spans="1:31" s="430" customFormat="1" ht="15" thickTop="1">
      <c r="A120" s="550"/>
      <c r="B120" s="495">
        <f>B40</f>
        <v>111</v>
      </c>
      <c r="C120" s="480"/>
      <c r="D120" s="480"/>
      <c r="E120" s="480"/>
      <c r="F120" s="480"/>
      <c r="G120" s="512"/>
      <c r="H120" s="512"/>
      <c r="I120" s="512"/>
      <c r="J120" s="512"/>
      <c r="K120" s="512"/>
      <c r="L120" s="513"/>
      <c r="M120" s="514"/>
      <c r="N120" s="2984"/>
      <c r="O120" s="2984"/>
      <c r="P120" s="3008"/>
      <c r="Q120" s="2975"/>
      <c r="R120" s="2976"/>
      <c r="S120" s="2976"/>
      <c r="T120" s="2976"/>
      <c r="U120" s="2976"/>
      <c r="V120" s="2976"/>
      <c r="W120" s="2976"/>
      <c r="X120" s="2976"/>
      <c r="Y120" s="2976"/>
      <c r="Z120" s="2976"/>
      <c r="AA120" s="2976"/>
      <c r="AB120" s="2976"/>
      <c r="AC120" s="2976"/>
      <c r="AD120" s="2976"/>
      <c r="AE120" s="2976"/>
    </row>
    <row r="121" spans="1:31" s="430" customFormat="1" ht="15.75" thickBot="1">
      <c r="A121" s="525"/>
      <c r="B121" s="656"/>
      <c r="C121" s="527"/>
      <c r="D121" s="527"/>
      <c r="E121" s="527"/>
      <c r="F121" s="527"/>
      <c r="G121" s="548"/>
      <c r="H121" s="548"/>
      <c r="I121" s="548"/>
      <c r="J121" s="548"/>
      <c r="K121" s="548"/>
      <c r="L121" s="548"/>
      <c r="M121" s="549"/>
      <c r="N121" s="2984"/>
      <c r="O121" s="2984"/>
      <c r="P121" s="3008"/>
      <c r="Q121" s="2975"/>
      <c r="R121" s="2976"/>
      <c r="S121" s="2976"/>
      <c r="T121" s="2976"/>
      <c r="U121" s="2976"/>
      <c r="V121" s="2976"/>
      <c r="W121" s="2976"/>
      <c r="X121" s="2976"/>
      <c r="Y121" s="2976"/>
      <c r="Z121" s="2976"/>
      <c r="AA121" s="2976"/>
      <c r="AB121" s="2976"/>
      <c r="AC121" s="2976"/>
      <c r="AD121" s="2976"/>
      <c r="AE121" s="2976"/>
    </row>
    <row r="122" spans="1:31">
      <c r="N122" s="2954"/>
      <c r="O122" s="2954"/>
      <c r="P122" s="2954"/>
      <c r="Q122" s="2954"/>
      <c r="R122" s="2954"/>
      <c r="S122" s="2954"/>
      <c r="T122" s="2954"/>
      <c r="U122" s="2954"/>
      <c r="V122" s="2954"/>
      <c r="W122" s="2954"/>
      <c r="X122" s="2954"/>
      <c r="Y122" s="2954"/>
      <c r="Z122" s="2954"/>
      <c r="AA122" s="2954"/>
      <c r="AB122" s="2954"/>
      <c r="AC122" s="2954"/>
      <c r="AD122" s="2954"/>
      <c r="AE122" s="2954"/>
    </row>
    <row r="123" spans="1:31">
      <c r="P123" s="2954"/>
      <c r="Q123" s="2954"/>
      <c r="R123" s="2954"/>
      <c r="S123" s="2954"/>
      <c r="T123" s="2954"/>
      <c r="U123" s="2954"/>
      <c r="V123" s="2954"/>
      <c r="W123" s="2954"/>
      <c r="X123" s="2954"/>
      <c r="Y123" s="2954"/>
      <c r="Z123" s="2954"/>
      <c r="AA123" s="2954"/>
      <c r="AB123" s="2954"/>
      <c r="AC123" s="2954"/>
      <c r="AD123" s="2954"/>
      <c r="AE123" s="2954"/>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41" priority="18" stopIfTrue="1" operator="containsText" text="超过">
      <formula>NOT(ISERROR(SEARCH("超过",F46)))</formula>
    </cfRule>
  </conditionalFormatting>
  <conditionalFormatting sqref="J48">
    <cfRule type="containsText" dxfId="40" priority="17" stopIfTrue="1" operator="containsText" text="超过">
      <formula>NOT(ISERROR(SEARCH("超过",J48)))</formula>
    </cfRule>
  </conditionalFormatting>
  <conditionalFormatting sqref="H48">
    <cfRule type="containsText" dxfId="39" priority="16" stopIfTrue="1" operator="containsText" text="超过">
      <formula>NOT(ISERROR(SEARCH("超过",H48)))</formula>
    </cfRule>
  </conditionalFormatting>
  <conditionalFormatting sqref="F48">
    <cfRule type="containsText" dxfId="38" priority="15" stopIfTrue="1" operator="containsText" text="超过">
      <formula>NOT(ISERROR(SEARCH("超过",F48)))</formula>
    </cfRule>
  </conditionalFormatting>
  <conditionalFormatting sqref="F47 H47 J47">
    <cfRule type="containsText" dxfId="37" priority="14" stopIfTrue="1" operator="containsText" text="超过">
      <formula>NOT(ISERROR(SEARCH("超过",F47)))</formula>
    </cfRule>
  </conditionalFormatting>
  <conditionalFormatting sqref="E46">
    <cfRule type="expression" dxfId="36" priority="13" stopIfTrue="1">
      <formula>$F$46="超过30%"</formula>
    </cfRule>
  </conditionalFormatting>
  <conditionalFormatting sqref="G48">
    <cfRule type="expression" dxfId="35" priority="12" stopIfTrue="1">
      <formula>$H$48="超过30%"</formula>
    </cfRule>
  </conditionalFormatting>
  <conditionalFormatting sqref="E48">
    <cfRule type="expression" dxfId="34" priority="10" stopIfTrue="1">
      <formula>$F$48="超过30%"</formula>
    </cfRule>
  </conditionalFormatting>
  <conditionalFormatting sqref="G46">
    <cfRule type="expression" dxfId="33" priority="9" stopIfTrue="1">
      <formula>$H$46="超过30%"</formula>
    </cfRule>
  </conditionalFormatting>
  <conditionalFormatting sqref="G47">
    <cfRule type="expression" dxfId="32" priority="8" stopIfTrue="1">
      <formula>$H$47="超过20%"</formula>
    </cfRule>
  </conditionalFormatting>
  <conditionalFormatting sqref="I46">
    <cfRule type="expression" dxfId="31" priority="7" stopIfTrue="1">
      <formula>$J$46="超过30%"</formula>
    </cfRule>
  </conditionalFormatting>
  <conditionalFormatting sqref="I47">
    <cfRule type="expression" dxfId="30" priority="6" stopIfTrue="1">
      <formula>$J$47="超过20%"</formula>
    </cfRule>
  </conditionalFormatting>
  <conditionalFormatting sqref="I48">
    <cfRule type="expression" dxfId="29" priority="5" stopIfTrue="1">
      <formula>$J$48="超过30%"</formula>
    </cfRule>
  </conditionalFormatting>
  <conditionalFormatting sqref="E47">
    <cfRule type="expression" dxfId="28" priority="53" stopIfTrue="1">
      <formula>#REF!+$F$47="超过20%"</formula>
    </cfRule>
  </conditionalFormatting>
  <conditionalFormatting sqref="F42">
    <cfRule type="expression" dxfId="27" priority="4">
      <formula>$D$42="简单平均"</formula>
    </cfRule>
  </conditionalFormatting>
  <conditionalFormatting sqref="H42">
    <cfRule type="expression" dxfId="26" priority="3">
      <formula>$D$42="简单平均"</formula>
    </cfRule>
  </conditionalFormatting>
  <conditionalFormatting sqref="J42">
    <cfRule type="expression" dxfId="25" priority="2">
      <formula>$D$42="简单平均"</formula>
    </cfRule>
  </conditionalFormatting>
  <conditionalFormatting sqref="F7:F40 H7:H40 J7:J40">
    <cfRule type="cellIs" dxfId="24" priority="1" operator="notEqual">
      <formula>100</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AK118"/>
  <sheetViews>
    <sheetView view="pageBreakPreview" zoomScale="70" zoomScaleNormal="80" zoomScaleSheetLayoutView="70" workbookViewId="0">
      <selection activeCell="D30" activeCellId="1" sqref="H5 D30"/>
    </sheetView>
  </sheetViews>
  <sheetFormatPr defaultColWidth="12" defaultRowHeight="12.75"/>
  <cols>
    <col min="1" max="1" width="9.625" style="2250" customWidth="1"/>
    <col min="2" max="2" width="19.125" style="2353" customWidth="1"/>
    <col min="3" max="4" width="12" style="2184"/>
    <col min="5" max="5" width="14.625" style="2184" customWidth="1"/>
    <col min="6" max="8" width="12" style="2184"/>
    <col min="9" max="9" width="12.125" style="2184" bestFit="1" customWidth="1"/>
    <col min="10" max="10" width="12" style="2184"/>
    <col min="11" max="11" width="8.125" style="2245" customWidth="1"/>
    <col min="12" max="12" width="12" style="2184"/>
    <col min="13" max="13" width="8.5" style="2184" customWidth="1"/>
    <col min="14" max="14" width="9.625" style="2184" customWidth="1"/>
    <col min="15" max="25" width="12" style="2184"/>
    <col min="26" max="26" width="9.375" style="2250" customWidth="1"/>
    <col min="27" max="32" width="9.375" style="1282" customWidth="1"/>
    <col min="33" max="36" width="9.375" style="2250" customWidth="1"/>
    <col min="37" max="38" width="9.375" style="2184" customWidth="1"/>
    <col min="39" max="16384" width="12" style="2184"/>
  </cols>
  <sheetData>
    <row r="1" spans="1:36" ht="28.5">
      <c r="A1" s="202" t="s">
        <v>2625</v>
      </c>
      <c r="B1" s="203"/>
      <c r="C1" s="207" t="s">
        <v>2626</v>
      </c>
      <c r="D1" s="348">
        <f>SUM(D29:D30,D33:D39)</f>
        <v>0</v>
      </c>
      <c r="E1" s="2181"/>
      <c r="F1" s="2181"/>
      <c r="G1" s="2181"/>
      <c r="H1" s="2181"/>
      <c r="I1" s="2181"/>
      <c r="J1" s="2181"/>
      <c r="K1" s="1280"/>
      <c r="L1" s="2182" t="s">
        <v>2627</v>
      </c>
      <c r="M1" s="994">
        <f>SUMPRODUCT((区片价!B5:B9=I2)*(区片价!C3:F3=E2)*(区片价!C5:F9))</f>
        <v>0</v>
      </c>
      <c r="N1" s="997">
        <f>SUMPRODUCT((因素修正幅度!B5:B9=I2)*(因素修正幅度!C3:F3=E2)*(因素修正幅度!C5:F9))</f>
        <v>0</v>
      </c>
      <c r="O1" s="2183"/>
      <c r="P1" s="2183"/>
      <c r="Q1" s="1280"/>
      <c r="R1" s="1374" t="s">
        <v>2628</v>
      </c>
      <c r="S1" s="1374" t="s">
        <v>2629</v>
      </c>
      <c r="T1" s="1374" t="s">
        <v>2630</v>
      </c>
      <c r="U1" s="1374" t="s">
        <v>2631</v>
      </c>
      <c r="V1" s="1374" t="s">
        <v>2632</v>
      </c>
      <c r="W1" s="1378"/>
      <c r="X1" s="1378"/>
      <c r="Y1" s="1378"/>
      <c r="Z1" s="1378"/>
      <c r="AA1" s="1378"/>
      <c r="AB1" s="1378"/>
      <c r="AC1" s="1379"/>
      <c r="AD1" s="1380"/>
      <c r="AE1" s="1380"/>
      <c r="AF1" s="1380"/>
      <c r="AG1" s="1380"/>
      <c r="AH1" s="1380"/>
      <c r="AI1" s="1380"/>
      <c r="AJ1" s="1381"/>
    </row>
    <row r="2" spans="1:36" ht="15.75">
      <c r="A2" s="207" t="s">
        <v>2633</v>
      </c>
      <c r="B2" s="210" t="e">
        <f>C26</f>
        <v>#DIV/0!</v>
      </c>
      <c r="C2" s="2185" t="s">
        <v>2634</v>
      </c>
      <c r="D2" s="2186" t="s">
        <v>2635</v>
      </c>
      <c r="E2" s="2187"/>
      <c r="F2" s="2186" t="s">
        <v>2636</v>
      </c>
      <c r="G2" s="2188">
        <f>IF(E2="商业",项目基本情况!B37,IF(E2="办公",项目基本情况!C37,IF(E2="住宅",项目基本情况!D37,项目基本情况!E37)))</f>
        <v>0</v>
      </c>
      <c r="H2" s="2186" t="s">
        <v>2637</v>
      </c>
      <c r="I2" s="2188">
        <f>IF(E2="商业",项目基本情况!B38,IF(E2="办公",项目基本情况!C38,IF(E2="住宅",项目基本情况!D38,项目基本情况!E38)))</f>
        <v>0</v>
      </c>
      <c r="J2" s="2189"/>
      <c r="K2" s="1280"/>
      <c r="L2" s="2190" t="s">
        <v>2638</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2639</v>
      </c>
      <c r="B3" s="210" t="e">
        <f>ROUND(B2*10000/D1,0)</f>
        <v>#DIV/0!</v>
      </c>
      <c r="C3" s="2185" t="s">
        <v>2640</v>
      </c>
      <c r="D3" s="2186" t="s">
        <v>2641</v>
      </c>
      <c r="E3" s="2191"/>
      <c r="F3" s="2192" t="s">
        <v>2642</v>
      </c>
      <c r="G3" s="855">
        <f>IF(F3="宗地容积率",'数据-汇总表'!I4,IF(F3="估价对象容积率",'数据-汇总表'!I6,'数据-汇总表'!I7))</f>
        <v>0.14000000000000001</v>
      </c>
      <c r="H3" s="175" t="s">
        <v>2643</v>
      </c>
      <c r="I3" s="881"/>
      <c r="J3" s="2189" t="s">
        <v>2644</v>
      </c>
      <c r="K3" s="1280"/>
      <c r="L3" s="2190"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981"/>
      <c r="B4" s="3982"/>
      <c r="C4" s="3982"/>
      <c r="D4" s="3983"/>
      <c r="E4" s="3983"/>
      <c r="F4" s="3983"/>
      <c r="G4" s="3983"/>
      <c r="H4" s="3983"/>
      <c r="I4" s="3983"/>
      <c r="J4" s="3984"/>
      <c r="K4" s="1280"/>
      <c r="L4" s="2190" t="s">
        <v>2646</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2" customFormat="1" ht="15.75" thickBot="1">
      <c r="A5" s="2193" t="s">
        <v>807</v>
      </c>
      <c r="B5" s="2194" t="s">
        <v>2647</v>
      </c>
      <c r="C5" s="856" t="e">
        <f>ROUND(IF(E2="商业",C6*C7+C16,(IF(E2="住宅",C6*C12+C16,C6+C16))),0)</f>
        <v>#DIV/0!</v>
      </c>
      <c r="D5" s="1523" t="e">
        <f>ROUND(C6+C16,0)</f>
        <v>#DIV/0!</v>
      </c>
      <c r="E5" s="1523"/>
      <c r="F5" s="2195"/>
      <c r="G5" s="2196"/>
      <c r="H5" s="2196"/>
      <c r="I5" s="2196"/>
      <c r="J5" s="2197"/>
      <c r="K5" s="2198"/>
      <c r="L5" s="2190" t="s">
        <v>2648</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si="0"/>
        <v>#DIV/0!</v>
      </c>
      <c r="U5" s="1375"/>
      <c r="V5" s="1374" t="e">
        <f t="shared" si="1"/>
        <v>#DIV/0!</v>
      </c>
      <c r="W5" s="1378"/>
      <c r="X5" s="1378"/>
      <c r="Y5" s="1378"/>
      <c r="Z5" s="1378"/>
      <c r="AA5" s="1378"/>
      <c r="AB5" s="1378"/>
      <c r="AC5" s="2199"/>
      <c r="AD5" s="2200"/>
      <c r="AE5" s="2200"/>
      <c r="AF5" s="2200"/>
      <c r="AG5" s="2200"/>
      <c r="AH5" s="2200"/>
      <c r="AI5" s="2200"/>
      <c r="AJ5" s="2201"/>
    </row>
    <row r="6" spans="1:36" ht="15.75" thickBot="1">
      <c r="A6" s="2203" t="s">
        <v>2649</v>
      </c>
      <c r="B6" s="2204" t="s">
        <v>2650</v>
      </c>
      <c r="C6" s="857">
        <f>SUMIF(L1:L12,G2,M1:M12)</f>
        <v>0</v>
      </c>
      <c r="D6" s="2205" t="s">
        <v>2651</v>
      </c>
      <c r="E6" s="2206"/>
      <c r="F6" s="2206"/>
      <c r="G6" s="2207"/>
      <c r="H6" s="2207"/>
      <c r="I6" s="2207"/>
      <c r="J6" s="2208"/>
      <c r="K6" s="1568"/>
      <c r="L6" s="2190" t="s">
        <v>2652</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si="0"/>
        <v>#DIV/0!</v>
      </c>
      <c r="U6" s="1375"/>
      <c r="V6" s="1374" t="e">
        <f t="shared" si="1"/>
        <v>#DIV/0!</v>
      </c>
      <c r="W6" s="1378"/>
      <c r="X6" s="1378"/>
      <c r="Y6" s="1378"/>
      <c r="Z6" s="1378"/>
      <c r="AA6" s="1378"/>
      <c r="AB6" s="1378"/>
      <c r="AC6" s="2199"/>
      <c r="AD6" s="2200"/>
      <c r="AE6" s="2200"/>
      <c r="AF6" s="2200"/>
      <c r="AG6" s="2200"/>
      <c r="AH6" s="2200"/>
      <c r="AI6" s="2200"/>
      <c r="AJ6" s="2201"/>
    </row>
    <row r="7" spans="1:36" ht="24">
      <c r="A7" s="3985" t="str">
        <f>IF(E2="商业",IF(C8="不临58条商业街","",2),"")</f>
        <v/>
      </c>
      <c r="B7" s="2209" t="s">
        <v>2653</v>
      </c>
      <c r="C7" s="858" t="e">
        <f>IF(C8="不临58条商业街",1,ROUND(1+(1.6*E8+1.2*E9+0.8*E10+0.4*E11)*C9,4))</f>
        <v>#DIV/0!</v>
      </c>
      <c r="D7" s="2210" t="s">
        <v>2654</v>
      </c>
      <c r="E7" s="882"/>
      <c r="F7" s="2211"/>
      <c r="G7" s="2212"/>
      <c r="H7" s="2212"/>
      <c r="I7" s="2212"/>
      <c r="J7" s="2213"/>
      <c r="K7" s="1568"/>
      <c r="L7" s="2190"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si="0"/>
        <v>#DIV/0!</v>
      </c>
      <c r="U7" s="1375"/>
      <c r="V7" s="1374" t="e">
        <f t="shared" si="1"/>
        <v>#DIV/0!</v>
      </c>
      <c r="W7" s="1542" t="s">
        <v>2656</v>
      </c>
      <c r="X7" s="1376">
        <f>G2</f>
        <v>0</v>
      </c>
      <c r="Y7" s="1376" t="s">
        <v>2657</v>
      </c>
      <c r="Z7" s="1377">
        <f>G3</f>
        <v>0.14000000000000001</v>
      </c>
      <c r="AA7" s="1378"/>
      <c r="AB7" s="1378"/>
      <c r="AC7" s="1379"/>
      <c r="AD7" s="1380"/>
      <c r="AE7" s="1380"/>
      <c r="AF7" s="1380"/>
      <c r="AG7" s="1380"/>
      <c r="AH7" s="1380"/>
      <c r="AI7" s="1380"/>
      <c r="AJ7" s="1381"/>
    </row>
    <row r="8" spans="1:36" ht="15">
      <c r="A8" s="3986"/>
      <c r="B8" s="175" t="s">
        <v>2658</v>
      </c>
      <c r="C8" s="2214"/>
      <c r="D8" s="859" t="s">
        <v>139</v>
      </c>
      <c r="E8" s="860" t="e">
        <f>ROUND(C11/E7,4)</f>
        <v>#DIV/0!</v>
      </c>
      <c r="F8" s="2215" t="s">
        <v>2659</v>
      </c>
      <c r="G8" s="2216"/>
      <c r="H8" s="2216"/>
      <c r="I8" s="2216"/>
      <c r="J8" s="2217"/>
      <c r="K8" s="1280"/>
      <c r="L8" s="2190"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978" t="s">
        <v>2661</v>
      </c>
      <c r="X8" s="3979"/>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5">
      <c r="A9" s="3986"/>
      <c r="B9" s="175" t="s">
        <v>2674</v>
      </c>
      <c r="C9" s="861">
        <f>SUMIF(修正!C59:C119,C8,修正!E59:E119)</f>
        <v>0</v>
      </c>
      <c r="D9" s="176" t="s">
        <v>140</v>
      </c>
      <c r="E9" s="176" t="e">
        <f>ROUND(C11/E7,4)</f>
        <v>#DIV/0!</v>
      </c>
      <c r="F9" s="2215" t="s">
        <v>2675</v>
      </c>
      <c r="G9" s="2216"/>
      <c r="H9" s="2216"/>
      <c r="I9" s="2216"/>
      <c r="J9" s="2217"/>
      <c r="K9" s="1280"/>
      <c r="L9" s="2190"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980" t="s">
        <v>2677</v>
      </c>
      <c r="X9" s="1383" t="s">
        <v>2678</v>
      </c>
      <c r="Y9" s="1508"/>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986"/>
      <c r="B10" s="175" t="s">
        <v>2679</v>
      </c>
      <c r="C10" s="176">
        <f>SUMIF(修正!C59:C119,C8,修正!F59:F119)</f>
        <v>0</v>
      </c>
      <c r="D10" s="176" t="s">
        <v>141</v>
      </c>
      <c r="E10" s="176" t="e">
        <f>ROUND(C11/E7,4)</f>
        <v>#DIV/0!</v>
      </c>
      <c r="F10" s="2215" t="s">
        <v>2680</v>
      </c>
      <c r="G10" s="2216"/>
      <c r="H10" s="2216"/>
      <c r="I10" s="2216"/>
      <c r="J10" s="2217"/>
      <c r="K10" s="1280"/>
      <c r="L10" s="2190"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980"/>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986"/>
      <c r="B11" s="2218" t="s">
        <v>2682</v>
      </c>
      <c r="C11" s="862">
        <f>C10/4</f>
        <v>0</v>
      </c>
      <c r="D11" s="862" t="s">
        <v>142</v>
      </c>
      <c r="E11" s="862" t="e">
        <f>ROUND(C11/E7,4)</f>
        <v>#DIV/0!</v>
      </c>
      <c r="F11" s="2219" t="s">
        <v>2683</v>
      </c>
      <c r="G11" s="2220"/>
      <c r="H11" s="2220"/>
      <c r="I11" s="2220"/>
      <c r="J11" s="2221"/>
      <c r="K11" s="1280"/>
      <c r="L11" s="2190"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980" t="s">
        <v>2685</v>
      </c>
      <c r="X11" s="1386" t="s">
        <v>2686</v>
      </c>
      <c r="Y11" s="1387">
        <f>$G$3</f>
        <v>0.14000000000000001</v>
      </c>
      <c r="Z11" s="1387">
        <f t="shared" ref="Z11:AJ11" si="3">$G$3</f>
        <v>0.14000000000000001</v>
      </c>
      <c r="AA11" s="1387">
        <f t="shared" si="3"/>
        <v>0.14000000000000001</v>
      </c>
      <c r="AB11" s="1387">
        <f t="shared" si="3"/>
        <v>0.14000000000000001</v>
      </c>
      <c r="AC11" s="1387">
        <f t="shared" si="3"/>
        <v>0.14000000000000001</v>
      </c>
      <c r="AD11" s="1387">
        <f t="shared" si="3"/>
        <v>0.14000000000000001</v>
      </c>
      <c r="AE11" s="1387">
        <f t="shared" si="3"/>
        <v>0.14000000000000001</v>
      </c>
      <c r="AF11" s="1387">
        <f t="shared" si="3"/>
        <v>0.14000000000000001</v>
      </c>
      <c r="AG11" s="1387">
        <f t="shared" si="3"/>
        <v>0.14000000000000001</v>
      </c>
      <c r="AH11" s="1387">
        <f t="shared" si="3"/>
        <v>0.14000000000000001</v>
      </c>
      <c r="AI11" s="1387">
        <f t="shared" si="3"/>
        <v>0.14000000000000001</v>
      </c>
      <c r="AJ11" s="1387">
        <f t="shared" si="3"/>
        <v>0.14000000000000001</v>
      </c>
    </row>
    <row r="12" spans="1:36" ht="25.5" thickBot="1">
      <c r="A12" s="3985" t="s">
        <v>2687</v>
      </c>
      <c r="B12" s="2222" t="s">
        <v>2688</v>
      </c>
      <c r="C12" s="858">
        <f>ROUND(C15*D15*E15*F15*G15*H15*I15*J15,4)</f>
        <v>1</v>
      </c>
      <c r="D12" s="2223" t="s">
        <v>2689</v>
      </c>
      <c r="E12" s="2224"/>
      <c r="F12" s="2224"/>
      <c r="G12" s="2225"/>
      <c r="H12" s="2225"/>
      <c r="I12" s="2225"/>
      <c r="J12" s="2226"/>
      <c r="K12" s="1280"/>
      <c r="L12" s="2227"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980"/>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987"/>
      <c r="B13" s="2228" t="s">
        <v>2692</v>
      </c>
      <c r="C13" s="2229" t="s">
        <v>2693</v>
      </c>
      <c r="D13" s="1534" t="s">
        <v>2694</v>
      </c>
      <c r="E13" s="1534" t="s">
        <v>2695</v>
      </c>
      <c r="F13" s="30" t="s">
        <v>2696</v>
      </c>
      <c r="G13" s="2230" t="s">
        <v>2697</v>
      </c>
      <c r="H13" s="2230" t="s">
        <v>2697</v>
      </c>
      <c r="I13" s="2230" t="s">
        <v>2697</v>
      </c>
      <c r="J13" s="2231" t="s">
        <v>2697</v>
      </c>
      <c r="K13" s="1280"/>
      <c r="L13" s="1280"/>
      <c r="M13" s="1280"/>
      <c r="N13" s="1280"/>
      <c r="O13" s="1280"/>
      <c r="P13" s="1280"/>
      <c r="Q13" s="1280"/>
      <c r="R13" s="1374">
        <v>12</v>
      </c>
      <c r="S13" s="1375"/>
      <c r="T13" s="1374" t="e">
        <f t="shared" si="0"/>
        <v>#DIV/0!</v>
      </c>
      <c r="U13" s="1375"/>
      <c r="V13" s="1374" t="e">
        <f t="shared" si="1"/>
        <v>#DIV/0!</v>
      </c>
      <c r="W13" s="3980"/>
      <c r="X13" s="1388"/>
      <c r="Y13" s="1385">
        <f>(-0.163*(Y12^2)-0.59*Y12+7617)*(10^(-4))/Y11</f>
        <v>5.4407142857142858</v>
      </c>
      <c r="Z13" s="1385">
        <f t="shared" ref="Z13:AJ13" si="5">(-0.163*(Z12^2)-0.59*Z12+7617)*(10^(-4))/Z11</f>
        <v>5.4407142857142858</v>
      </c>
      <c r="AA13" s="1385">
        <f t="shared" si="5"/>
        <v>5.4407142857142858</v>
      </c>
      <c r="AB13" s="1385">
        <f t="shared" si="5"/>
        <v>5.4407142857142858</v>
      </c>
      <c r="AC13" s="1385">
        <f t="shared" si="5"/>
        <v>5.4407142857142858</v>
      </c>
      <c r="AD13" s="1385">
        <f t="shared" si="5"/>
        <v>5.4407142857142858</v>
      </c>
      <c r="AE13" s="1385">
        <f t="shared" si="5"/>
        <v>5.4407142857142858</v>
      </c>
      <c r="AF13" s="1385">
        <f t="shared" si="5"/>
        <v>5.4407142857142858</v>
      </c>
      <c r="AG13" s="1385">
        <f t="shared" si="5"/>
        <v>5.4407142857142858</v>
      </c>
      <c r="AH13" s="1385">
        <f t="shared" si="5"/>
        <v>5.4407142857142858</v>
      </c>
      <c r="AI13" s="1385">
        <f t="shared" si="5"/>
        <v>5.4407142857142858</v>
      </c>
      <c r="AJ13" s="1385">
        <f t="shared" si="5"/>
        <v>5.4407142857142858</v>
      </c>
    </row>
    <row r="14" spans="1:36" ht="15">
      <c r="A14" s="3987"/>
      <c r="B14" s="2232"/>
      <c r="C14" s="2233"/>
      <c r="D14" s="2234"/>
      <c r="E14" s="2234"/>
      <c r="F14" s="2235"/>
      <c r="G14" s="2236" t="s">
        <v>2698</v>
      </c>
      <c r="H14" s="2237"/>
      <c r="I14" s="2238"/>
      <c r="J14" s="2239"/>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20"/>
      <c r="AE14" s="3020"/>
      <c r="AF14" s="3020"/>
      <c r="AG14" s="3020"/>
      <c r="AH14" s="3020"/>
      <c r="AI14" s="3020"/>
      <c r="AJ14" s="3021"/>
    </row>
    <row r="15" spans="1:36" ht="15.75" thickBot="1">
      <c r="A15" s="3988"/>
      <c r="B15" s="2240" t="s">
        <v>2699</v>
      </c>
      <c r="C15" s="193">
        <f>IF(C14="有",1.1,1)</f>
        <v>1</v>
      </c>
      <c r="D15" s="193">
        <f>IF(D14="有",1.1,1)</f>
        <v>1</v>
      </c>
      <c r="E15" s="193">
        <f>IF(E14="有",1.1,1)</f>
        <v>1</v>
      </c>
      <c r="F15" s="193">
        <f>IF(F14="500米范围内",1.2,IF(F14="500-1000米",1.1,1))</f>
        <v>1</v>
      </c>
      <c r="G15" s="883">
        <v>1</v>
      </c>
      <c r="H15" s="883">
        <v>1</v>
      </c>
      <c r="I15" s="883">
        <v>1</v>
      </c>
      <c r="J15" s="884">
        <v>1</v>
      </c>
      <c r="K15" s="1280"/>
      <c r="L15" s="2183"/>
      <c r="M15" s="2183"/>
      <c r="N15" s="2183"/>
      <c r="O15" s="2183"/>
      <c r="P15" s="2183"/>
      <c r="Q15" s="1280"/>
      <c r="R15" s="1374">
        <v>14</v>
      </c>
      <c r="S15" s="1375"/>
      <c r="T15" s="1374" t="e">
        <f t="shared" si="0"/>
        <v>#DIV/0!</v>
      </c>
      <c r="U15" s="1375"/>
      <c r="V15" s="1374" t="e">
        <f t="shared" si="1"/>
        <v>#DIV/0!</v>
      </c>
      <c r="W15" s="1378"/>
      <c r="X15" s="1378"/>
      <c r="Y15" s="1378"/>
      <c r="Z15" s="1378"/>
      <c r="AA15" s="1378"/>
      <c r="AB15" s="1378"/>
      <c r="AC15" s="1379"/>
      <c r="AD15" s="3020"/>
      <c r="AE15" s="3020"/>
      <c r="AF15" s="3020"/>
      <c r="AG15" s="3020"/>
      <c r="AH15" s="3020"/>
      <c r="AI15" s="3020"/>
      <c r="AJ15" s="3021"/>
    </row>
    <row r="16" spans="1:36" ht="24.6" customHeight="1">
      <c r="A16" s="3985" t="s">
        <v>2704</v>
      </c>
      <c r="B16" s="2209" t="s">
        <v>2705</v>
      </c>
      <c r="C16" s="2371" t="e">
        <f>ROUND(IF(F17="与级别开发程度一致",0,(G17-E17)/C17),0)</f>
        <v>#DIV/0!</v>
      </c>
      <c r="D16" s="4001" t="s">
        <v>2709</v>
      </c>
      <c r="E16" s="4002"/>
      <c r="F16" s="4001" t="s">
        <v>2706</v>
      </c>
      <c r="G16" s="4002"/>
      <c r="H16" s="2241"/>
      <c r="I16" s="2241"/>
      <c r="J16" s="2375"/>
      <c r="K16" s="2241"/>
      <c r="L16" s="2241"/>
      <c r="M16" s="2241"/>
      <c r="N16" s="2241"/>
      <c r="O16" s="2242"/>
      <c r="P16" s="2183"/>
      <c r="Q16" s="1280"/>
      <c r="R16" s="1374">
        <v>15</v>
      </c>
      <c r="S16" s="1375"/>
      <c r="T16" s="1374" t="e">
        <f t="shared" si="0"/>
        <v>#DIV/0!</v>
      </c>
      <c r="U16" s="1375"/>
      <c r="V16" s="1374" t="e">
        <f t="shared" si="1"/>
        <v>#DIV/0!</v>
      </c>
      <c r="W16" s="1378"/>
      <c r="X16" s="1378"/>
      <c r="Y16" s="1378"/>
      <c r="Z16" s="1378"/>
      <c r="AA16" s="1378"/>
      <c r="AB16" s="1378"/>
      <c r="AC16" s="1379"/>
      <c r="AD16" s="3020"/>
      <c r="AE16" s="3020"/>
      <c r="AF16" s="3020"/>
      <c r="AG16" s="3020"/>
      <c r="AH16" s="3020"/>
      <c r="AI16" s="3020"/>
      <c r="AJ16" s="3021"/>
    </row>
    <row r="17" spans="1:37" ht="13.5" thickBot="1">
      <c r="A17" s="3989"/>
      <c r="B17" s="2382" t="s">
        <v>2708</v>
      </c>
      <c r="C17" s="2383">
        <f>SUMPRODUCT((修正!A2:A5=E2)*(修正!B1:M1=G2)*(修正!B2:M5))</f>
        <v>0</v>
      </c>
      <c r="D17" s="193" t="str">
        <f>IF(OR(G2="八级",G2="九级",G2="十级",G2="十一级",G2="十二级"),"五通一平","七通一平")</f>
        <v>七通一平</v>
      </c>
      <c r="E17" s="2372">
        <f>SUMPRODUCT((修正!B1:M1=G2)*(修正!B15:M15))</f>
        <v>0</v>
      </c>
      <c r="F17" s="2373"/>
      <c r="G17" s="2374">
        <f>SUM(H17:O17)</f>
        <v>0</v>
      </c>
      <c r="H17" s="2383">
        <f>SUMPRODUCT((七通一平=H16)*(修正!B1:M1=G2)*(修正!B6:M14))</f>
        <v>0</v>
      </c>
      <c r="I17" s="2383">
        <f>SUMPRODUCT((七通一平=I16)*(修正!B1:M1=G2)*(修正!B6:M14))</f>
        <v>0</v>
      </c>
      <c r="J17" s="2384">
        <f>SUMPRODUCT((七通一平=J16)*(修正!B1:M1=G2)*(修正!B6:M14))</f>
        <v>0</v>
      </c>
      <c r="K17" s="2383">
        <f>SUMPRODUCT((七通一平=K16)*(修正!B1:M1=G2)*(修正!B6:M14))</f>
        <v>0</v>
      </c>
      <c r="L17" s="2383">
        <f>SUMPRODUCT((七通一平=L16)*(修正!B1:M1=G2)*(修正!B6:M14))</f>
        <v>0</v>
      </c>
      <c r="M17" s="2383">
        <f>SUMPRODUCT((七通一平=M16)*(修正!B1:M1=G2)*(修正!B6:M14))</f>
        <v>0</v>
      </c>
      <c r="N17" s="2383">
        <f>SUMPRODUCT((七通一平=N16)*(修正!B1:M1=G2)*(修正!B6:M14))</f>
        <v>0</v>
      </c>
      <c r="O17" s="2385">
        <f>SUMPRODUCT((七通一平=O16)*(修正!B1:M1=G2)*(修正!B6:M14))</f>
        <v>0</v>
      </c>
      <c r="P17" s="2183"/>
      <c r="Q17" s="1280"/>
      <c r="R17" s="1280"/>
      <c r="S17" s="1280"/>
      <c r="T17" s="1280"/>
      <c r="U17" s="1280"/>
      <c r="V17" s="1280"/>
      <c r="W17" s="1280"/>
      <c r="X17" s="1280"/>
      <c r="Y17" s="1280"/>
      <c r="Z17" s="1281"/>
      <c r="AA17" s="1281"/>
      <c r="AB17" s="1281"/>
      <c r="AC17" s="1281"/>
      <c r="AD17" s="1281"/>
      <c r="AE17" s="1280"/>
      <c r="AF17" s="1280"/>
      <c r="AG17" s="2183"/>
      <c r="AH17" s="2183"/>
      <c r="AI17" s="2183"/>
      <c r="AJ17" s="2183"/>
    </row>
    <row r="18" spans="1:37" s="2202" customFormat="1" ht="15.75" thickBot="1">
      <c r="A18" s="2376" t="s">
        <v>808</v>
      </c>
      <c r="B18" s="2377" t="s">
        <v>2711</v>
      </c>
      <c r="C18" s="2378">
        <f>SUMIF(修正!C18:C39,E3,修正!E18:E39)</f>
        <v>0</v>
      </c>
      <c r="D18" s="2379"/>
      <c r="E18" s="2380"/>
      <c r="F18" s="2380"/>
      <c r="G18" s="2380"/>
      <c r="H18" s="2380"/>
      <c r="I18" s="2380"/>
      <c r="J18" s="2381"/>
      <c r="K18" s="1287"/>
      <c r="L18" s="3019"/>
      <c r="M18" s="3019"/>
      <c r="N18" s="3019"/>
      <c r="O18" s="1285"/>
      <c r="P18" s="1285"/>
      <c r="Q18" s="1286"/>
      <c r="R18" s="1286"/>
      <c r="S18" s="1286"/>
      <c r="T18" s="1281"/>
      <c r="U18" s="1281"/>
      <c r="V18" s="1281"/>
      <c r="W18" s="1280"/>
      <c r="X18" s="1280"/>
      <c r="Y18" s="1280"/>
      <c r="Z18" s="1287"/>
      <c r="AA18" s="1287"/>
      <c r="AB18" s="1287"/>
      <c r="AC18" s="1287"/>
      <c r="AD18" s="1287"/>
      <c r="AE18" s="1281"/>
      <c r="AF18" s="1281"/>
      <c r="AG18" s="2340"/>
      <c r="AH18" s="2340"/>
      <c r="AI18" s="2340"/>
      <c r="AJ18" s="3019"/>
    </row>
    <row r="19" spans="1:37" s="2202" customFormat="1" ht="27.75" thickBot="1">
      <c r="A19" s="2246" t="s">
        <v>809</v>
      </c>
      <c r="B19" s="2247" t="s">
        <v>2712</v>
      </c>
      <c r="C19" s="863" t="e">
        <f>ROUND(IF(H19="按公示增长率计算",SUMPRODUCT((地价!A3:A34=YEAR(G19)&amp;"-"&amp;ROUNDUP(MONTH(G19)/3,0))*(地价!X2:AB2=E2)*(地价!X3:AB34)),IF(H19="地价指数",M20/M19,(1+I19)^O19)),4)</f>
        <v>#VALUE!</v>
      </c>
      <c r="D19" s="2251" t="s">
        <v>2713</v>
      </c>
      <c r="E19" s="864">
        <v>41640</v>
      </c>
      <c r="F19" s="2251" t="s">
        <v>2714</v>
      </c>
      <c r="G19" s="865">
        <f>'数据-取费表'!B2</f>
        <v>44357</v>
      </c>
      <c r="H19" s="2252"/>
      <c r="I19" s="866" t="str">
        <f>IF(H19="季度增幅（自定义）",SUMIF(N21:N24,E2,O21:O24),"")</f>
        <v/>
      </c>
      <c r="J19" s="2249"/>
      <c r="K19" s="1287"/>
      <c r="L19" s="2253" t="s">
        <v>2715</v>
      </c>
      <c r="M19" s="1496">
        <f>ROUND(SUMIF(地价!B2:F2,E2,地价!B34:F34),0)</f>
        <v>0</v>
      </c>
      <c r="N19" s="2254" t="s">
        <v>2716</v>
      </c>
      <c r="O19" s="867">
        <f>ROUNDDOWN(DATEDIF(E19,G19,"M")/3,0)</f>
        <v>29</v>
      </c>
      <c r="P19" s="1284"/>
      <c r="Q19" s="1286"/>
      <c r="R19" s="1286"/>
      <c r="S19" s="1286"/>
      <c r="T19" s="1281"/>
      <c r="U19" s="1281"/>
      <c r="V19" s="1281"/>
      <c r="W19" s="1280"/>
      <c r="X19" s="1280"/>
      <c r="Y19" s="1280"/>
      <c r="Z19" s="1287"/>
      <c r="AA19" s="1287"/>
      <c r="AB19" s="1287"/>
      <c r="AC19" s="1287"/>
      <c r="AD19" s="1287"/>
      <c r="AE19" s="1287"/>
      <c r="AF19" s="1286"/>
      <c r="AG19" s="3022"/>
      <c r="AH19" s="2340"/>
      <c r="AI19" s="3023"/>
      <c r="AJ19" s="3023"/>
      <c r="AK19" s="2255"/>
    </row>
    <row r="20" spans="1:37" s="2202" customFormat="1" ht="27.75" thickBot="1">
      <c r="A20" s="2256" t="s">
        <v>810</v>
      </c>
      <c r="B20" s="2257" t="s">
        <v>2717</v>
      </c>
      <c r="C20" s="868" t="e">
        <f>ROUND(POWER(1+G20,J20-I20)*(POWER(1+G20,I20)-1)/(POWER(1+G20,J20)-1),4)</f>
        <v>#DIV/0!</v>
      </c>
      <c r="D20" s="2258" t="s">
        <v>2718</v>
      </c>
      <c r="E20" s="1505">
        <f>存贷款利率!E18/100</f>
        <v>4.3499999999999997E-2</v>
      </c>
      <c r="F20" s="2258" t="s">
        <v>2710</v>
      </c>
      <c r="G20" s="873">
        <f>SUMIF(M26:P26,E2,M28:P28)</f>
        <v>0</v>
      </c>
      <c r="H20" s="2258" t="s">
        <v>2719</v>
      </c>
      <c r="I20" s="874" t="e">
        <f>SUMIF('数据-取费表'!C6:C15,E2,'数据-取费表'!F6:F15)/COUNTIF('数据-取费表'!C6:C15,E2)</f>
        <v>#DIV/0!</v>
      </c>
      <c r="J20" s="875">
        <f>IF(E2="住宅",70,IF(E2="商业",40,50))</f>
        <v>50</v>
      </c>
      <c r="K20" s="1287"/>
      <c r="L20" s="2259" t="s">
        <v>2720</v>
      </c>
      <c r="M20" s="1497">
        <f>ROUND(SUMPRODUCT((地价!A4:A34=YEAR(G19)&amp;"-"&amp;ROUNDUP(MONTH(G19)/3,0))*(地价!B2:F2=E2)*(地价!B4:F34)),0)</f>
        <v>0</v>
      </c>
      <c r="N20" s="2260" t="s">
        <v>2721</v>
      </c>
      <c r="O20" s="2261" t="s">
        <v>2722</v>
      </c>
      <c r="P20" s="2262" t="s">
        <v>2723</v>
      </c>
      <c r="Q20" s="3019"/>
      <c r="R20" s="1286"/>
      <c r="S20" s="1286"/>
      <c r="T20" s="1281"/>
      <c r="U20" s="1281"/>
      <c r="V20" s="1281"/>
      <c r="W20" s="1280"/>
      <c r="X20" s="1280"/>
      <c r="Y20" s="1280"/>
      <c r="Z20" s="1287"/>
      <c r="AA20" s="1287"/>
      <c r="AB20" s="1287"/>
      <c r="AC20" s="1287"/>
      <c r="AD20" s="1287"/>
      <c r="AE20" s="1287"/>
      <c r="AF20" s="1287"/>
      <c r="AG20" s="3019"/>
      <c r="AH20" s="3019"/>
      <c r="AI20" s="3019"/>
      <c r="AJ20" s="3019"/>
    </row>
    <row r="21" spans="1:37" s="2202" customFormat="1" ht="15">
      <c r="A21" s="2263" t="s">
        <v>811</v>
      </c>
      <c r="B21" s="2264" t="s">
        <v>2724</v>
      </c>
      <c r="C21" s="876">
        <f>IF(B21="容积率修正",IF(G3&lt;=10,D22,J22),C23)</f>
        <v>0</v>
      </c>
      <c r="D21" s="2265"/>
      <c r="E21" s="2265"/>
      <c r="F21" s="2265"/>
      <c r="G21" s="2265"/>
      <c r="H21" s="2265"/>
      <c r="I21" s="2265"/>
      <c r="J21" s="2266"/>
      <c r="K21" s="1287"/>
      <c r="L21" s="3019"/>
      <c r="M21" s="3019"/>
      <c r="N21" s="2267" t="s">
        <v>2725</v>
      </c>
      <c r="O21" s="1335"/>
      <c r="P21" s="1336">
        <f>SUMPRODUCT((地价!A3:A34=YEAR(G19)&amp;"-"&amp;ROUNDUP(MONTH(G19)/3,0))*(地价!AD2:AH2=N21)*(地价!AD3:AH34))</f>
        <v>1.09E-2</v>
      </c>
      <c r="Q21" s="3019"/>
      <c r="R21" s="1286"/>
      <c r="S21" s="1286"/>
      <c r="T21" s="1281"/>
      <c r="U21" s="1281"/>
      <c r="V21" s="1281"/>
      <c r="W21" s="1280"/>
      <c r="X21" s="1280"/>
      <c r="Y21" s="1280"/>
      <c r="Z21" s="1287"/>
      <c r="AA21" s="1287"/>
      <c r="AB21" s="1287"/>
      <c r="AC21" s="1287"/>
      <c r="AD21" s="1287"/>
      <c r="AE21" s="1287"/>
      <c r="AF21" s="1287"/>
      <c r="AG21" s="3019"/>
      <c r="AH21" s="3019"/>
      <c r="AI21" s="3019"/>
      <c r="AJ21" s="3019"/>
    </row>
    <row r="22" spans="1:37" s="2202" customFormat="1" ht="14.25">
      <c r="A22" s="2141" t="s">
        <v>2726</v>
      </c>
      <c r="B22" s="2268" t="s">
        <v>2727</v>
      </c>
      <c r="C22" s="1536" t="s">
        <v>2728</v>
      </c>
      <c r="D22" s="1536">
        <f>IF(E22=G22,F22,IF(G3&lt;=10,ROUND(F22+(H22-F22)*(G3-E22)/(G22-E22),4),"——"))</f>
        <v>0</v>
      </c>
      <c r="E22" s="855">
        <f>ROUNDDOWN(G3,1)</f>
        <v>0.1</v>
      </c>
      <c r="F22" s="153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0.2</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6" t="s">
        <v>155</v>
      </c>
      <c r="J22" s="877" t="str">
        <f>IF(G3&gt;10,D113,"——")</f>
        <v>——</v>
      </c>
      <c r="K22" s="1287"/>
      <c r="L22" s="3019"/>
      <c r="M22" s="3019"/>
      <c r="N22" s="2267" t="s">
        <v>2729</v>
      </c>
      <c r="O22" s="1335"/>
      <c r="P22" s="1336">
        <f>SUMPRODUCT((地价!A3:A34=YEAR(G19)&amp;"-"&amp;ROUNDUP(MONTH(G19)/3,0))*(地价!AD2:AH2=N22)*(地价!AD3:AH34))</f>
        <v>1.09E-2</v>
      </c>
      <c r="Q22" s="3019"/>
      <c r="R22" s="1286"/>
      <c r="S22" s="1286"/>
      <c r="T22" s="1281"/>
      <c r="U22" s="1281"/>
      <c r="V22" s="1281"/>
      <c r="W22" s="1280"/>
      <c r="X22" s="1280"/>
      <c r="Y22" s="1280"/>
      <c r="Z22" s="1287"/>
      <c r="AA22" s="1287"/>
      <c r="AB22" s="1287"/>
      <c r="AC22" s="1287"/>
      <c r="AD22" s="1287"/>
      <c r="AE22" s="1287"/>
      <c r="AF22" s="1287"/>
      <c r="AG22" s="3019"/>
      <c r="AH22" s="3019"/>
      <c r="AI22" s="3019"/>
      <c r="AJ22" s="3019"/>
    </row>
    <row r="23" spans="1:37" ht="27.75" thickBot="1">
      <c r="A23" s="2141" t="s">
        <v>2730</v>
      </c>
      <c r="B23" s="2269" t="s">
        <v>2731</v>
      </c>
      <c r="C23" s="950">
        <f>ROUND(IF(G3&gt;1,IF(I3&lt;7,SUMPRODUCT((B93:B98=I3)*(C92:N92=G2)*(C93:N98)),SUMIF(C92:N92,G2,C100:N100)),IF(I3&lt;7,SUMPRODUCT((B102:B107=I3)*(C92:N92=G2)*(C102:N107)),SUMIF(C92:N92,G2,C109:N109))),4)</f>
        <v>0</v>
      </c>
      <c r="D23" s="2237"/>
      <c r="E23" s="2237"/>
      <c r="F23" s="2270"/>
      <c r="G23" s="2271"/>
      <c r="H23" s="2272"/>
      <c r="I23" s="2273"/>
      <c r="J23" s="2274"/>
      <c r="K23" s="1280"/>
      <c r="L23" s="2183"/>
      <c r="M23" s="2183"/>
      <c r="N23" s="2267" t="s">
        <v>2732</v>
      </c>
      <c r="O23" s="1335"/>
      <c r="P23" s="1336">
        <f>SUMPRODUCT((地价!A3:A34=YEAR(G19)&amp;"-"&amp;ROUNDUP(MONTH(G19)/3,0))*(地价!AD2:AH2=N23)*(地价!AD3:AH34))</f>
        <v>1.9E-2</v>
      </c>
      <c r="Q23" s="2183"/>
      <c r="R23" s="1286"/>
      <c r="S23" s="1286"/>
      <c r="T23" s="1281"/>
      <c r="U23" s="1281"/>
      <c r="V23" s="1281"/>
      <c r="W23" s="1280"/>
      <c r="X23" s="1280"/>
      <c r="Y23" s="1280"/>
      <c r="Z23" s="1287"/>
      <c r="AA23" s="1287"/>
      <c r="AB23" s="1287"/>
      <c r="AC23" s="1287"/>
      <c r="AD23" s="1287"/>
      <c r="AE23" s="1281"/>
      <c r="AF23" s="1281"/>
      <c r="AG23" s="2340"/>
      <c r="AH23" s="2340"/>
      <c r="AI23" s="2340"/>
      <c r="AJ23" s="2340"/>
      <c r="AK23" s="2250"/>
    </row>
    <row r="24" spans="1:37" s="2202" customFormat="1" ht="15.75" thickBot="1">
      <c r="A24" s="2256" t="s">
        <v>812</v>
      </c>
      <c r="B24" s="2247" t="s">
        <v>2733</v>
      </c>
      <c r="C24" s="863">
        <f>SUMIF(A45:A88,E2,B45:B88)</f>
        <v>0</v>
      </c>
      <c r="D24" s="2248"/>
      <c r="E24" s="2275"/>
      <c r="F24" s="2275"/>
      <c r="G24" s="2275"/>
      <c r="H24" s="2275"/>
      <c r="I24" s="2275"/>
      <c r="J24" s="2276"/>
      <c r="K24" s="1287"/>
      <c r="L24" s="3019"/>
      <c r="M24" s="3019"/>
      <c r="N24" s="2277" t="s">
        <v>2734</v>
      </c>
      <c r="O24" s="1337"/>
      <c r="P24" s="1338">
        <f>SUMPRODUCT((地价!A3:A34=YEAR(G19)&amp;"-"&amp;ROUNDUP(MONTH(G19)/3,0))*(地价!AD2:AH2=N24)*(地价!AD3:AH34))</f>
        <v>1.2500000000000001E-2</v>
      </c>
      <c r="Q24" s="3019"/>
      <c r="R24" s="1286"/>
      <c r="S24" s="1286"/>
      <c r="T24" s="1281"/>
      <c r="U24" s="1281"/>
      <c r="V24" s="1281"/>
      <c r="W24" s="1280"/>
      <c r="X24" s="1280"/>
      <c r="Y24" s="1280"/>
      <c r="Z24" s="1287"/>
      <c r="AA24" s="1287"/>
      <c r="AB24" s="1287"/>
      <c r="AC24" s="1287"/>
      <c r="AD24" s="1287"/>
      <c r="AE24" s="1287"/>
      <c r="AF24" s="1287"/>
      <c r="AG24" s="3019"/>
      <c r="AH24" s="3019"/>
      <c r="AI24" s="3019"/>
      <c r="AJ24" s="3019"/>
    </row>
    <row r="25" spans="1:37" ht="15.75" thickBot="1">
      <c r="A25" s="2256" t="s">
        <v>813</v>
      </c>
      <c r="B25" s="2278" t="s">
        <v>2735</v>
      </c>
      <c r="C25" s="869"/>
      <c r="D25" s="2212"/>
      <c r="E25" s="2212"/>
      <c r="F25" s="2279"/>
      <c r="G25" s="2212"/>
      <c r="H25" s="2212"/>
      <c r="I25" s="2212"/>
      <c r="J25" s="2213"/>
      <c r="K25" s="1280"/>
      <c r="L25" s="2183"/>
      <c r="M25" s="2183"/>
      <c r="N25" s="3014" t="s">
        <v>2736</v>
      </c>
      <c r="O25" s="3015"/>
      <c r="P25" s="3016">
        <f>SUMPRODUCT((地价!A3:A34=YEAR(G19)&amp;"-"&amp;ROUNDUP(MONTH(G19)/3,0))*(地价!AD2:AH2=N25)*(地价!AD3:AH34))</f>
        <v>1.7299999999999999E-2</v>
      </c>
      <c r="Q25" s="2183"/>
      <c r="R25" s="1286"/>
      <c r="S25" s="1286"/>
      <c r="T25" s="1281"/>
      <c r="U25" s="1281"/>
      <c r="V25" s="1281"/>
      <c r="W25" s="1280"/>
      <c r="X25" s="1280"/>
      <c r="Y25" s="1280"/>
      <c r="Z25" s="1287"/>
      <c r="AA25" s="1287"/>
      <c r="AB25" s="1287"/>
      <c r="AC25" s="1287"/>
      <c r="AD25" s="1287"/>
      <c r="AE25" s="1281"/>
      <c r="AF25" s="1281"/>
      <c r="AG25" s="2340"/>
      <c r="AH25" s="2340"/>
      <c r="AI25" s="2340"/>
      <c r="AJ25" s="2340"/>
    </row>
    <row r="26" spans="1:37" ht="15">
      <c r="A26" s="2280"/>
      <c r="B26" s="2268" t="s">
        <v>2737</v>
      </c>
      <c r="C26" s="2542" t="e">
        <f>IF(B21="容积率修正",E29+SUM(E33:E39),SUM(V2:V16)+SUM(E33:E39))</f>
        <v>#DIV/0!</v>
      </c>
      <c r="D26" s="2281"/>
      <c r="E26" s="2237"/>
      <c r="F26" s="2282"/>
      <c r="G26" s="2237"/>
      <c r="H26" s="2237"/>
      <c r="I26" s="2237"/>
      <c r="J26" s="2283"/>
      <c r="K26" s="1280"/>
      <c r="L26" s="3017" t="s">
        <v>2635</v>
      </c>
      <c r="M26" s="2210" t="s">
        <v>2700</v>
      </c>
      <c r="N26" s="2210" t="s">
        <v>2701</v>
      </c>
      <c r="O26" s="2210" t="s">
        <v>2702</v>
      </c>
      <c r="P26" s="3018" t="s">
        <v>2703</v>
      </c>
      <c r="Q26" s="2183"/>
      <c r="R26" s="1286"/>
      <c r="S26" s="1286"/>
      <c r="T26" s="1281"/>
      <c r="U26" s="1281"/>
      <c r="V26" s="1281"/>
      <c r="W26" s="1280"/>
      <c r="X26" s="1280"/>
      <c r="Y26" s="1280"/>
      <c r="Z26" s="1287"/>
      <c r="AA26" s="1287"/>
      <c r="AB26" s="1287"/>
      <c r="AC26" s="1287"/>
      <c r="AD26" s="1287"/>
      <c r="AE26" s="1281"/>
      <c r="AF26" s="1281"/>
      <c r="AG26" s="2340"/>
      <c r="AH26" s="2340"/>
      <c r="AI26" s="2340"/>
      <c r="AJ26" s="2340"/>
    </row>
    <row r="27" spans="1:37" ht="15.75" thickBot="1">
      <c r="A27" s="2280"/>
      <c r="B27" s="2284" t="s">
        <v>2738</v>
      </c>
      <c r="C27" s="870" t="e">
        <f>E30+SUM(I33:I39)</f>
        <v>#DIV/0!</v>
      </c>
      <c r="D27" s="2285"/>
      <c r="E27" s="2286"/>
      <c r="F27" s="2287"/>
      <c r="G27" s="2286"/>
      <c r="H27" s="2286"/>
      <c r="I27" s="2286"/>
      <c r="J27" s="2288"/>
      <c r="K27" s="1280"/>
      <c r="L27" s="2243"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0"/>
      <c r="AH27" s="2340"/>
      <c r="AI27" s="2340"/>
      <c r="AJ27" s="2340"/>
    </row>
    <row r="28" spans="1:37" ht="15.75" thickBot="1">
      <c r="A28" s="2289"/>
      <c r="B28" s="2290" t="s">
        <v>2739</v>
      </c>
      <c r="C28" s="2291" t="s">
        <v>2740</v>
      </c>
      <c r="D28" s="2291" t="s">
        <v>2741</v>
      </c>
      <c r="E28" s="2292" t="s">
        <v>2742</v>
      </c>
      <c r="F28" s="2293"/>
      <c r="G28" s="2225"/>
      <c r="H28" s="2225"/>
      <c r="I28" s="2225"/>
      <c r="J28" s="2226"/>
      <c r="K28" s="1280"/>
      <c r="L28" s="2244" t="s">
        <v>2710</v>
      </c>
      <c r="M28" s="183">
        <f>ROUND($E$20*(1+M27),3)</f>
        <v>5.3999999999999999E-2</v>
      </c>
      <c r="N28" s="183">
        <f>ROUND($E$20*(1+N27),3)</f>
        <v>5.1999999999999998E-2</v>
      </c>
      <c r="O28" s="183">
        <f>ROUND($E$20*(1+O27),3)</f>
        <v>0.05</v>
      </c>
      <c r="P28" s="1283">
        <f>ROUND($E$20*(1+P27),3)</f>
        <v>4.8000000000000001E-2</v>
      </c>
      <c r="Q28" s="1286"/>
      <c r="R28" s="1286"/>
      <c r="S28" s="1286"/>
      <c r="T28" s="1281"/>
      <c r="U28" s="1281"/>
      <c r="V28" s="1281"/>
      <c r="W28" s="1280"/>
      <c r="X28" s="1280"/>
      <c r="Y28" s="1280"/>
      <c r="Z28" s="1287"/>
      <c r="AA28" s="1287"/>
      <c r="AB28" s="1287"/>
      <c r="AC28" s="1287"/>
      <c r="AD28" s="1287"/>
      <c r="AE28" s="1281"/>
      <c r="AF28" s="1281"/>
      <c r="AG28" s="2340"/>
      <c r="AH28" s="2340"/>
      <c r="AI28" s="2340"/>
      <c r="AJ28" s="2340"/>
    </row>
    <row r="29" spans="1:37" ht="22.5" customHeight="1">
      <c r="A29" s="2294"/>
      <c r="B29" s="2295" t="s">
        <v>2743</v>
      </c>
      <c r="C29" s="180" t="e">
        <f>ROUND(C5*C18*C19*C20*C21*C24,0)</f>
        <v>#DIV/0!</v>
      </c>
      <c r="D29" s="2296"/>
      <c r="E29" s="879" t="e">
        <f>ROUND(C29*D29/10000,0)</f>
        <v>#DIV/0!</v>
      </c>
      <c r="F29" s="2297" t="s">
        <v>2744</v>
      </c>
      <c r="G29" s="2298"/>
      <c r="H29" s="2298"/>
      <c r="I29" s="2298"/>
      <c r="J29" s="2299"/>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3"/>
      <c r="AH29" s="2183"/>
      <c r="AI29" s="2183"/>
      <c r="AJ29" s="2183"/>
    </row>
    <row r="30" spans="1:37" ht="25.5" thickBot="1">
      <c r="A30" s="2300"/>
      <c r="B30" s="2301" t="s">
        <v>2745</v>
      </c>
      <c r="C30" s="193" t="e">
        <f>ROUND(IF(E2="工业",C29*M39,C29*M38),0)</f>
        <v>#DIV/0!</v>
      </c>
      <c r="D30" s="2302"/>
      <c r="E30" s="879" t="e">
        <f>ROUND(C30*D30/10000,0)</f>
        <v>#DIV/0!</v>
      </c>
      <c r="F30" s="2303" t="s">
        <v>2746</v>
      </c>
      <c r="G30" s="2304"/>
      <c r="H30" s="2304"/>
      <c r="I30" s="2304"/>
      <c r="J30" s="2305"/>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3"/>
      <c r="AH30" s="2183"/>
      <c r="AI30" s="2183"/>
      <c r="AJ30" s="2183"/>
    </row>
    <row r="31" spans="1:37" ht="14.25">
      <c r="A31" s="2306"/>
      <c r="B31" s="2307" t="s">
        <v>2747</v>
      </c>
      <c r="C31" s="2308" t="s">
        <v>2748</v>
      </c>
      <c r="D31" s="2225"/>
      <c r="E31" s="2308"/>
      <c r="F31" s="2308"/>
      <c r="G31" s="2223" t="s">
        <v>2749</v>
      </c>
      <c r="H31" s="2225"/>
      <c r="I31" s="2309"/>
      <c r="J31" s="2226"/>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3"/>
      <c r="AH31" s="2183"/>
      <c r="AI31" s="2183"/>
      <c r="AJ31" s="2183"/>
    </row>
    <row r="32" spans="1:37" ht="24">
      <c r="A32" s="2294"/>
      <c r="B32" s="2310"/>
      <c r="C32" s="458" t="s">
        <v>2740</v>
      </c>
      <c r="D32" s="455" t="s">
        <v>2741</v>
      </c>
      <c r="E32" s="455" t="s">
        <v>2742</v>
      </c>
      <c r="F32" s="348" t="s">
        <v>2750</v>
      </c>
      <c r="G32" s="2311" t="s">
        <v>2740</v>
      </c>
      <c r="H32" s="2311" t="s">
        <v>2741</v>
      </c>
      <c r="I32" s="2311" t="s">
        <v>2742</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3"/>
      <c r="AH32" s="2183"/>
      <c r="AI32" s="2183"/>
      <c r="AJ32" s="2183"/>
    </row>
    <row r="33" spans="1:37" ht="36" customHeight="1">
      <c r="A33" s="3998"/>
      <c r="B33" s="2312" t="s">
        <v>2751</v>
      </c>
      <c r="C33" s="180" t="e">
        <f>ROUND(D5*C19*C20*C24*F33,0)</f>
        <v>#DIV/0!</v>
      </c>
      <c r="D33" s="2296"/>
      <c r="E33" s="176" t="e">
        <f>ROUND(C33*D33/10000,0)</f>
        <v>#DIV/0!</v>
      </c>
      <c r="F33" s="176">
        <f>SUMIF(修正!A45:A56,G2,修正!B45:B56)</f>
        <v>0</v>
      </c>
      <c r="G33" s="176" t="e">
        <f t="shared" ref="G33" si="6">ROUND(IF(E2="工业",C33*$M$39,C33*$M$38),0)</f>
        <v>#DIV/0!</v>
      </c>
      <c r="H33" s="176">
        <f>D33</f>
        <v>0</v>
      </c>
      <c r="I33" s="176" t="e">
        <f>ROUND(G33*H33/10000,0)</f>
        <v>#DIV/0!</v>
      </c>
      <c r="J33" s="4003" t="s">
        <v>3057</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0"/>
      <c r="AH33" s="2340"/>
      <c r="AI33" s="2340"/>
      <c r="AJ33" s="2340"/>
    </row>
    <row r="34" spans="1:37" ht="14.25">
      <c r="A34" s="3999"/>
      <c r="B34" s="2229" t="s">
        <v>2752</v>
      </c>
      <c r="C34" s="180" t="e">
        <f>ROUND(D5*C19*C20*C24*F34,0)</f>
        <v>#DIV/0!</v>
      </c>
      <c r="D34" s="2296"/>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999"/>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0"/>
      <c r="AH34" s="2340"/>
      <c r="AI34" s="2340"/>
      <c r="AJ34" s="2340"/>
    </row>
    <row r="35" spans="1:37">
      <c r="A35" s="3999"/>
      <c r="B35" s="2229" t="s">
        <v>2753</v>
      </c>
      <c r="C35" s="180" t="e">
        <f>ROUND(D5*C19*C20*C24*F35,0)</f>
        <v>#DIV/0!</v>
      </c>
      <c r="D35" s="2296"/>
      <c r="E35" s="176" t="e">
        <f t="shared" si="7"/>
        <v>#DIV/0!</v>
      </c>
      <c r="F35" s="176">
        <f>SUMIF(修正!A45:A56,G2,修正!D45:D56)</f>
        <v>0</v>
      </c>
      <c r="G35" s="176" t="e">
        <f>ROUND(IF(E2="工业",C35*$M$39,C35*$M$38),0)</f>
        <v>#DIV/0!</v>
      </c>
      <c r="H35" s="176">
        <f t="shared" si="8"/>
        <v>0</v>
      </c>
      <c r="I35" s="176" t="e">
        <f t="shared" si="9"/>
        <v>#DIV/0!</v>
      </c>
      <c r="J35" s="3999"/>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0"/>
      <c r="AH35" s="2340"/>
      <c r="AI35" s="2340"/>
      <c r="AJ35" s="2340"/>
    </row>
    <row r="36" spans="1:37" ht="13.5" thickBot="1">
      <c r="A36" s="4000"/>
      <c r="B36" s="2229" t="s">
        <v>2754</v>
      </c>
      <c r="C36" s="180" t="e">
        <f>ROUND(D5*C19*C20*C24*F36,0)</f>
        <v>#DIV/0!</v>
      </c>
      <c r="D36" s="2296"/>
      <c r="E36" s="176" t="e">
        <f t="shared" si="7"/>
        <v>#DIV/0!</v>
      </c>
      <c r="F36" s="176">
        <f>SUMIF(修正!A45:A56,G2,修正!E45:E56)</f>
        <v>0</v>
      </c>
      <c r="G36" s="176" t="e">
        <f>ROUND(IF(E2="工业",C36*$M$39,C36*$M$38),0)</f>
        <v>#DIV/0!</v>
      </c>
      <c r="H36" s="176">
        <f t="shared" si="8"/>
        <v>0</v>
      </c>
      <c r="I36" s="176" t="e">
        <f t="shared" si="9"/>
        <v>#DIV/0!</v>
      </c>
      <c r="J36" s="4000"/>
      <c r="K36" s="1280"/>
      <c r="L36" s="2183"/>
      <c r="M36" s="2183"/>
      <c r="N36" s="1280"/>
      <c r="O36" s="1280"/>
      <c r="P36" s="1280"/>
      <c r="Q36" s="1280"/>
      <c r="R36" s="1280"/>
      <c r="S36" s="1280"/>
      <c r="T36" s="1280"/>
      <c r="U36" s="1280"/>
      <c r="V36" s="1280"/>
      <c r="W36" s="1280"/>
      <c r="X36" s="1280"/>
      <c r="Y36" s="1280"/>
      <c r="Z36" s="1281"/>
      <c r="AA36" s="1281"/>
      <c r="AB36" s="1281"/>
      <c r="AC36" s="1281"/>
      <c r="AD36" s="1281"/>
      <c r="AE36" s="1281"/>
      <c r="AF36" s="1281"/>
      <c r="AG36" s="2340"/>
      <c r="AH36" s="2340"/>
      <c r="AI36" s="2340"/>
      <c r="AJ36" s="2340"/>
    </row>
    <row r="37" spans="1:37">
      <c r="A37" s="2314"/>
      <c r="B37" s="2229" t="s">
        <v>2755</v>
      </c>
      <c r="C37" s="176" t="e">
        <f>ROUND(D5*C19*C20*C24*F37,0)</f>
        <v>#DIV/0!</v>
      </c>
      <c r="D37" s="2296"/>
      <c r="E37" s="176" t="e">
        <f t="shared" si="7"/>
        <v>#DIV/0!</v>
      </c>
      <c r="F37" s="180">
        <f>SUMIF(修正!A45:A56,G2,修正!F45:F56)</f>
        <v>0</v>
      </c>
      <c r="G37" s="176" t="e">
        <f>ROUND(IF(E2="工业",C37*$M$39,C37*$M$38),0)</f>
        <v>#DIV/0!</v>
      </c>
      <c r="H37" s="176">
        <f t="shared" si="8"/>
        <v>0</v>
      </c>
      <c r="I37" s="176" t="e">
        <f t="shared" si="9"/>
        <v>#DIV/0!</v>
      </c>
      <c r="J37" s="2313"/>
      <c r="K37" s="1280"/>
      <c r="L37" s="2315" t="s">
        <v>2756</v>
      </c>
      <c r="M37" s="2316"/>
      <c r="N37" s="1280"/>
      <c r="O37" s="1280"/>
      <c r="P37" s="1280"/>
      <c r="Q37" s="1280"/>
      <c r="R37" s="1280"/>
      <c r="S37" s="1280"/>
      <c r="T37" s="1280"/>
      <c r="U37" s="1280"/>
      <c r="V37" s="1280"/>
      <c r="W37" s="1280"/>
      <c r="X37" s="1280"/>
      <c r="Y37" s="1280"/>
      <c r="Z37" s="1281"/>
      <c r="AA37" s="1281"/>
      <c r="AB37" s="1281"/>
      <c r="AC37" s="1281"/>
      <c r="AD37" s="1281"/>
      <c r="AE37" s="1281"/>
      <c r="AF37" s="1281"/>
      <c r="AG37" s="2340"/>
      <c r="AH37" s="2340"/>
      <c r="AI37" s="2340"/>
      <c r="AJ37" s="2340"/>
    </row>
    <row r="38" spans="1:37">
      <c r="A38" s="2314"/>
      <c r="B38" s="2229" t="s">
        <v>2757</v>
      </c>
      <c r="C38" s="176" t="e">
        <f>ROUND(D5*C19*C41*C24*F38,0)</f>
        <v>#DIV/0!</v>
      </c>
      <c r="D38" s="2296"/>
      <c r="E38" s="176" t="e">
        <f t="shared" si="7"/>
        <v>#DIV/0!</v>
      </c>
      <c r="F38" s="180">
        <f>SUMIF(修正!A45:A56,G2,修正!G45:G56)</f>
        <v>0</v>
      </c>
      <c r="G38" s="176" t="e">
        <f>ROUND(IF(E2="工业",C38*$M$39,C38*$M$38),0)</f>
        <v>#DIV/0!</v>
      </c>
      <c r="H38" s="176">
        <f t="shared" si="8"/>
        <v>0</v>
      </c>
      <c r="I38" s="176" t="e">
        <f t="shared" si="9"/>
        <v>#DIV/0!</v>
      </c>
      <c r="J38" s="2313"/>
      <c r="K38" s="1280"/>
      <c r="L38" s="1605" t="s">
        <v>2758</v>
      </c>
      <c r="M38" s="2317">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0"/>
      <c r="B39" s="2318" t="s">
        <v>2759</v>
      </c>
      <c r="C39" s="193" t="e">
        <f>ROUND(D5*C19*C41*C24*F39,0)</f>
        <v>#DIV/0!</v>
      </c>
      <c r="D39" s="2302"/>
      <c r="E39" s="193" t="e">
        <f t="shared" si="7"/>
        <v>#DIV/0!</v>
      </c>
      <c r="F39" s="871">
        <f>SUMIF(修正!A45:A56,G2,修正!H45:H56)</f>
        <v>0</v>
      </c>
      <c r="G39" s="193" t="e">
        <f>ROUND(IF(E2="工业",C39*$M$39,C39*$M$38),0)</f>
        <v>#DIV/0!</v>
      </c>
      <c r="H39" s="193">
        <f t="shared" si="8"/>
        <v>0</v>
      </c>
      <c r="I39" s="193" t="e">
        <f t="shared" si="9"/>
        <v>#DIV/0!</v>
      </c>
      <c r="J39" s="2319"/>
      <c r="K39" s="1280"/>
      <c r="L39" s="2320" t="s">
        <v>2703</v>
      </c>
      <c r="M39" s="2321">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0" t="s">
        <v>2864</v>
      </c>
      <c r="C41" s="348" t="e">
        <f>ROUND(POWER(1+E41,H41-G41)*(POWER(1+E41,G41)-1)/(POWER(1+E41,H41)-1),4)</f>
        <v>#DIV/0!</v>
      </c>
      <c r="D41" s="176" t="s">
        <v>2710</v>
      </c>
      <c r="E41" s="2369">
        <f>G20</f>
        <v>0</v>
      </c>
      <c r="F41" s="176" t="s">
        <v>2719</v>
      </c>
      <c r="G41" s="189"/>
      <c r="H41" s="176">
        <v>50</v>
      </c>
      <c r="Z41" s="1281"/>
      <c r="AA41" s="1281"/>
      <c r="AB41" s="1281"/>
      <c r="AC41" s="1281"/>
      <c r="AD41" s="1281"/>
      <c r="AE41" s="1281"/>
      <c r="AF41" s="1281"/>
      <c r="AG41" s="1281"/>
      <c r="AH41" s="1281"/>
      <c r="AI41" s="1281"/>
      <c r="AJ41" s="1281"/>
    </row>
    <row r="42" spans="1:37" s="1280" customFormat="1">
      <c r="A42" s="1281"/>
      <c r="B42" s="2322"/>
      <c r="Z42" s="1281"/>
      <c r="AA42" s="1281"/>
      <c r="AB42" s="1281"/>
      <c r="AC42" s="1281"/>
      <c r="AD42" s="1281"/>
      <c r="AE42" s="1281"/>
      <c r="AF42" s="1281"/>
      <c r="AG42" s="1281"/>
      <c r="AH42" s="1281"/>
      <c r="AI42" s="1281"/>
      <c r="AJ42" s="1281"/>
    </row>
    <row r="43" spans="1:37" s="1280" customFormat="1">
      <c r="A43" s="1281"/>
      <c r="B43" s="2322"/>
      <c r="Z43" s="1281"/>
      <c r="AA43" s="1281"/>
      <c r="AB43" s="1281"/>
      <c r="AC43" s="1281"/>
      <c r="AD43" s="1281"/>
      <c r="AE43" s="1281"/>
      <c r="AF43" s="1281"/>
      <c r="AG43" s="1281"/>
      <c r="AH43" s="1281"/>
      <c r="AI43" s="1281"/>
      <c r="AJ43" s="1281"/>
    </row>
    <row r="44" spans="1:37" s="1280" customFormat="1">
      <c r="A44" s="1281"/>
      <c r="B44" s="2322"/>
      <c r="Z44" s="1281"/>
      <c r="AA44" s="1281"/>
      <c r="AB44" s="1281"/>
      <c r="AC44" s="1281"/>
      <c r="AD44" s="1281"/>
      <c r="AE44" s="1281"/>
      <c r="AF44" s="1281"/>
      <c r="AG44" s="1281"/>
      <c r="AH44" s="1281"/>
      <c r="AI44" s="1281"/>
      <c r="AJ44" s="1281"/>
    </row>
    <row r="45" spans="1:37" s="1280" customFormat="1" ht="15.75" thickBot="1">
      <c r="A45" s="2323" t="s">
        <v>2760</v>
      </c>
      <c r="B45" s="2324"/>
      <c r="C45" s="7"/>
      <c r="D45" s="7"/>
      <c r="E45" s="7"/>
      <c r="F45" s="6"/>
      <c r="G45" s="6"/>
      <c r="H45" s="6"/>
      <c r="I45" s="2007"/>
      <c r="J45" s="2007"/>
      <c r="K45" s="2007"/>
      <c r="L45" s="2007"/>
      <c r="M45" s="2007"/>
      <c r="Z45" s="1281"/>
      <c r="AA45" s="1281"/>
      <c r="AB45" s="1281"/>
      <c r="AC45" s="1281"/>
      <c r="AD45" s="1281"/>
      <c r="AE45" s="1281"/>
      <c r="AF45" s="1281"/>
      <c r="AG45" s="1281"/>
      <c r="AH45" s="1281"/>
      <c r="AI45" s="1281"/>
      <c r="AJ45" s="1281"/>
    </row>
    <row r="46" spans="1:37" s="1280" customFormat="1" ht="15">
      <c r="A46" s="2325" t="s">
        <v>2761</v>
      </c>
      <c r="B46" s="2326">
        <f>1+E48</f>
        <v>1</v>
      </c>
      <c r="C46" s="2327"/>
      <c r="D46" s="753"/>
      <c r="E46" s="754"/>
      <c r="F46" s="2328"/>
      <c r="G46" s="6"/>
      <c r="H46" s="7"/>
      <c r="I46" s="2007"/>
      <c r="J46" s="2007"/>
      <c r="K46" s="2007"/>
      <c r="L46" s="2007"/>
      <c r="M46" s="2007"/>
      <c r="Z46" s="1281"/>
      <c r="AA46" s="1281"/>
      <c r="AB46" s="1281"/>
      <c r="AC46" s="1281"/>
      <c r="AD46" s="1281"/>
      <c r="AE46" s="1281"/>
      <c r="AF46" s="1281"/>
      <c r="AG46" s="1281"/>
      <c r="AH46" s="1281"/>
      <c r="AI46" s="1281"/>
      <c r="AJ46" s="1281"/>
    </row>
    <row r="47" spans="1:37" s="1280" customFormat="1" ht="24.75">
      <c r="A47" s="2329" t="s">
        <v>2762</v>
      </c>
      <c r="B47" s="1535" t="s">
        <v>2763</v>
      </c>
      <c r="C47" s="1535" t="s">
        <v>2764</v>
      </c>
      <c r="D47" s="1535" t="s">
        <v>2765</v>
      </c>
      <c r="E47" s="758" t="s">
        <v>2766</v>
      </c>
      <c r="F47" s="2330" t="s">
        <v>2767</v>
      </c>
      <c r="G47" s="1535" t="s">
        <v>754</v>
      </c>
      <c r="H47" s="2331" t="s">
        <v>2768</v>
      </c>
      <c r="I47" s="1535" t="s">
        <v>2769</v>
      </c>
      <c r="J47" s="560" t="s">
        <v>2418</v>
      </c>
      <c r="K47" s="560" t="s">
        <v>2419</v>
      </c>
      <c r="L47" s="560" t="s">
        <v>2420</v>
      </c>
      <c r="M47" s="560" t="s">
        <v>2421</v>
      </c>
      <c r="N47" s="560" t="s">
        <v>2422</v>
      </c>
      <c r="AA47" s="1281"/>
      <c r="AB47" s="1281"/>
      <c r="AC47" s="1281"/>
      <c r="AD47" s="1281"/>
      <c r="AE47" s="1281"/>
      <c r="AF47" s="1281"/>
      <c r="AG47" s="1281"/>
      <c r="AH47" s="1281"/>
      <c r="AI47" s="1281"/>
      <c r="AJ47" s="1281"/>
      <c r="AK47" s="1281"/>
    </row>
    <row r="48" spans="1:37" s="1280" customFormat="1" ht="38.25">
      <c r="A48" s="2329" t="s">
        <v>2770</v>
      </c>
      <c r="B48" s="2332" t="str">
        <f>估价对象房地状况!C4</f>
        <v>估价对象位于XX商圈，周边商业氛围成熟，人流量大，商业繁华度好</v>
      </c>
      <c r="C48" s="2234"/>
      <c r="D48" s="1196">
        <f t="shared" ref="D48:D56" si="10">SUMIF($J$47:$N$47,C48,J48:N48)</f>
        <v>0</v>
      </c>
      <c r="E48" s="760">
        <f>ROUND(SUM(D48:D56),4)</f>
        <v>0</v>
      </c>
      <c r="F48" s="200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29" t="s">
        <v>2771</v>
      </c>
      <c r="B49" s="2333" t="str">
        <f>估价对象房地状况!C18</f>
        <v>估价对象周边道路状况、公共交通通达情况、停车便捷程度，综合评价交通便捷度较好</v>
      </c>
      <c r="C49" s="2234"/>
      <c r="D49" s="1196">
        <f t="shared" si="10"/>
        <v>0</v>
      </c>
      <c r="E49" s="761"/>
      <c r="F49" s="2000"/>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29" t="s">
        <v>2772</v>
      </c>
      <c r="B50" s="2333">
        <f>估价对象房地状况!C19</f>
        <v>0</v>
      </c>
      <c r="C50" s="2234"/>
      <c r="D50" s="1196">
        <f t="shared" si="10"/>
        <v>0</v>
      </c>
      <c r="E50" s="761"/>
      <c r="F50" s="2000"/>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29" t="s">
        <v>2773</v>
      </c>
      <c r="B51" s="2334" t="s">
        <v>2774</v>
      </c>
      <c r="C51" s="2234"/>
      <c r="D51" s="1196">
        <f t="shared" si="10"/>
        <v>0</v>
      </c>
      <c r="E51" s="761"/>
      <c r="F51" s="2000"/>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29" t="s">
        <v>2775</v>
      </c>
      <c r="B52" s="2333">
        <f>估价对象房地状况!C24</f>
        <v>0</v>
      </c>
      <c r="C52" s="2234"/>
      <c r="D52" s="1196">
        <f t="shared" si="10"/>
        <v>0</v>
      </c>
      <c r="E52" s="761"/>
      <c r="F52" s="2000"/>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29" t="s">
        <v>2776</v>
      </c>
      <c r="B53" s="2335" t="s">
        <v>2777</v>
      </c>
      <c r="C53" s="2234"/>
      <c r="D53" s="1196">
        <f t="shared" si="10"/>
        <v>0</v>
      </c>
      <c r="E53" s="761"/>
      <c r="F53" s="2000"/>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6" t="s">
        <v>2778</v>
      </c>
      <c r="B54" s="1494" t="str">
        <f>估价对象房地状况!C21</f>
        <v>估价对象所在区域公共配套设施齐备情况</v>
      </c>
      <c r="C54" s="2234"/>
      <c r="D54" s="1196">
        <f t="shared" si="10"/>
        <v>0</v>
      </c>
      <c r="E54" s="761"/>
      <c r="F54" s="2000"/>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6" t="s">
        <v>2779</v>
      </c>
      <c r="B55" s="2333" t="str">
        <f>估价对象房地状况!C22</f>
        <v>估价对象所在区域基础设施水平</v>
      </c>
      <c r="C55" s="2234"/>
      <c r="D55" s="1196">
        <f t="shared" si="10"/>
        <v>0</v>
      </c>
      <c r="E55" s="761"/>
      <c r="F55" s="2000"/>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7" t="s">
        <v>2780</v>
      </c>
      <c r="B56" s="2338" t="str">
        <f>估价对象房地状况!C20</f>
        <v>区域自然环境：；人文环境；综合评价环境状况一般</v>
      </c>
      <c r="C56" s="2234"/>
      <c r="D56" s="1196">
        <f t="shared" si="10"/>
        <v>0</v>
      </c>
      <c r="E56" s="764"/>
      <c r="F56" s="2000"/>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5" t="s">
        <v>2781</v>
      </c>
      <c r="B57" s="2326">
        <f>1+E59</f>
        <v>1</v>
      </c>
      <c r="C57" s="753"/>
      <c r="D57" s="753"/>
      <c r="E57" s="754"/>
      <c r="F57" s="2328"/>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29" t="s">
        <v>2762</v>
      </c>
      <c r="B58" s="1535"/>
      <c r="C58" s="1535" t="s">
        <v>2764</v>
      </c>
      <c r="D58" s="1535" t="s">
        <v>2765</v>
      </c>
      <c r="E58" s="758" t="s">
        <v>2766</v>
      </c>
      <c r="F58" s="2330" t="s">
        <v>2782</v>
      </c>
      <c r="G58" s="1535" t="s">
        <v>754</v>
      </c>
      <c r="H58" s="2331" t="s">
        <v>2768</v>
      </c>
      <c r="I58" s="1535" t="s">
        <v>2769</v>
      </c>
      <c r="J58" s="560" t="s">
        <v>2418</v>
      </c>
      <c r="K58" s="560" t="s">
        <v>2419</v>
      </c>
      <c r="L58" s="560" t="s">
        <v>2420</v>
      </c>
      <c r="M58" s="560" t="s">
        <v>2421</v>
      </c>
      <c r="N58" s="560" t="s">
        <v>2422</v>
      </c>
      <c r="AA58" s="1281"/>
      <c r="AB58" s="1281"/>
      <c r="AC58" s="1281"/>
      <c r="AD58" s="1281"/>
      <c r="AE58" s="1281"/>
      <c r="AF58" s="1281"/>
      <c r="AG58" s="1281"/>
      <c r="AH58" s="1281"/>
      <c r="AI58" s="1281"/>
      <c r="AJ58" s="1281"/>
      <c r="AK58" s="1281"/>
    </row>
    <row r="59" spans="1:37" s="1280" customFormat="1" ht="38.25">
      <c r="A59" s="2329" t="s">
        <v>2783</v>
      </c>
      <c r="B59" s="2332" t="str">
        <f>估价对象房地状况!C17</f>
        <v>估价对象位于XX商圈，周边办公楼项目较多，入驻率高，办公集聚程度较好</v>
      </c>
      <c r="C59" s="2234"/>
      <c r="D59" s="1196">
        <f t="shared" ref="D59:D67" si="15">SUMIF($J$58:$N$58,C59,J59:N59)</f>
        <v>0</v>
      </c>
      <c r="E59" s="760">
        <f>ROUND(SUM(D59:D67),4)</f>
        <v>0</v>
      </c>
      <c r="F59" s="200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29" t="s">
        <v>2771</v>
      </c>
      <c r="B60" s="2333" t="str">
        <f>估价对象房地状况!C18</f>
        <v>估价对象周边道路状况、公共交通通达情况、停车便捷程度，综合评价交通便捷度较好</v>
      </c>
      <c r="C60" s="2234"/>
      <c r="D60" s="1196">
        <f t="shared" si="15"/>
        <v>0</v>
      </c>
      <c r="E60" s="761"/>
      <c r="F60" s="2000"/>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29" t="s">
        <v>2772</v>
      </c>
      <c r="B61" s="2333">
        <f>估价对象房地状况!C19</f>
        <v>0</v>
      </c>
      <c r="C61" s="2234"/>
      <c r="D61" s="1196">
        <f t="shared" si="15"/>
        <v>0</v>
      </c>
      <c r="E61" s="761"/>
      <c r="F61" s="2000"/>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29" t="s">
        <v>2773</v>
      </c>
      <c r="B62" s="2334" t="s">
        <v>2774</v>
      </c>
      <c r="C62" s="2234"/>
      <c r="D62" s="1196">
        <f t="shared" si="15"/>
        <v>0</v>
      </c>
      <c r="E62" s="761"/>
      <c r="F62" s="2000"/>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29" t="s">
        <v>2775</v>
      </c>
      <c r="B63" s="2333">
        <f>估价对象房地状况!C24</f>
        <v>0</v>
      </c>
      <c r="C63" s="2234"/>
      <c r="D63" s="1196">
        <f t="shared" si="15"/>
        <v>0</v>
      </c>
      <c r="E63" s="761"/>
      <c r="F63" s="2000"/>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29" t="s">
        <v>2776</v>
      </c>
      <c r="B64" s="2335" t="s">
        <v>2777</v>
      </c>
      <c r="C64" s="2234"/>
      <c r="D64" s="1196">
        <f t="shared" si="15"/>
        <v>0</v>
      </c>
      <c r="E64" s="761"/>
      <c r="F64" s="2000"/>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29" t="s">
        <v>2778</v>
      </c>
      <c r="B65" s="1494" t="str">
        <f>估价对象房地状况!C21</f>
        <v>估价对象所在区域公共配套设施齐备情况</v>
      </c>
      <c r="C65" s="2234"/>
      <c r="D65" s="1196">
        <f t="shared" si="15"/>
        <v>0</v>
      </c>
      <c r="E65" s="761"/>
      <c r="F65" s="2000"/>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29" t="s">
        <v>2779</v>
      </c>
      <c r="B66" s="1494" t="str">
        <f>估价对象房地状况!C22</f>
        <v>估价对象所在区域基础设施水平</v>
      </c>
      <c r="C66" s="2234"/>
      <c r="D66" s="1196">
        <f t="shared" si="15"/>
        <v>0</v>
      </c>
      <c r="E66" s="761"/>
      <c r="F66" s="2000"/>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7" t="s">
        <v>2780</v>
      </c>
      <c r="B67" s="2339" t="str">
        <f>估价对象房地状况!C20</f>
        <v>区域自然环境：；人文环境；综合评价环境状况一般</v>
      </c>
      <c r="C67" s="2234"/>
      <c r="D67" s="1196">
        <f t="shared" si="15"/>
        <v>0</v>
      </c>
      <c r="E67" s="764"/>
      <c r="F67" s="2000"/>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5" t="s">
        <v>2784</v>
      </c>
      <c r="B68" s="2326">
        <f>1+E70</f>
        <v>1</v>
      </c>
      <c r="C68" s="753"/>
      <c r="D68" s="753"/>
      <c r="E68" s="754"/>
      <c r="F68" s="2328"/>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29" t="s">
        <v>2762</v>
      </c>
      <c r="B69" s="1535"/>
      <c r="C69" s="1535" t="s">
        <v>2764</v>
      </c>
      <c r="D69" s="1535" t="s">
        <v>2765</v>
      </c>
      <c r="E69" s="758" t="s">
        <v>2766</v>
      </c>
      <c r="F69" s="2330" t="s">
        <v>2782</v>
      </c>
      <c r="G69" s="1535" t="s">
        <v>754</v>
      </c>
      <c r="H69" s="2331" t="s">
        <v>2768</v>
      </c>
      <c r="I69" s="1535" t="s">
        <v>2769</v>
      </c>
      <c r="J69" s="560" t="s">
        <v>2418</v>
      </c>
      <c r="K69" s="560" t="s">
        <v>2419</v>
      </c>
      <c r="L69" s="560" t="s">
        <v>2420</v>
      </c>
      <c r="M69" s="560" t="s">
        <v>2421</v>
      </c>
      <c r="N69" s="560" t="s">
        <v>2422</v>
      </c>
      <c r="AA69" s="1281"/>
      <c r="AB69" s="1281"/>
      <c r="AC69" s="1281"/>
      <c r="AD69" s="1281"/>
      <c r="AE69" s="1281"/>
      <c r="AF69" s="1281"/>
      <c r="AG69" s="1281"/>
      <c r="AH69" s="1281"/>
      <c r="AI69" s="1281"/>
      <c r="AJ69" s="1281"/>
      <c r="AK69" s="1281"/>
    </row>
    <row r="70" spans="1:37" s="1280" customFormat="1" ht="51">
      <c r="A70" s="2329" t="s">
        <v>2785</v>
      </c>
      <c r="B70" s="2332" t="str">
        <f>估价对象房地状况!C15</f>
        <v>估价对象周边居住用地比例、居住小区规模和社区发展完善程度，综合评价居住社区成熟度一般</v>
      </c>
      <c r="C70" s="2234"/>
      <c r="D70" s="1196">
        <f t="shared" ref="D70:D78" si="20">SUMIF($J$69:$N$69,C70,J70:N70)</f>
        <v>0</v>
      </c>
      <c r="E70" s="760">
        <f>ROUND(SUM(D70:D78),4)</f>
        <v>0</v>
      </c>
      <c r="F70" s="200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29" t="s">
        <v>2771</v>
      </c>
      <c r="B71" s="2333" t="str">
        <f>估价对象房地状况!C18</f>
        <v>估价对象周边道路状况、公共交通通达情况、停车便捷程度，综合评价交通便捷度较好</v>
      </c>
      <c r="C71" s="2234"/>
      <c r="D71" s="1196">
        <f t="shared" si="20"/>
        <v>0</v>
      </c>
      <c r="E71" s="765"/>
      <c r="F71" s="2000"/>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29" t="s">
        <v>2772</v>
      </c>
      <c r="B72" s="2333">
        <f>估价对象房地状况!C19</f>
        <v>0</v>
      </c>
      <c r="C72" s="2234"/>
      <c r="D72" s="1196">
        <f t="shared" si="20"/>
        <v>0</v>
      </c>
      <c r="E72" s="765"/>
      <c r="F72" s="2000"/>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29" t="s">
        <v>2786</v>
      </c>
      <c r="B73" s="2333">
        <f>估价对象房地状况!C24</f>
        <v>0</v>
      </c>
      <c r="C73" s="2234"/>
      <c r="D73" s="1196">
        <f t="shared" si="20"/>
        <v>0</v>
      </c>
      <c r="E73" s="765"/>
      <c r="F73" s="2000"/>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29" t="s">
        <v>2778</v>
      </c>
      <c r="B74" s="1494" t="str">
        <f>估价对象房地状况!C21</f>
        <v>估价对象所在区域公共配套设施齐备情况</v>
      </c>
      <c r="C74" s="2234"/>
      <c r="D74" s="1196">
        <f t="shared" si="20"/>
        <v>0</v>
      </c>
      <c r="E74" s="765"/>
      <c r="F74" s="2000"/>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29" t="s">
        <v>2779</v>
      </c>
      <c r="B75" s="1494" t="str">
        <f>估价对象房地状况!C22</f>
        <v>估价对象所在区域基础设施水平</v>
      </c>
      <c r="C75" s="2234"/>
      <c r="D75" s="1196">
        <f t="shared" si="20"/>
        <v>0</v>
      </c>
      <c r="E75" s="765"/>
      <c r="F75" s="2000"/>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3" customFormat="1" ht="24">
      <c r="A76" s="2329" t="s">
        <v>2776</v>
      </c>
      <c r="B76" s="2335" t="s">
        <v>2777</v>
      </c>
      <c r="C76" s="2234"/>
      <c r="D76" s="1196">
        <f t="shared" si="20"/>
        <v>0</v>
      </c>
      <c r="E76" s="765"/>
      <c r="F76" s="2000"/>
      <c r="G76" s="1194"/>
      <c r="H76" s="1198" t="str">
        <f t="shared" si="21"/>
        <v>——</v>
      </c>
      <c r="I76" s="759">
        <v>0.05</v>
      </c>
      <c r="J76" s="1195">
        <f t="shared" si="22"/>
        <v>0</v>
      </c>
      <c r="K76" s="1195">
        <f t="shared" si="23"/>
        <v>0</v>
      </c>
      <c r="L76" s="1195">
        <v>0</v>
      </c>
      <c r="M76" s="1195">
        <f t="shared" si="24"/>
        <v>0</v>
      </c>
      <c r="N76" s="1195">
        <f t="shared" si="24"/>
        <v>0</v>
      </c>
      <c r="AA76" s="2340"/>
      <c r="AB76" s="1281"/>
      <c r="AC76" s="1281"/>
      <c r="AD76" s="1281"/>
      <c r="AE76" s="1281"/>
      <c r="AF76" s="1281"/>
      <c r="AG76" s="1281"/>
      <c r="AH76" s="2340"/>
      <c r="AI76" s="2340"/>
      <c r="AJ76" s="2340"/>
      <c r="AK76" s="2340"/>
    </row>
    <row r="77" spans="1:37" ht="38.25">
      <c r="A77" s="2329" t="s">
        <v>2780</v>
      </c>
      <c r="B77" s="2332" t="str">
        <f>估价对象房地状况!C20</f>
        <v>区域自然环境：；人文环境；综合评价环境状况一般</v>
      </c>
      <c r="C77" s="2234"/>
      <c r="D77" s="1196">
        <f t="shared" si="20"/>
        <v>0</v>
      </c>
      <c r="E77" s="765"/>
      <c r="F77" s="2000"/>
      <c r="G77" s="1194"/>
      <c r="H77" s="1198" t="str">
        <f t="shared" si="21"/>
        <v>——</v>
      </c>
      <c r="I77" s="759">
        <v>0.15</v>
      </c>
      <c r="J77" s="1195">
        <f t="shared" si="22"/>
        <v>0</v>
      </c>
      <c r="K77" s="1195">
        <f t="shared" si="23"/>
        <v>0</v>
      </c>
      <c r="L77" s="1195">
        <v>0</v>
      </c>
      <c r="M77" s="1195">
        <f t="shared" si="24"/>
        <v>0</v>
      </c>
      <c r="N77" s="1195">
        <f t="shared" si="24"/>
        <v>0</v>
      </c>
      <c r="Z77" s="2184"/>
      <c r="AA77" s="2250"/>
      <c r="AG77" s="1282"/>
      <c r="AK77" s="2250"/>
    </row>
    <row r="78" spans="1:37" ht="24.75" thickBot="1">
      <c r="A78" s="2337" t="s">
        <v>2787</v>
      </c>
      <c r="B78" s="2341"/>
      <c r="C78" s="2234"/>
      <c r="D78" s="1196">
        <f t="shared" si="20"/>
        <v>0</v>
      </c>
      <c r="E78" s="766"/>
      <c r="F78" s="2000"/>
      <c r="G78" s="1194"/>
      <c r="H78" s="1198" t="str">
        <f t="shared" si="21"/>
        <v>——</v>
      </c>
      <c r="I78" s="763">
        <v>0.04</v>
      </c>
      <c r="J78" s="1195">
        <f t="shared" si="22"/>
        <v>0</v>
      </c>
      <c r="K78" s="1195">
        <f t="shared" si="23"/>
        <v>0</v>
      </c>
      <c r="L78" s="1195">
        <v>0</v>
      </c>
      <c r="M78" s="1195">
        <f t="shared" si="24"/>
        <v>0</v>
      </c>
      <c r="N78" s="1195">
        <f t="shared" si="24"/>
        <v>0</v>
      </c>
      <c r="Z78" s="2184"/>
      <c r="AA78" s="2250"/>
      <c r="AG78" s="1282"/>
      <c r="AK78" s="2250"/>
    </row>
    <row r="79" spans="1:37" ht="15">
      <c r="A79" s="2325" t="s">
        <v>2788</v>
      </c>
      <c r="B79" s="2326">
        <f>1+E81</f>
        <v>1</v>
      </c>
      <c r="C79" s="753"/>
      <c r="D79" s="753"/>
      <c r="E79" s="754"/>
      <c r="F79" s="2328"/>
      <c r="G79" s="6"/>
      <c r="H79" s="6"/>
      <c r="I79" s="6"/>
      <c r="J79" s="7"/>
      <c r="K79" s="7"/>
      <c r="L79" s="7"/>
      <c r="M79" s="7"/>
      <c r="N79" s="7"/>
      <c r="Z79" s="2184"/>
      <c r="AA79" s="2250"/>
      <c r="AG79" s="1282"/>
      <c r="AK79" s="2250"/>
    </row>
    <row r="80" spans="1:37" ht="24.75">
      <c r="A80" s="2329" t="s">
        <v>2762</v>
      </c>
      <c r="B80" s="1535"/>
      <c r="C80" s="1535" t="s">
        <v>2764</v>
      </c>
      <c r="D80" s="1535" t="s">
        <v>2765</v>
      </c>
      <c r="E80" s="758" t="s">
        <v>2766</v>
      </c>
      <c r="F80" s="2330" t="s">
        <v>2782</v>
      </c>
      <c r="G80" s="1535" t="s">
        <v>754</v>
      </c>
      <c r="H80" s="2331" t="s">
        <v>2768</v>
      </c>
      <c r="I80" s="1535" t="s">
        <v>2769</v>
      </c>
      <c r="J80" s="560" t="s">
        <v>2418</v>
      </c>
      <c r="K80" s="560" t="s">
        <v>2419</v>
      </c>
      <c r="L80" s="560" t="s">
        <v>2420</v>
      </c>
      <c r="M80" s="560" t="s">
        <v>2421</v>
      </c>
      <c r="N80" s="560" t="s">
        <v>2422</v>
      </c>
      <c r="Z80" s="2184"/>
      <c r="AA80" s="2250"/>
      <c r="AG80" s="1282"/>
      <c r="AK80" s="2250"/>
    </row>
    <row r="81" spans="1:37" ht="38.25">
      <c r="A81" s="2329" t="s">
        <v>2789</v>
      </c>
      <c r="B81" s="2333" t="str">
        <f>估价对象房地状况!G15</f>
        <v>估价对象位于XX开发区，园区建设成熟度XX，产业集聚程度XX</v>
      </c>
      <c r="C81" s="2234"/>
      <c r="D81" s="1196">
        <f t="shared" ref="D81:D88" si="25">SUMIF($J$80:$N$80,C81,J81:N81)</f>
        <v>0</v>
      </c>
      <c r="E81" s="760">
        <f>ROUND(SUM(D81:D88),4)</f>
        <v>0</v>
      </c>
      <c r="F81" s="2000"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4"/>
      <c r="AA81" s="2250"/>
      <c r="AG81" s="1282"/>
      <c r="AK81" s="2250"/>
    </row>
    <row r="82" spans="1:37" ht="51">
      <c r="A82" s="2329" t="s">
        <v>2771</v>
      </c>
      <c r="B82" s="2333" t="str">
        <f>估价对象房地状况!G16</f>
        <v>估价对象周边道路状况、公共交通通达情况、停车便捷程度，综合评价交通便捷度较好</v>
      </c>
      <c r="C82" s="2234"/>
      <c r="D82" s="1196">
        <f t="shared" si="25"/>
        <v>0</v>
      </c>
      <c r="E82" s="765"/>
      <c r="F82" s="2000"/>
      <c r="G82" s="1194"/>
      <c r="H82" s="1198" t="str">
        <f t="shared" si="26"/>
        <v>——</v>
      </c>
      <c r="I82" s="759">
        <v>0.33</v>
      </c>
      <c r="J82" s="1195">
        <f t="shared" si="27"/>
        <v>0</v>
      </c>
      <c r="K82" s="1195">
        <f t="shared" si="28"/>
        <v>0</v>
      </c>
      <c r="L82" s="1195">
        <v>0</v>
      </c>
      <c r="M82" s="1195">
        <f t="shared" si="29"/>
        <v>0</v>
      </c>
      <c r="N82" s="1195">
        <f t="shared" si="29"/>
        <v>0</v>
      </c>
      <c r="Z82" s="2184"/>
      <c r="AA82" s="2250"/>
      <c r="AG82" s="1282"/>
      <c r="AK82" s="2250"/>
    </row>
    <row r="83" spans="1:37" ht="24">
      <c r="A83" s="2329" t="s">
        <v>2772</v>
      </c>
      <c r="B83" s="2333">
        <f>估价对象房地状况!G17</f>
        <v>0</v>
      </c>
      <c r="C83" s="2234"/>
      <c r="D83" s="1196">
        <f t="shared" si="25"/>
        <v>0</v>
      </c>
      <c r="E83" s="765"/>
      <c r="F83" s="2000"/>
      <c r="G83" s="1194"/>
      <c r="H83" s="1198" t="str">
        <f t="shared" si="26"/>
        <v>——</v>
      </c>
      <c r="I83" s="759">
        <v>0.05</v>
      </c>
      <c r="J83" s="1195">
        <f t="shared" si="27"/>
        <v>0</v>
      </c>
      <c r="K83" s="1195">
        <f t="shared" si="28"/>
        <v>0</v>
      </c>
      <c r="L83" s="1195">
        <v>0</v>
      </c>
      <c r="M83" s="1195">
        <f t="shared" si="29"/>
        <v>0</v>
      </c>
      <c r="N83" s="1195">
        <f t="shared" si="29"/>
        <v>0</v>
      </c>
      <c r="Z83" s="2184"/>
      <c r="AA83" s="2250"/>
      <c r="AG83" s="1282"/>
      <c r="AK83" s="2250"/>
    </row>
    <row r="84" spans="1:37" ht="14.25">
      <c r="A84" s="2329" t="s">
        <v>2786</v>
      </c>
      <c r="B84" s="2333">
        <f>估价对象房地状况!G22</f>
        <v>0</v>
      </c>
      <c r="C84" s="2234"/>
      <c r="D84" s="1196">
        <f t="shared" si="25"/>
        <v>0</v>
      </c>
      <c r="E84" s="765"/>
      <c r="F84" s="2000"/>
      <c r="G84" s="1194"/>
      <c r="H84" s="1198" t="str">
        <f t="shared" si="26"/>
        <v>——</v>
      </c>
      <c r="I84" s="759">
        <v>0.04</v>
      </c>
      <c r="J84" s="1195">
        <f t="shared" si="27"/>
        <v>0</v>
      </c>
      <c r="K84" s="1195">
        <f t="shared" si="28"/>
        <v>0</v>
      </c>
      <c r="L84" s="1195">
        <v>0</v>
      </c>
      <c r="M84" s="1195">
        <f t="shared" si="29"/>
        <v>0</v>
      </c>
      <c r="N84" s="1195">
        <f t="shared" si="29"/>
        <v>0</v>
      </c>
      <c r="Z84" s="2184"/>
      <c r="AA84" s="2250"/>
      <c r="AG84" s="1282"/>
      <c r="AK84" s="2250"/>
    </row>
    <row r="85" spans="1:37" ht="25.5">
      <c r="A85" s="2329" t="s">
        <v>2778</v>
      </c>
      <c r="B85" s="1494" t="str">
        <f>估价对象房地状况!G19</f>
        <v>估价对象所在区域公共配套设施齐备情况</v>
      </c>
      <c r="C85" s="2234"/>
      <c r="D85" s="1196">
        <f t="shared" si="25"/>
        <v>0</v>
      </c>
      <c r="E85" s="765"/>
      <c r="F85" s="2000"/>
      <c r="G85" s="1194"/>
      <c r="H85" s="1198" t="str">
        <f t="shared" si="26"/>
        <v>——</v>
      </c>
      <c r="I85" s="759">
        <v>0.06</v>
      </c>
      <c r="J85" s="1195">
        <f t="shared" si="27"/>
        <v>0</v>
      </c>
      <c r="K85" s="1195">
        <f t="shared" si="28"/>
        <v>0</v>
      </c>
      <c r="L85" s="1195">
        <v>0</v>
      </c>
      <c r="M85" s="1195">
        <f t="shared" si="29"/>
        <v>0</v>
      </c>
      <c r="N85" s="1195">
        <f t="shared" si="29"/>
        <v>0</v>
      </c>
      <c r="Z85" s="2184"/>
      <c r="AA85" s="2250"/>
      <c r="AG85" s="1282"/>
      <c r="AK85" s="2250"/>
    </row>
    <row r="86" spans="1:37" ht="25.5">
      <c r="A86" s="2329" t="s">
        <v>2779</v>
      </c>
      <c r="B86" s="1494" t="str">
        <f>估价对象房地状况!G20</f>
        <v>估价对象所在区域基础设施水平</v>
      </c>
      <c r="C86" s="2234"/>
      <c r="D86" s="1196">
        <f t="shared" si="25"/>
        <v>0</v>
      </c>
      <c r="E86" s="765"/>
      <c r="F86" s="2000"/>
      <c r="G86" s="1194"/>
      <c r="H86" s="1198" t="str">
        <f t="shared" si="26"/>
        <v>——</v>
      </c>
      <c r="I86" s="759">
        <v>0.15</v>
      </c>
      <c r="J86" s="1195">
        <f t="shared" si="27"/>
        <v>0</v>
      </c>
      <c r="K86" s="1195">
        <f t="shared" si="28"/>
        <v>0</v>
      </c>
      <c r="L86" s="1195">
        <v>0</v>
      </c>
      <c r="M86" s="1195">
        <f t="shared" si="29"/>
        <v>0</v>
      </c>
      <c r="N86" s="1195">
        <f t="shared" si="29"/>
        <v>0</v>
      </c>
      <c r="Z86" s="2184"/>
      <c r="AA86" s="2250"/>
      <c r="AG86" s="1282"/>
      <c r="AK86" s="2250"/>
    </row>
    <row r="87" spans="1:37" ht="24">
      <c r="A87" s="2329" t="s">
        <v>2776</v>
      </c>
      <c r="B87" s="2335" t="s">
        <v>2790</v>
      </c>
      <c r="C87" s="2234"/>
      <c r="D87" s="1196">
        <f t="shared" si="25"/>
        <v>0</v>
      </c>
      <c r="E87" s="765"/>
      <c r="F87" s="2000"/>
      <c r="G87" s="1194"/>
      <c r="H87" s="1198" t="str">
        <f t="shared" si="26"/>
        <v>——</v>
      </c>
      <c r="I87" s="759">
        <v>0.05</v>
      </c>
      <c r="J87" s="1195">
        <f t="shared" si="27"/>
        <v>0</v>
      </c>
      <c r="K87" s="1195">
        <f t="shared" si="28"/>
        <v>0</v>
      </c>
      <c r="L87" s="1195">
        <v>0</v>
      </c>
      <c r="M87" s="1195">
        <f t="shared" si="29"/>
        <v>0</v>
      </c>
      <c r="N87" s="1195">
        <f t="shared" si="29"/>
        <v>0</v>
      </c>
      <c r="Z87" s="2184"/>
      <c r="AA87" s="2250"/>
      <c r="AG87" s="1282"/>
      <c r="AK87" s="2250"/>
    </row>
    <row r="88" spans="1:37" ht="39" thickBot="1">
      <c r="A88" s="2337" t="s">
        <v>2791</v>
      </c>
      <c r="B88" s="2342" t="str">
        <f>估价对象房地状况!G18</f>
        <v>该园区内是否有污染型企业，绿化情况，卫生条件，整体环境状况判断</v>
      </c>
      <c r="C88" s="2234"/>
      <c r="D88" s="1196">
        <f t="shared" si="25"/>
        <v>0</v>
      </c>
      <c r="E88" s="766"/>
      <c r="F88" s="2000"/>
      <c r="G88" s="1194"/>
      <c r="H88" s="1198" t="str">
        <f t="shared" si="26"/>
        <v>——</v>
      </c>
      <c r="I88" s="763">
        <v>0.06</v>
      </c>
      <c r="J88" s="1195">
        <f t="shared" si="27"/>
        <v>0</v>
      </c>
      <c r="K88" s="1195">
        <f t="shared" si="28"/>
        <v>0</v>
      </c>
      <c r="L88" s="1195">
        <v>0</v>
      </c>
      <c r="M88" s="1195">
        <f t="shared" si="29"/>
        <v>0</v>
      </c>
      <c r="N88" s="1195">
        <f t="shared" si="29"/>
        <v>0</v>
      </c>
      <c r="Z88" s="2184"/>
      <c r="AA88" s="2250"/>
      <c r="AG88" s="1282"/>
      <c r="AK88" s="2250"/>
    </row>
    <row r="90" spans="1:37">
      <c r="A90" s="3990" t="s">
        <v>2792</v>
      </c>
      <c r="B90" s="3990"/>
      <c r="C90" s="3990"/>
      <c r="D90" s="3990"/>
      <c r="E90" s="3990"/>
      <c r="F90" s="3990"/>
      <c r="G90" s="3990"/>
      <c r="H90" s="3990"/>
      <c r="I90" s="3990"/>
      <c r="J90" s="3990"/>
      <c r="K90" s="2343"/>
      <c r="L90" s="2343"/>
      <c r="M90" s="2343"/>
      <c r="N90" s="2343"/>
    </row>
    <row r="91" spans="1:37">
      <c r="A91" s="3992" t="s">
        <v>2793</v>
      </c>
      <c r="B91" s="3992" t="s">
        <v>2794</v>
      </c>
      <c r="C91" s="2297" t="s">
        <v>2795</v>
      </c>
      <c r="D91" s="2298"/>
      <c r="E91" s="2298"/>
      <c r="F91" s="2298"/>
      <c r="G91" s="2298"/>
      <c r="H91" s="2298"/>
      <c r="I91" s="2298"/>
      <c r="J91" s="2344"/>
      <c r="K91" s="2345"/>
      <c r="L91" s="2345"/>
      <c r="M91" s="2345"/>
      <c r="N91" s="2345"/>
    </row>
    <row r="92" spans="1:37">
      <c r="A92" s="3992"/>
      <c r="B92" s="3992"/>
      <c r="C92" s="879" t="s">
        <v>2662</v>
      </c>
      <c r="D92" s="879" t="s">
        <v>2663</v>
      </c>
      <c r="E92" s="879" t="s">
        <v>2664</v>
      </c>
      <c r="F92" s="879" t="s">
        <v>2665</v>
      </c>
      <c r="G92" s="879" t="s">
        <v>2666</v>
      </c>
      <c r="H92" s="879" t="s">
        <v>2667</v>
      </c>
      <c r="I92" s="879" t="s">
        <v>2668</v>
      </c>
      <c r="J92" s="879" t="s">
        <v>2669</v>
      </c>
      <c r="K92" s="879" t="s">
        <v>2670</v>
      </c>
      <c r="L92" s="879" t="s">
        <v>2671</v>
      </c>
      <c r="M92" s="879" t="s">
        <v>2672</v>
      </c>
      <c r="N92" s="879" t="s">
        <v>2673</v>
      </c>
    </row>
    <row r="93" spans="1:37">
      <c r="A93" s="3993" t="s">
        <v>2796</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994"/>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994"/>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994"/>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994"/>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994"/>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994"/>
      <c r="B99" s="2346" t="s">
        <v>2678</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995"/>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993" t="s">
        <v>2797</v>
      </c>
      <c r="B101" s="2350" t="s">
        <v>2798</v>
      </c>
      <c r="C101" s="2351">
        <f>$G$3</f>
        <v>0.14000000000000001</v>
      </c>
      <c r="D101" s="2351">
        <f t="shared" ref="D101:N101" si="31">$G$3</f>
        <v>0.14000000000000001</v>
      </c>
      <c r="E101" s="2351">
        <f t="shared" si="31"/>
        <v>0.14000000000000001</v>
      </c>
      <c r="F101" s="2351">
        <f t="shared" si="31"/>
        <v>0.14000000000000001</v>
      </c>
      <c r="G101" s="2351">
        <f t="shared" si="31"/>
        <v>0.14000000000000001</v>
      </c>
      <c r="H101" s="2351">
        <f t="shared" si="31"/>
        <v>0.14000000000000001</v>
      </c>
      <c r="I101" s="2351">
        <f t="shared" si="31"/>
        <v>0.14000000000000001</v>
      </c>
      <c r="J101" s="2351">
        <f t="shared" si="31"/>
        <v>0.14000000000000001</v>
      </c>
      <c r="K101" s="2351">
        <f t="shared" si="31"/>
        <v>0.14000000000000001</v>
      </c>
      <c r="L101" s="2351">
        <f t="shared" si="31"/>
        <v>0.14000000000000001</v>
      </c>
      <c r="M101" s="2351">
        <f t="shared" si="31"/>
        <v>0.14000000000000001</v>
      </c>
      <c r="N101" s="2351">
        <f t="shared" si="31"/>
        <v>0.14000000000000001</v>
      </c>
    </row>
    <row r="102" spans="1:14">
      <c r="A102" s="3994"/>
      <c r="B102" s="2346">
        <v>1</v>
      </c>
      <c r="C102" s="2347">
        <f>1.9362/C101</f>
        <v>13.829999999999998</v>
      </c>
      <c r="D102" s="2347">
        <f>1.9362/D101</f>
        <v>13.829999999999998</v>
      </c>
      <c r="E102" s="2347">
        <f>1.8629/E101</f>
        <v>13.306428571428571</v>
      </c>
      <c r="F102" s="2347">
        <f>1.8629/F101</f>
        <v>13.306428571428571</v>
      </c>
      <c r="G102" s="2347">
        <f>1.8629/G101</f>
        <v>13.306428571428571</v>
      </c>
      <c r="H102" s="2347">
        <f>1.8629/H101</f>
        <v>13.306428571428571</v>
      </c>
      <c r="I102" s="2347">
        <f>1.8629/I101</f>
        <v>13.306428571428571</v>
      </c>
      <c r="J102" s="2347">
        <f>1.942/J101</f>
        <v>13.87142857142857</v>
      </c>
      <c r="K102" s="2347">
        <f>1.942/K101</f>
        <v>13.87142857142857</v>
      </c>
      <c r="L102" s="2347">
        <f>1.942/L101</f>
        <v>13.87142857142857</v>
      </c>
      <c r="M102" s="2347">
        <f>1.942/M101</f>
        <v>13.87142857142857</v>
      </c>
      <c r="N102" s="2347">
        <f>1.942/N101</f>
        <v>13.87142857142857</v>
      </c>
    </row>
    <row r="103" spans="1:14">
      <c r="A103" s="3994"/>
      <c r="B103" s="2346">
        <v>2</v>
      </c>
      <c r="C103" s="2347">
        <f>1.4198/C101</f>
        <v>10.14142857142857</v>
      </c>
      <c r="D103" s="2347">
        <f>1.4198/D101</f>
        <v>10.14142857142857</v>
      </c>
      <c r="E103" s="2347">
        <f>1.3372/E101</f>
        <v>9.5514285714285698</v>
      </c>
      <c r="F103" s="2347">
        <f>1.3372/F101</f>
        <v>9.5514285714285698</v>
      </c>
      <c r="G103" s="2347">
        <f>1.3372/G101</f>
        <v>9.5514285714285698</v>
      </c>
      <c r="H103" s="2347">
        <f>1.3372/H101</f>
        <v>9.5514285714285698</v>
      </c>
      <c r="I103" s="2347">
        <f>1.3372/I101</f>
        <v>9.5514285714285698</v>
      </c>
      <c r="J103" s="2347">
        <f>1.2799/J101</f>
        <v>9.142142857142856</v>
      </c>
      <c r="K103" s="2347">
        <f>1.2799/K101</f>
        <v>9.142142857142856</v>
      </c>
      <c r="L103" s="2347">
        <f>1.2799/L101</f>
        <v>9.142142857142856</v>
      </c>
      <c r="M103" s="2347">
        <f>1.2799/M101</f>
        <v>9.142142857142856</v>
      </c>
      <c r="N103" s="2347">
        <f>1.2799/N101</f>
        <v>9.142142857142856</v>
      </c>
    </row>
    <row r="104" spans="1:14">
      <c r="A104" s="3994"/>
      <c r="B104" s="2346">
        <v>3</v>
      </c>
      <c r="C104" s="2347">
        <f>1.1594/C101</f>
        <v>8.2814285714285703</v>
      </c>
      <c r="D104" s="2347">
        <f>1.1594/D101</f>
        <v>8.2814285714285703</v>
      </c>
      <c r="E104" s="2347">
        <f>1.0788/E101</f>
        <v>7.7057142857142846</v>
      </c>
      <c r="F104" s="2347">
        <f>1.0788/F101</f>
        <v>7.7057142857142846</v>
      </c>
      <c r="G104" s="2347">
        <f>1.0788/G101</f>
        <v>7.7057142857142846</v>
      </c>
      <c r="H104" s="2347">
        <f>1.0788/H101</f>
        <v>7.7057142857142846</v>
      </c>
      <c r="I104" s="2347">
        <f>1.0788/I101</f>
        <v>7.7057142857142846</v>
      </c>
      <c r="J104" s="2347">
        <f>1.0072/J101</f>
        <v>7.194285714285714</v>
      </c>
      <c r="K104" s="2347">
        <f>1.0072/K101</f>
        <v>7.194285714285714</v>
      </c>
      <c r="L104" s="2347">
        <f>1.0072/L101</f>
        <v>7.194285714285714</v>
      </c>
      <c r="M104" s="2347">
        <f>1.0072/M101</f>
        <v>7.194285714285714</v>
      </c>
      <c r="N104" s="2347">
        <f>1.0072/N101</f>
        <v>7.194285714285714</v>
      </c>
    </row>
    <row r="105" spans="1:14">
      <c r="A105" s="3994"/>
      <c r="B105" s="2346">
        <v>4</v>
      </c>
      <c r="C105" s="2347">
        <f>0.9622/C101</f>
        <v>6.8728571428571428</v>
      </c>
      <c r="D105" s="2347">
        <f>0.9622/D101</f>
        <v>6.8728571428571428</v>
      </c>
      <c r="E105" s="2347">
        <f>0.8656/E101</f>
        <v>6.1828571428571424</v>
      </c>
      <c r="F105" s="2347">
        <f>0.8656/F101</f>
        <v>6.1828571428571424</v>
      </c>
      <c r="G105" s="2347">
        <f>0.8656/G101</f>
        <v>6.1828571428571424</v>
      </c>
      <c r="H105" s="2347">
        <f>0.8656/H101</f>
        <v>6.1828571428571424</v>
      </c>
      <c r="I105" s="2347">
        <f>0.8656/I101</f>
        <v>6.1828571428571424</v>
      </c>
      <c r="J105" s="2347">
        <f>0.7525/J101</f>
        <v>5.3749999999999991</v>
      </c>
      <c r="K105" s="2347">
        <f>0.7525/K101</f>
        <v>5.3749999999999991</v>
      </c>
      <c r="L105" s="2347">
        <f>0.7525/L101</f>
        <v>5.3749999999999991</v>
      </c>
      <c r="M105" s="2347">
        <f>0.7525/M101</f>
        <v>5.3749999999999991</v>
      </c>
      <c r="N105" s="2347">
        <f>0.7525/N101</f>
        <v>5.3749999999999991</v>
      </c>
    </row>
    <row r="106" spans="1:14">
      <c r="A106" s="3994"/>
      <c r="B106" s="2346">
        <v>5</v>
      </c>
      <c r="C106" s="2347">
        <f>0.8417/C101</f>
        <v>6.012142857142857</v>
      </c>
      <c r="D106" s="2347">
        <f>0.8417/D101</f>
        <v>6.012142857142857</v>
      </c>
      <c r="E106" s="2347">
        <f>0.7371/E101</f>
        <v>5.2649999999999997</v>
      </c>
      <c r="F106" s="2347">
        <f>0.7371/F101</f>
        <v>5.2649999999999997</v>
      </c>
      <c r="G106" s="2347">
        <f>0.7371/G101</f>
        <v>5.2649999999999997</v>
      </c>
      <c r="H106" s="2347">
        <f>0.7371/H101</f>
        <v>5.2649999999999997</v>
      </c>
      <c r="I106" s="2347">
        <f>0.7371/I101</f>
        <v>5.2649999999999997</v>
      </c>
      <c r="J106" s="2347">
        <f>0.5659/J101</f>
        <v>4.0421428571428564</v>
      </c>
      <c r="K106" s="2347">
        <f>0.5659/K101</f>
        <v>4.0421428571428564</v>
      </c>
      <c r="L106" s="2347">
        <f>0.5659/L101</f>
        <v>4.0421428571428564</v>
      </c>
      <c r="M106" s="2347">
        <f>0.5659/M101</f>
        <v>4.0421428571428564</v>
      </c>
      <c r="N106" s="2347">
        <f>0.5659/N101</f>
        <v>4.0421428571428564</v>
      </c>
    </row>
    <row r="107" spans="1:14">
      <c r="A107" s="3994"/>
      <c r="B107" s="2346">
        <v>6</v>
      </c>
      <c r="C107" s="2347">
        <f>0.7608/C101</f>
        <v>5.4342857142857142</v>
      </c>
      <c r="D107" s="2347">
        <f>0.7608/D101</f>
        <v>5.4342857142857142</v>
      </c>
      <c r="E107" s="2347">
        <f>0.6482/E101</f>
        <v>4.63</v>
      </c>
      <c r="F107" s="2347">
        <f>0.6482/F101</f>
        <v>4.63</v>
      </c>
      <c r="G107" s="2347">
        <f>0.6482/G101</f>
        <v>4.63</v>
      </c>
      <c r="H107" s="2347">
        <f>0.6482/H101</f>
        <v>4.63</v>
      </c>
      <c r="I107" s="2347">
        <f>0.6482/I101</f>
        <v>4.63</v>
      </c>
      <c r="J107" s="2347">
        <f>0.4525/J101</f>
        <v>3.2321428571428568</v>
      </c>
      <c r="K107" s="2347">
        <f>0.4525/K101</f>
        <v>3.2321428571428568</v>
      </c>
      <c r="L107" s="2347">
        <f>0.4525/L101</f>
        <v>3.2321428571428568</v>
      </c>
      <c r="M107" s="2347">
        <f>0.4525/M101</f>
        <v>3.2321428571428568</v>
      </c>
      <c r="N107" s="2347">
        <f>0.4525/N101</f>
        <v>3.2321428571428568</v>
      </c>
    </row>
    <row r="108" spans="1:14">
      <c r="A108" s="3994"/>
      <c r="B108" s="3996" t="s">
        <v>2799</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995"/>
      <c r="B109" s="3997"/>
      <c r="C109" s="2349">
        <f>(-0.163*(C108^2)-0.59*C108+7617)*(10^(-4))/C101</f>
        <v>5.4407142857142858</v>
      </c>
      <c r="D109" s="2349">
        <f>(-0.163*(D108^2)-0.59*D108+7617)*(10^(-4))/D101</f>
        <v>5.4407142857142858</v>
      </c>
      <c r="E109" s="2349">
        <f>(-0.161*(E108^2)-7.509*E108+6533)*(10^(-4))/E101</f>
        <v>4.6664285714285709</v>
      </c>
      <c r="F109" s="2349">
        <f>(-0.161*(F108^2)-7.509*F108+6533)*(10^(-4))/F101</f>
        <v>4.6664285714285709</v>
      </c>
      <c r="G109" s="2349">
        <f>(-0.161*(G108^2)-7.509*G108+6533)*(10^(-4))/G101</f>
        <v>4.6664285714285709</v>
      </c>
      <c r="H109" s="2349">
        <f>(-0.161*(H108^2)-7.509*H108+6533)*(10^(-4))/H101</f>
        <v>4.6664285714285709</v>
      </c>
      <c r="I109" s="2349">
        <f>(-0.161*(I108^2)-7.509*I108+6533)*(10^(-4))/I101</f>
        <v>4.6664285714285709</v>
      </c>
      <c r="J109" s="2349">
        <f>(-0.214*(J108^2)-21.991*J108+4665)*(10^(-4))/J101</f>
        <v>3.3321428571428569</v>
      </c>
      <c r="K109" s="2349">
        <f>(-0.214*(K108^2)-21.991*K108+4665)*(10^(-4))/K101</f>
        <v>3.3321428571428569</v>
      </c>
      <c r="L109" s="2349">
        <f>(-0.214*(L108^2)-21.991*L108+4665)*(10^(-4))/L101</f>
        <v>3.3321428571428569</v>
      </c>
      <c r="M109" s="2349">
        <f>(-0.214*(M108^2)-21.991*M108+4665)*(10^(-4))/M101</f>
        <v>3.3321428571428569</v>
      </c>
      <c r="N109" s="2349">
        <f>(-0.214*(N108^2)-21.991*N108+4665)*(10^(-4))/N101</f>
        <v>3.3321428571428569</v>
      </c>
    </row>
    <row r="110" spans="1:14">
      <c r="A110" s="3991" t="s">
        <v>2800</v>
      </c>
      <c r="B110" s="3991"/>
      <c r="C110" s="3991"/>
      <c r="D110" s="3991"/>
      <c r="E110" s="3991"/>
      <c r="F110" s="3991"/>
      <c r="G110" s="3991"/>
      <c r="H110" s="3991"/>
      <c r="I110" s="3991"/>
      <c r="J110" s="3991"/>
      <c r="K110" s="2352"/>
      <c r="L110" s="2352"/>
      <c r="M110" s="2352"/>
      <c r="N110" s="2352"/>
    </row>
    <row r="112" spans="1:14" ht="13.5" thickBot="1"/>
    <row r="113" spans="1:13" ht="25.5" thickBot="1">
      <c r="A113" s="842" t="s">
        <v>2801</v>
      </c>
      <c r="B113" s="1197">
        <f>G3</f>
        <v>0.14000000000000001</v>
      </c>
      <c r="C113" s="843" t="s">
        <v>2802</v>
      </c>
      <c r="D113" s="844">
        <f>SUMPRODUCT((A115:A118=F113)*(B114:M114=H113)*B115:M118)</f>
        <v>0</v>
      </c>
      <c r="E113" s="2188" t="s">
        <v>2635</v>
      </c>
      <c r="F113" s="2354">
        <f>E2</f>
        <v>0</v>
      </c>
      <c r="G113" s="2188" t="s">
        <v>2636</v>
      </c>
      <c r="H113" s="2354">
        <f>G2</f>
        <v>0</v>
      </c>
      <c r="I113" s="2188"/>
      <c r="J113" s="2355"/>
      <c r="K113" s="2355"/>
      <c r="L113" s="2355"/>
      <c r="M113" s="2355"/>
    </row>
    <row r="114" spans="1:13">
      <c r="A114" s="847"/>
      <c r="B114" s="2356" t="s">
        <v>2803</v>
      </c>
      <c r="C114" s="2356" t="s">
        <v>2804</v>
      </c>
      <c r="D114" s="2356" t="s">
        <v>2805</v>
      </c>
      <c r="E114" s="2357" t="s">
        <v>2806</v>
      </c>
      <c r="F114" s="2357" t="s">
        <v>2807</v>
      </c>
      <c r="G114" s="2357" t="s">
        <v>2808</v>
      </c>
      <c r="H114" s="2358" t="s">
        <v>2809</v>
      </c>
      <c r="I114" s="2358" t="s">
        <v>2810</v>
      </c>
      <c r="J114" s="2359" t="s">
        <v>2811</v>
      </c>
      <c r="K114" s="2359" t="s">
        <v>2812</v>
      </c>
      <c r="L114" s="2359" t="s">
        <v>2813</v>
      </c>
      <c r="M114" s="2360" t="s">
        <v>2814</v>
      </c>
    </row>
    <row r="115" spans="1:13">
      <c r="A115" s="848" t="s">
        <v>2700</v>
      </c>
      <c r="B115" s="849">
        <f>ROUND(0.9335-0.0094*B113,4)</f>
        <v>0.93220000000000003</v>
      </c>
      <c r="C115" s="849">
        <f>B115</f>
        <v>0.93220000000000003</v>
      </c>
      <c r="D115" s="849">
        <f>ROUND(0.8331-0.0109*B113,4)</f>
        <v>0.83160000000000001</v>
      </c>
      <c r="E115" s="849">
        <f>D115</f>
        <v>0.83160000000000001</v>
      </c>
      <c r="F115" s="849">
        <f>E115</f>
        <v>0.83160000000000001</v>
      </c>
      <c r="G115" s="849">
        <f>F115</f>
        <v>0.83160000000000001</v>
      </c>
      <c r="H115" s="849">
        <f>G115</f>
        <v>0.83160000000000001</v>
      </c>
      <c r="I115" s="849">
        <f>ROUND(0.689-0.0155*B113,4)</f>
        <v>0.68679999999999997</v>
      </c>
      <c r="J115" s="849">
        <f t="shared" ref="J115:M118" si="33">I115</f>
        <v>0.68679999999999997</v>
      </c>
      <c r="K115" s="849">
        <f t="shared" si="33"/>
        <v>0.68679999999999997</v>
      </c>
      <c r="L115" s="849">
        <f t="shared" si="33"/>
        <v>0.68679999999999997</v>
      </c>
      <c r="M115" s="850">
        <f t="shared" si="33"/>
        <v>0.68679999999999997</v>
      </c>
    </row>
    <row r="116" spans="1:13">
      <c r="A116" s="848" t="s">
        <v>2701</v>
      </c>
      <c r="B116" s="849">
        <f>ROUND(0.949-0.012*B113,4)</f>
        <v>0.94730000000000003</v>
      </c>
      <c r="C116" s="849">
        <f>B116</f>
        <v>0.94730000000000003</v>
      </c>
      <c r="D116" s="849">
        <f>ROUND(0.8567-0.013*B113,4)</f>
        <v>0.85489999999999999</v>
      </c>
      <c r="E116" s="849">
        <f t="shared" ref="E116:H117" si="34">D116</f>
        <v>0.85489999999999999</v>
      </c>
      <c r="F116" s="849">
        <f t="shared" si="34"/>
        <v>0.85489999999999999</v>
      </c>
      <c r="G116" s="849">
        <f t="shared" si="34"/>
        <v>0.85489999999999999</v>
      </c>
      <c r="H116" s="849">
        <f t="shared" si="34"/>
        <v>0.85489999999999999</v>
      </c>
      <c r="I116" s="849">
        <f>ROUND(0.7694-0.014*B113,4)</f>
        <v>0.76739999999999997</v>
      </c>
      <c r="J116" s="849">
        <f t="shared" si="33"/>
        <v>0.76739999999999997</v>
      </c>
      <c r="K116" s="849">
        <f t="shared" si="33"/>
        <v>0.76739999999999997</v>
      </c>
      <c r="L116" s="849">
        <f t="shared" si="33"/>
        <v>0.76739999999999997</v>
      </c>
      <c r="M116" s="850">
        <f t="shared" si="33"/>
        <v>0.76739999999999997</v>
      </c>
    </row>
    <row r="117" spans="1:13">
      <c r="A117" s="848" t="s">
        <v>2702</v>
      </c>
      <c r="B117" s="849">
        <f>ROUND(0.8808-0.006*B113,4)</f>
        <v>0.88</v>
      </c>
      <c r="C117" s="849">
        <f>B117</f>
        <v>0.88</v>
      </c>
      <c r="D117" s="849">
        <f>ROUND(0.8748-0.008*B113,4)</f>
        <v>0.87370000000000003</v>
      </c>
      <c r="E117" s="849">
        <f t="shared" si="34"/>
        <v>0.87370000000000003</v>
      </c>
      <c r="F117" s="849">
        <f t="shared" si="34"/>
        <v>0.87370000000000003</v>
      </c>
      <c r="G117" s="849">
        <f t="shared" si="34"/>
        <v>0.87370000000000003</v>
      </c>
      <c r="H117" s="849">
        <f t="shared" si="34"/>
        <v>0.87370000000000003</v>
      </c>
      <c r="I117" s="849">
        <f>ROUND(0.7412-0.0095*B113,4)</f>
        <v>0.7399</v>
      </c>
      <c r="J117" s="849">
        <f t="shared" si="33"/>
        <v>0.7399</v>
      </c>
      <c r="K117" s="849">
        <f t="shared" si="33"/>
        <v>0.7399</v>
      </c>
      <c r="L117" s="849">
        <f t="shared" si="33"/>
        <v>0.7399</v>
      </c>
      <c r="M117" s="850">
        <f t="shared" si="33"/>
        <v>0.7399</v>
      </c>
    </row>
    <row r="118" spans="1:13" ht="13.5" thickBot="1">
      <c r="A118" s="670" t="s">
        <v>2703</v>
      </c>
      <c r="B118" s="851">
        <f>ROUND(0.7275-0.01*B113,4)</f>
        <v>0.72609999999999997</v>
      </c>
      <c r="C118" s="851">
        <f>B118</f>
        <v>0.72609999999999997</v>
      </c>
      <c r="D118" s="851">
        <f>ROUND(0.7043-0.012*B113,4)</f>
        <v>0.7026</v>
      </c>
      <c r="E118" s="851">
        <f>D118</f>
        <v>0.7026</v>
      </c>
      <c r="F118" s="851">
        <f>E118</f>
        <v>0.7026</v>
      </c>
      <c r="G118" s="851">
        <f>ROUND(0.6299-0.0122*B113,4)</f>
        <v>0.62819999999999998</v>
      </c>
      <c r="H118" s="851">
        <f>G118</f>
        <v>0.62819999999999998</v>
      </c>
      <c r="I118" s="851">
        <f>ROUND(0.5667-0.0136*B113,4)</f>
        <v>0.56479999999999997</v>
      </c>
      <c r="J118" s="851">
        <f t="shared" si="33"/>
        <v>0.56479999999999997</v>
      </c>
      <c r="K118" s="851">
        <f t="shared" si="33"/>
        <v>0.56479999999999997</v>
      </c>
      <c r="L118" s="851">
        <f t="shared" si="33"/>
        <v>0.56479999999999997</v>
      </c>
      <c r="M118" s="852">
        <f t="shared" si="33"/>
        <v>0.56479999999999997</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dxfId="19" priority="1" operator="notEqual">
      <formula>"——"</formula>
    </cfRule>
  </conditionalFormatting>
  <dataValidations count="11">
    <dataValidation type="list" allowBlank="1" showInputMessage="1" showErrorMessage="1" sqref="F14" xr:uid="{00000000-0002-0000-2200-000000000000}">
      <formula1>"500米范围内,500-1000米,1000米以外"</formula1>
    </dataValidation>
    <dataValidation type="list" allowBlank="1" showInputMessage="1" showErrorMessage="1" sqref="C14:E14" xr:uid="{00000000-0002-0000-2200-000001000000}">
      <formula1>"有,无"</formula1>
    </dataValidation>
    <dataValidation type="list" allowBlank="1" showInputMessage="1" showErrorMessage="1" sqref="B21" xr:uid="{00000000-0002-0000-2200-000002000000}">
      <formula1>"容积率修正,楼层修正"</formula1>
    </dataValidation>
    <dataValidation type="list" allowBlank="1" showInputMessage="1" showErrorMessage="1" sqref="F17" xr:uid="{00000000-0002-0000-2200-000003000000}">
      <formula1>"与级别开发程度一致,与级别开发程度不一致"</formula1>
    </dataValidation>
    <dataValidation type="list" allowBlank="1" showInputMessage="1" showErrorMessage="1" sqref="E2" xr:uid="{00000000-0002-0000-2200-000004000000}">
      <formula1>"商业,办公,住宅,工业"</formula1>
    </dataValidation>
    <dataValidation type="list" allowBlank="1" showInputMessage="1" showErrorMessage="1" sqref="F3" xr:uid="{00000000-0002-0000-2200-000005000000}">
      <formula1>"宗地容积率,估价对象容积率,自定义容积率"</formula1>
    </dataValidation>
    <dataValidation type="list" allowBlank="1" showInputMessage="1" showErrorMessage="1" sqref="C8" xr:uid="{00000000-0002-0000-2200-000006000000}">
      <formula1>商业街名称</formula1>
    </dataValidation>
    <dataValidation type="list" allowBlank="1" showInputMessage="1" showErrorMessage="1" sqref="E3" xr:uid="{00000000-0002-0000-2200-000007000000}">
      <formula1>二级分类</formula1>
    </dataValidation>
    <dataValidation type="list" allowBlank="1" showInputMessage="1" showErrorMessage="1" sqref="C81:C88 C70:C78 C48:C56 C59:C67" xr:uid="{00000000-0002-0000-2200-000008000000}">
      <formula1>五等判定</formula1>
    </dataValidation>
    <dataValidation type="list" allowBlank="1" showInputMessage="1" showErrorMessage="1" sqref="H19" xr:uid="{00000000-0002-0000-2200-000009000000}">
      <formula1>"地价指数,季度增幅（自定义）,按公示增长率计算"</formula1>
    </dataValidation>
    <dataValidation type="list" allowBlank="1" showInputMessage="1" showErrorMessage="1" sqref="H16:O16" xr:uid="{00000000-0002-0000-22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125" defaultRowHeight="19.5" customHeight="1"/>
  <cols>
    <col min="1" max="1" width="13.625" style="755" customWidth="1"/>
    <col min="2" max="9" width="8.125" style="817" customWidth="1"/>
    <col min="10" max="13" width="8.125" style="755"/>
    <col min="14" max="14" width="10" style="755" customWidth="1"/>
    <col min="15" max="16" width="8.125" style="755"/>
    <col min="17" max="17" width="34.125" style="755" customWidth="1"/>
    <col min="18" max="18" width="8.125" style="755" customWidth="1"/>
    <col min="19" max="19" width="8.125" style="755"/>
    <col min="20" max="20" width="11.625" style="755" customWidth="1"/>
    <col min="21" max="16384" width="8.1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2866</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4004" t="s">
        <v>183</v>
      </c>
      <c r="B18" s="821" t="s">
        <v>560</v>
      </c>
      <c r="C18" s="822" t="s">
        <v>561</v>
      </c>
      <c r="D18" s="823"/>
      <c r="E18" s="821">
        <v>1</v>
      </c>
      <c r="F18" s="824" t="s">
        <v>562</v>
      </c>
      <c r="G18" s="825"/>
      <c r="H18" s="817"/>
      <c r="I18" s="817"/>
    </row>
    <row r="19" spans="1:9" s="826" customFormat="1" ht="19.5" customHeight="1">
      <c r="A19" s="4004"/>
      <c r="B19" s="4004" t="s">
        <v>563</v>
      </c>
      <c r="C19" s="822" t="s">
        <v>564</v>
      </c>
      <c r="D19" s="823"/>
      <c r="E19" s="821">
        <v>0.9</v>
      </c>
      <c r="F19" s="824" t="s">
        <v>565</v>
      </c>
      <c r="G19" s="825"/>
      <c r="H19" s="817"/>
      <c r="I19" s="817"/>
    </row>
    <row r="20" spans="1:9" s="826" customFormat="1" ht="19.5" customHeight="1">
      <c r="A20" s="4004"/>
      <c r="B20" s="4004"/>
      <c r="C20" s="822" t="s">
        <v>566</v>
      </c>
      <c r="D20" s="823"/>
      <c r="E20" s="821">
        <v>1.1000000000000001</v>
      </c>
      <c r="F20" s="824" t="s">
        <v>567</v>
      </c>
      <c r="G20" s="825"/>
      <c r="H20" s="817"/>
      <c r="I20" s="817"/>
    </row>
    <row r="21" spans="1:9" s="826" customFormat="1" ht="19.5" customHeight="1">
      <c r="A21" s="4004"/>
      <c r="B21" s="4004"/>
      <c r="C21" s="822" t="s">
        <v>568</v>
      </c>
      <c r="D21" s="823"/>
      <c r="E21" s="821">
        <v>0.8</v>
      </c>
      <c r="F21" s="824" t="s">
        <v>569</v>
      </c>
      <c r="G21" s="825"/>
      <c r="H21" s="817"/>
      <c r="I21" s="817"/>
    </row>
    <row r="22" spans="1:9" s="826" customFormat="1" ht="19.5" customHeight="1">
      <c r="A22" s="4004"/>
      <c r="B22" s="4004"/>
      <c r="C22" s="822" t="s">
        <v>570</v>
      </c>
      <c r="D22" s="823"/>
      <c r="E22" s="821">
        <v>0.5</v>
      </c>
      <c r="F22" s="824"/>
      <c r="G22" s="825"/>
      <c r="H22" s="817"/>
      <c r="I22" s="817"/>
    </row>
    <row r="23" spans="1:9" s="826" customFormat="1" ht="19.5" customHeight="1">
      <c r="A23" s="4004" t="s">
        <v>184</v>
      </c>
      <c r="B23" s="821" t="s">
        <v>560</v>
      </c>
      <c r="C23" s="822" t="s">
        <v>571</v>
      </c>
      <c r="D23" s="823"/>
      <c r="E23" s="821">
        <v>1</v>
      </c>
      <c r="F23" s="824" t="s">
        <v>572</v>
      </c>
      <c r="G23" s="825"/>
      <c r="H23" s="817"/>
      <c r="I23" s="817"/>
    </row>
    <row r="24" spans="1:9" s="826" customFormat="1" ht="19.5" customHeight="1">
      <c r="A24" s="4004"/>
      <c r="B24" s="4004" t="s">
        <v>563</v>
      </c>
      <c r="C24" s="822" t="s">
        <v>573</v>
      </c>
      <c r="D24" s="823"/>
      <c r="E24" s="821">
        <v>0.5</v>
      </c>
      <c r="F24" s="824"/>
      <c r="G24" s="825"/>
      <c r="H24" s="817"/>
      <c r="I24" s="817"/>
    </row>
    <row r="25" spans="1:9" s="826" customFormat="1" ht="19.5" customHeight="1">
      <c r="A25" s="4004"/>
      <c r="B25" s="4004"/>
      <c r="C25" s="822" t="s">
        <v>574</v>
      </c>
      <c r="D25" s="823"/>
      <c r="E25" s="821">
        <v>1.1000000000000001</v>
      </c>
      <c r="F25" s="824"/>
      <c r="G25" s="825"/>
      <c r="H25" s="817"/>
      <c r="I25" s="817"/>
    </row>
    <row r="26" spans="1:9" s="826" customFormat="1" ht="19.5" customHeight="1">
      <c r="A26" s="4004"/>
      <c r="B26" s="4004"/>
      <c r="C26" s="822" t="s">
        <v>575</v>
      </c>
      <c r="D26" s="823"/>
      <c r="E26" s="821">
        <v>1.1000000000000001</v>
      </c>
      <c r="F26" s="824"/>
      <c r="G26" s="825"/>
      <c r="H26" s="817"/>
      <c r="I26" s="817"/>
    </row>
    <row r="27" spans="1:9" s="826" customFormat="1" ht="19.5" customHeight="1">
      <c r="A27" s="4004"/>
      <c r="B27" s="4004"/>
      <c r="C27" s="822" t="s">
        <v>576</v>
      </c>
      <c r="D27" s="823"/>
      <c r="E27" s="821">
        <v>0.9</v>
      </c>
      <c r="F27" s="824" t="s">
        <v>577</v>
      </c>
      <c r="G27" s="825"/>
      <c r="H27" s="817"/>
      <c r="I27" s="817"/>
    </row>
    <row r="28" spans="1:9" s="826" customFormat="1" ht="19.5" customHeight="1">
      <c r="A28" s="4004"/>
      <c r="B28" s="4004"/>
      <c r="C28" s="822" t="s">
        <v>578</v>
      </c>
      <c r="D28" s="823"/>
      <c r="E28" s="821">
        <v>0.9</v>
      </c>
      <c r="F28" s="824" t="s">
        <v>579</v>
      </c>
      <c r="G28" s="825"/>
      <c r="H28" s="817"/>
      <c r="I28" s="817"/>
    </row>
    <row r="29" spans="1:9" s="826" customFormat="1" ht="19.5" customHeight="1">
      <c r="A29" s="4004"/>
      <c r="B29" s="4004"/>
      <c r="C29" s="822" t="s">
        <v>580</v>
      </c>
      <c r="D29" s="823"/>
      <c r="E29" s="821">
        <v>0.9</v>
      </c>
      <c r="F29" s="824" t="s">
        <v>581</v>
      </c>
      <c r="G29" s="825"/>
      <c r="H29" s="817"/>
      <c r="I29" s="817"/>
    </row>
    <row r="30" spans="1:9" s="826" customFormat="1" ht="19.5" customHeight="1">
      <c r="A30" s="4004"/>
      <c r="B30" s="4004"/>
      <c r="C30" s="822" t="s">
        <v>582</v>
      </c>
      <c r="D30" s="823"/>
      <c r="E30" s="821">
        <v>0.9</v>
      </c>
      <c r="F30" s="824" t="s">
        <v>583</v>
      </c>
      <c r="G30" s="825"/>
      <c r="H30" s="817"/>
      <c r="I30" s="817"/>
    </row>
    <row r="31" spans="1:9" s="826" customFormat="1" ht="19.5" customHeight="1">
      <c r="A31" s="4004"/>
      <c r="B31" s="4004"/>
      <c r="C31" s="822" t="s">
        <v>584</v>
      </c>
      <c r="D31" s="823"/>
      <c r="E31" s="821">
        <v>0.8</v>
      </c>
      <c r="F31" s="824" t="s">
        <v>585</v>
      </c>
      <c r="G31" s="825"/>
      <c r="H31" s="817"/>
      <c r="I31" s="817"/>
    </row>
    <row r="32" spans="1:9" s="826" customFormat="1" ht="19.5" customHeight="1">
      <c r="A32" s="4004"/>
      <c r="B32" s="4004"/>
      <c r="C32" s="822" t="s">
        <v>586</v>
      </c>
      <c r="D32" s="823"/>
      <c r="E32" s="821">
        <v>0.8</v>
      </c>
      <c r="F32" s="824" t="s">
        <v>587</v>
      </c>
      <c r="G32" s="825"/>
      <c r="H32" s="817"/>
      <c r="I32" s="817"/>
    </row>
    <row r="33" spans="1:9" s="826" customFormat="1" ht="19.5" customHeight="1">
      <c r="A33" s="4004" t="s">
        <v>185</v>
      </c>
      <c r="B33" s="821" t="s">
        <v>560</v>
      </c>
      <c r="C33" s="822" t="s">
        <v>588</v>
      </c>
      <c r="D33" s="823"/>
      <c r="E33" s="821">
        <v>1</v>
      </c>
      <c r="F33" s="824" t="s">
        <v>589</v>
      </c>
      <c r="G33" s="825"/>
      <c r="H33" s="817"/>
      <c r="I33" s="817"/>
    </row>
    <row r="34" spans="1:9" s="826" customFormat="1" ht="19.5" customHeight="1">
      <c r="A34" s="4004"/>
      <c r="B34" s="821" t="s">
        <v>563</v>
      </c>
      <c r="C34" s="822" t="s">
        <v>590</v>
      </c>
      <c r="D34" s="823"/>
      <c r="E34" s="821">
        <v>1.5</v>
      </c>
      <c r="F34" s="824" t="s">
        <v>591</v>
      </c>
      <c r="G34" s="825"/>
      <c r="H34" s="817"/>
      <c r="I34" s="817"/>
    </row>
    <row r="35" spans="1:9" s="826" customFormat="1" ht="19.5" customHeight="1">
      <c r="A35" s="4004" t="s">
        <v>186</v>
      </c>
      <c r="B35" s="821" t="s">
        <v>560</v>
      </c>
      <c r="C35" s="822" t="s">
        <v>592</v>
      </c>
      <c r="D35" s="823"/>
      <c r="E35" s="821">
        <v>1</v>
      </c>
      <c r="F35" s="824" t="s">
        <v>593</v>
      </c>
      <c r="G35" s="825"/>
      <c r="H35" s="817"/>
      <c r="I35" s="817"/>
    </row>
    <row r="36" spans="1:9" s="826" customFormat="1" ht="19.5" customHeight="1">
      <c r="A36" s="4004"/>
      <c r="B36" s="4004" t="s">
        <v>563</v>
      </c>
      <c r="C36" s="822" t="s">
        <v>594</v>
      </c>
      <c r="D36" s="823"/>
      <c r="E36" s="821">
        <v>1</v>
      </c>
      <c r="F36" s="824" t="s">
        <v>595</v>
      </c>
      <c r="G36" s="825"/>
      <c r="H36" s="817"/>
      <c r="I36" s="817"/>
    </row>
    <row r="37" spans="1:9" s="826" customFormat="1" ht="19.5" customHeight="1">
      <c r="A37" s="4004"/>
      <c r="B37" s="4004"/>
      <c r="C37" s="822" t="s">
        <v>596</v>
      </c>
      <c r="D37" s="823"/>
      <c r="E37" s="821">
        <v>1.5</v>
      </c>
      <c r="F37" s="824" t="s">
        <v>597</v>
      </c>
      <c r="G37" s="825"/>
      <c r="H37" s="817"/>
      <c r="I37" s="817"/>
    </row>
    <row r="38" spans="1:9" s="826" customFormat="1" ht="19.5" customHeight="1">
      <c r="A38" s="4004"/>
      <c r="B38" s="4004"/>
      <c r="C38" s="822" t="s">
        <v>598</v>
      </c>
      <c r="D38" s="823"/>
      <c r="E38" s="821">
        <v>1</v>
      </c>
      <c r="F38" s="824" t="s">
        <v>599</v>
      </c>
      <c r="G38" s="825"/>
      <c r="H38" s="817"/>
      <c r="I38" s="817"/>
    </row>
    <row r="39" spans="1:9" s="826" customFormat="1" ht="19.5" customHeight="1">
      <c r="A39" s="4004"/>
      <c r="B39" s="4004"/>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4004" t="s">
        <v>614</v>
      </c>
      <c r="C61" s="757" t="s">
        <v>615</v>
      </c>
      <c r="D61" s="757" t="s">
        <v>616</v>
      </c>
      <c r="E61" s="834">
        <v>0.5</v>
      </c>
      <c r="F61" s="821">
        <v>80</v>
      </c>
    </row>
    <row r="62" spans="1:8" s="817" customFormat="1" ht="24">
      <c r="A62" s="821">
        <v>2</v>
      </c>
      <c r="B62" s="4004"/>
      <c r="C62" s="757" t="s">
        <v>617</v>
      </c>
      <c r="D62" s="757" t="s">
        <v>618</v>
      </c>
      <c r="E62" s="834">
        <v>0.5</v>
      </c>
      <c r="F62" s="821">
        <v>80</v>
      </c>
    </row>
    <row r="63" spans="1:8" s="817" customFormat="1" ht="36">
      <c r="A63" s="821">
        <v>3</v>
      </c>
      <c r="B63" s="4004"/>
      <c r="C63" s="757" t="s">
        <v>619</v>
      </c>
      <c r="D63" s="757" t="s">
        <v>620</v>
      </c>
      <c r="E63" s="834">
        <v>0.5</v>
      </c>
      <c r="F63" s="821">
        <v>80</v>
      </c>
    </row>
    <row r="64" spans="1:8" s="817" customFormat="1" ht="36">
      <c r="A64" s="821">
        <v>4</v>
      </c>
      <c r="B64" s="4004"/>
      <c r="C64" s="757" t="s">
        <v>621</v>
      </c>
      <c r="D64" s="757" t="s">
        <v>622</v>
      </c>
      <c r="E64" s="834">
        <v>0.4</v>
      </c>
      <c r="F64" s="821">
        <v>60</v>
      </c>
    </row>
    <row r="65" spans="1:6" s="817" customFormat="1" ht="36">
      <c r="A65" s="821">
        <v>5</v>
      </c>
      <c r="B65" s="4004"/>
      <c r="C65" s="757" t="s">
        <v>623</v>
      </c>
      <c r="D65" s="757" t="s">
        <v>624</v>
      </c>
      <c r="E65" s="834">
        <v>0.2</v>
      </c>
      <c r="F65" s="821">
        <v>30</v>
      </c>
    </row>
    <row r="66" spans="1:6" s="817" customFormat="1" ht="36">
      <c r="A66" s="821">
        <v>6</v>
      </c>
      <c r="B66" s="4004"/>
      <c r="C66" s="757" t="s">
        <v>625</v>
      </c>
      <c r="D66" s="757" t="s">
        <v>626</v>
      </c>
      <c r="E66" s="834">
        <v>0.3</v>
      </c>
      <c r="F66" s="821">
        <v>50</v>
      </c>
    </row>
    <row r="67" spans="1:6" s="817" customFormat="1" ht="36">
      <c r="A67" s="821">
        <v>7</v>
      </c>
      <c r="B67" s="4004"/>
      <c r="C67" s="757" t="s">
        <v>627</v>
      </c>
      <c r="D67" s="757" t="s">
        <v>628</v>
      </c>
      <c r="E67" s="834">
        <v>0.2</v>
      </c>
      <c r="F67" s="821">
        <v>30</v>
      </c>
    </row>
    <row r="68" spans="1:6" s="817" customFormat="1" ht="36">
      <c r="A68" s="821">
        <v>8</v>
      </c>
      <c r="B68" s="4004"/>
      <c r="C68" s="757" t="s">
        <v>629</v>
      </c>
      <c r="D68" s="757" t="s">
        <v>630</v>
      </c>
      <c r="E68" s="834">
        <v>0.2</v>
      </c>
      <c r="F68" s="821">
        <v>30</v>
      </c>
    </row>
    <row r="69" spans="1:6" s="817" customFormat="1" ht="36">
      <c r="A69" s="821">
        <v>9</v>
      </c>
      <c r="B69" s="4004"/>
      <c r="C69" s="757" t="s">
        <v>631</v>
      </c>
      <c r="D69" s="757" t="s">
        <v>632</v>
      </c>
      <c r="E69" s="834">
        <v>0.2</v>
      </c>
      <c r="F69" s="821">
        <v>30</v>
      </c>
    </row>
    <row r="70" spans="1:6" s="817" customFormat="1" ht="48">
      <c r="A70" s="821">
        <v>10</v>
      </c>
      <c r="B70" s="4004"/>
      <c r="C70" s="757" t="s">
        <v>633</v>
      </c>
      <c r="D70" s="757" t="s">
        <v>634</v>
      </c>
      <c r="E70" s="834">
        <v>0.2</v>
      </c>
      <c r="F70" s="821">
        <v>30</v>
      </c>
    </row>
    <row r="71" spans="1:6" s="817" customFormat="1" ht="48">
      <c r="A71" s="821">
        <v>11</v>
      </c>
      <c r="B71" s="4004"/>
      <c r="C71" s="757" t="s">
        <v>635</v>
      </c>
      <c r="D71" s="757" t="s">
        <v>636</v>
      </c>
      <c r="E71" s="834">
        <v>0.2</v>
      </c>
      <c r="F71" s="821">
        <v>30</v>
      </c>
    </row>
    <row r="72" spans="1:6" s="817" customFormat="1" ht="36">
      <c r="A72" s="821">
        <v>12</v>
      </c>
      <c r="B72" s="4004"/>
      <c r="C72" s="757" t="s">
        <v>637</v>
      </c>
      <c r="D72" s="757" t="s">
        <v>638</v>
      </c>
      <c r="E72" s="834">
        <v>0.5</v>
      </c>
      <c r="F72" s="821">
        <v>80</v>
      </c>
    </row>
    <row r="73" spans="1:6" s="817" customFormat="1" ht="24">
      <c r="A73" s="821">
        <v>13</v>
      </c>
      <c r="B73" s="4004"/>
      <c r="C73" s="757" t="s">
        <v>639</v>
      </c>
      <c r="D73" s="757" t="s">
        <v>640</v>
      </c>
      <c r="E73" s="834">
        <v>0.4</v>
      </c>
      <c r="F73" s="821">
        <v>60</v>
      </c>
    </row>
    <row r="74" spans="1:6" s="817" customFormat="1" ht="24">
      <c r="A74" s="821">
        <v>14</v>
      </c>
      <c r="B74" s="4004"/>
      <c r="C74" s="757" t="s">
        <v>641</v>
      </c>
      <c r="D74" s="757" t="s">
        <v>642</v>
      </c>
      <c r="E74" s="834">
        <v>0.2</v>
      </c>
      <c r="F74" s="821">
        <v>30</v>
      </c>
    </row>
    <row r="75" spans="1:6" s="817" customFormat="1" ht="24">
      <c r="A75" s="821">
        <v>15</v>
      </c>
      <c r="B75" s="4004"/>
      <c r="C75" s="757" t="s">
        <v>643</v>
      </c>
      <c r="D75" s="757" t="s">
        <v>644</v>
      </c>
      <c r="E75" s="834">
        <v>0.2</v>
      </c>
      <c r="F75" s="821">
        <v>30</v>
      </c>
    </row>
    <row r="76" spans="1:6" s="817" customFormat="1" ht="24">
      <c r="A76" s="821">
        <v>16</v>
      </c>
      <c r="B76" s="4004" t="s">
        <v>645</v>
      </c>
      <c r="C76" s="757" t="s">
        <v>646</v>
      </c>
      <c r="D76" s="757" t="s">
        <v>647</v>
      </c>
      <c r="E76" s="834">
        <v>0.5</v>
      </c>
      <c r="F76" s="821">
        <v>80</v>
      </c>
    </row>
    <row r="77" spans="1:6" s="817" customFormat="1" ht="24">
      <c r="A77" s="821">
        <v>17</v>
      </c>
      <c r="B77" s="4004"/>
      <c r="C77" s="757" t="s">
        <v>648</v>
      </c>
      <c r="D77" s="757" t="s">
        <v>649</v>
      </c>
      <c r="E77" s="834">
        <v>0.5</v>
      </c>
      <c r="F77" s="821">
        <v>80</v>
      </c>
    </row>
    <row r="78" spans="1:6" s="817" customFormat="1" ht="24">
      <c r="A78" s="821">
        <v>18</v>
      </c>
      <c r="B78" s="4004"/>
      <c r="C78" s="757" t="s">
        <v>650</v>
      </c>
      <c r="D78" s="757" t="s">
        <v>651</v>
      </c>
      <c r="E78" s="834">
        <v>0.2</v>
      </c>
      <c r="F78" s="821">
        <v>30</v>
      </c>
    </row>
    <row r="79" spans="1:6" s="817" customFormat="1" ht="24">
      <c r="A79" s="821">
        <v>19</v>
      </c>
      <c r="B79" s="4004"/>
      <c r="C79" s="757" t="s">
        <v>652</v>
      </c>
      <c r="D79" s="757" t="s">
        <v>653</v>
      </c>
      <c r="E79" s="834">
        <v>0.5</v>
      </c>
      <c r="F79" s="821">
        <v>80</v>
      </c>
    </row>
    <row r="80" spans="1:6" s="817" customFormat="1" ht="36">
      <c r="A80" s="821">
        <v>20</v>
      </c>
      <c r="B80" s="4004"/>
      <c r="C80" s="757" t="s">
        <v>654</v>
      </c>
      <c r="D80" s="757" t="s">
        <v>655</v>
      </c>
      <c r="E80" s="834">
        <v>0.2</v>
      </c>
      <c r="F80" s="821">
        <v>30</v>
      </c>
    </row>
    <row r="81" spans="1:6" s="817" customFormat="1" ht="36">
      <c r="A81" s="821">
        <v>21</v>
      </c>
      <c r="B81" s="4004"/>
      <c r="C81" s="757" t="s">
        <v>656</v>
      </c>
      <c r="D81" s="757" t="s">
        <v>657</v>
      </c>
      <c r="E81" s="834">
        <v>0.2</v>
      </c>
      <c r="F81" s="821">
        <v>30</v>
      </c>
    </row>
    <row r="82" spans="1:6" s="817" customFormat="1" ht="48">
      <c r="A82" s="821">
        <v>22</v>
      </c>
      <c r="B82" s="4004"/>
      <c r="C82" s="757" t="s">
        <v>658</v>
      </c>
      <c r="D82" s="757" t="s">
        <v>659</v>
      </c>
      <c r="E82" s="834">
        <v>0.2</v>
      </c>
      <c r="F82" s="821">
        <v>30</v>
      </c>
    </row>
    <row r="83" spans="1:6" s="817" customFormat="1" ht="48">
      <c r="A83" s="821">
        <v>23</v>
      </c>
      <c r="B83" s="4004"/>
      <c r="C83" s="757" t="s">
        <v>660</v>
      </c>
      <c r="D83" s="757" t="s">
        <v>661</v>
      </c>
      <c r="E83" s="834">
        <v>0.2</v>
      </c>
      <c r="F83" s="821">
        <v>30</v>
      </c>
    </row>
    <row r="84" spans="1:6" s="817" customFormat="1" ht="36">
      <c r="A84" s="821">
        <v>24</v>
      </c>
      <c r="B84" s="4004"/>
      <c r="C84" s="757" t="s">
        <v>662</v>
      </c>
      <c r="D84" s="757" t="s">
        <v>663</v>
      </c>
      <c r="E84" s="834">
        <v>0.2</v>
      </c>
      <c r="F84" s="821">
        <v>30</v>
      </c>
    </row>
    <row r="85" spans="1:6" s="817" customFormat="1" ht="36">
      <c r="A85" s="821">
        <v>25</v>
      </c>
      <c r="B85" s="4004"/>
      <c r="C85" s="757" t="s">
        <v>664</v>
      </c>
      <c r="D85" s="757" t="s">
        <v>665</v>
      </c>
      <c r="E85" s="834">
        <v>0.5</v>
      </c>
      <c r="F85" s="821">
        <v>80</v>
      </c>
    </row>
    <row r="86" spans="1:6" s="817" customFormat="1" ht="36">
      <c r="A86" s="821">
        <v>26</v>
      </c>
      <c r="B86" s="4004"/>
      <c r="C86" s="757" t="s">
        <v>666</v>
      </c>
      <c r="D86" s="757" t="s">
        <v>667</v>
      </c>
      <c r="E86" s="834">
        <v>0.2</v>
      </c>
      <c r="F86" s="821">
        <v>30</v>
      </c>
    </row>
    <row r="87" spans="1:6" s="817" customFormat="1" ht="36">
      <c r="A87" s="821">
        <v>27</v>
      </c>
      <c r="B87" s="4004"/>
      <c r="C87" s="757" t="s">
        <v>668</v>
      </c>
      <c r="D87" s="757" t="s">
        <v>669</v>
      </c>
      <c r="E87" s="834">
        <v>0.2</v>
      </c>
      <c r="F87" s="821">
        <v>30</v>
      </c>
    </row>
    <row r="88" spans="1:6" s="817" customFormat="1" ht="36">
      <c r="A88" s="821">
        <v>28</v>
      </c>
      <c r="B88" s="4004"/>
      <c r="C88" s="757" t="s">
        <v>670</v>
      </c>
      <c r="D88" s="757" t="s">
        <v>671</v>
      </c>
      <c r="E88" s="834">
        <v>0.2</v>
      </c>
      <c r="F88" s="821">
        <v>30</v>
      </c>
    </row>
    <row r="89" spans="1:6" s="817" customFormat="1" ht="24">
      <c r="A89" s="821">
        <v>29</v>
      </c>
      <c r="B89" s="4004"/>
      <c r="C89" s="757" t="s">
        <v>672</v>
      </c>
      <c r="D89" s="757" t="s">
        <v>673</v>
      </c>
      <c r="E89" s="834">
        <v>0.2</v>
      </c>
      <c r="F89" s="821">
        <v>30</v>
      </c>
    </row>
    <row r="90" spans="1:6" s="817" customFormat="1" ht="24">
      <c r="A90" s="821">
        <v>30</v>
      </c>
      <c r="B90" s="4004"/>
      <c r="C90" s="757" t="s">
        <v>674</v>
      </c>
      <c r="D90" s="757" t="s">
        <v>675</v>
      </c>
      <c r="E90" s="834">
        <v>0.2</v>
      </c>
      <c r="F90" s="821">
        <v>30</v>
      </c>
    </row>
    <row r="91" spans="1:6" s="817" customFormat="1" ht="36">
      <c r="A91" s="821">
        <v>31</v>
      </c>
      <c r="B91" s="4004"/>
      <c r="C91" s="757" t="s">
        <v>676</v>
      </c>
      <c r="D91" s="757" t="s">
        <v>677</v>
      </c>
      <c r="E91" s="834">
        <v>0.2</v>
      </c>
      <c r="F91" s="821">
        <v>30</v>
      </c>
    </row>
    <row r="92" spans="1:6" s="817" customFormat="1" ht="24">
      <c r="A92" s="821">
        <v>32</v>
      </c>
      <c r="B92" s="4004" t="s">
        <v>678</v>
      </c>
      <c r="C92" s="821" t="s">
        <v>679</v>
      </c>
      <c r="D92" s="757" t="s">
        <v>680</v>
      </c>
      <c r="E92" s="834">
        <v>0.2</v>
      </c>
      <c r="F92" s="821">
        <v>30</v>
      </c>
    </row>
    <row r="93" spans="1:6" s="817" customFormat="1" ht="36">
      <c r="A93" s="821">
        <v>33</v>
      </c>
      <c r="B93" s="4004"/>
      <c r="C93" s="821" t="s">
        <v>681</v>
      </c>
      <c r="D93" s="757" t="s">
        <v>682</v>
      </c>
      <c r="E93" s="834">
        <v>0.2</v>
      </c>
      <c r="F93" s="821">
        <v>30</v>
      </c>
    </row>
    <row r="94" spans="1:6" s="817" customFormat="1" ht="48">
      <c r="A94" s="821">
        <v>34</v>
      </c>
      <c r="B94" s="4004"/>
      <c r="C94" s="821" t="s">
        <v>683</v>
      </c>
      <c r="D94" s="757" t="s">
        <v>684</v>
      </c>
      <c r="E94" s="834">
        <v>0.2</v>
      </c>
      <c r="F94" s="821">
        <v>30</v>
      </c>
    </row>
    <row r="95" spans="1:6" s="817" customFormat="1" ht="36">
      <c r="A95" s="821">
        <v>35</v>
      </c>
      <c r="B95" s="4004"/>
      <c r="C95" s="821" t="s">
        <v>685</v>
      </c>
      <c r="D95" s="757" t="s">
        <v>686</v>
      </c>
      <c r="E95" s="834">
        <v>0.2</v>
      </c>
      <c r="F95" s="821">
        <v>30</v>
      </c>
    </row>
    <row r="96" spans="1:6" s="817" customFormat="1" ht="48">
      <c r="A96" s="821">
        <v>36</v>
      </c>
      <c r="B96" s="4004"/>
      <c r="C96" s="757" t="s">
        <v>687</v>
      </c>
      <c r="D96" s="757" t="s">
        <v>688</v>
      </c>
      <c r="E96" s="834">
        <v>0.2</v>
      </c>
      <c r="F96" s="821">
        <v>30</v>
      </c>
    </row>
    <row r="97" spans="1:6" s="817" customFormat="1" ht="36">
      <c r="A97" s="821">
        <v>37</v>
      </c>
      <c r="B97" s="4004"/>
      <c r="C97" s="821" t="s">
        <v>689</v>
      </c>
      <c r="D97" s="757" t="s">
        <v>690</v>
      </c>
      <c r="E97" s="834">
        <v>0.2</v>
      </c>
      <c r="F97" s="821">
        <v>30</v>
      </c>
    </row>
    <row r="98" spans="1:6" s="817" customFormat="1" ht="36">
      <c r="A98" s="821">
        <v>38</v>
      </c>
      <c r="B98" s="4004"/>
      <c r="C98" s="821" t="s">
        <v>691</v>
      </c>
      <c r="D98" s="757" t="s">
        <v>692</v>
      </c>
      <c r="E98" s="834">
        <v>0.2</v>
      </c>
      <c r="F98" s="821">
        <v>30</v>
      </c>
    </row>
    <row r="99" spans="1:6" s="817" customFormat="1" ht="36">
      <c r="A99" s="821">
        <v>39</v>
      </c>
      <c r="B99" s="4004" t="s">
        <v>693</v>
      </c>
      <c r="C99" s="821" t="s">
        <v>694</v>
      </c>
      <c r="D99" s="757" t="s">
        <v>695</v>
      </c>
      <c r="E99" s="834">
        <v>0.3</v>
      </c>
      <c r="F99" s="821">
        <v>50</v>
      </c>
    </row>
    <row r="100" spans="1:6" s="817" customFormat="1" ht="24">
      <c r="A100" s="821">
        <v>40</v>
      </c>
      <c r="B100" s="4004"/>
      <c r="C100" s="821" t="s">
        <v>696</v>
      </c>
      <c r="D100" s="757" t="s">
        <v>697</v>
      </c>
      <c r="E100" s="834">
        <v>0.2</v>
      </c>
      <c r="F100" s="821">
        <v>30</v>
      </c>
    </row>
    <row r="101" spans="1:6" s="817" customFormat="1" ht="36">
      <c r="A101" s="821">
        <v>41</v>
      </c>
      <c r="B101" s="4004"/>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4004" t="s">
        <v>708</v>
      </c>
      <c r="C105" s="821" t="s">
        <v>709</v>
      </c>
      <c r="D105" s="757" t="s">
        <v>710</v>
      </c>
      <c r="E105" s="834">
        <v>0.2</v>
      </c>
      <c r="F105" s="821">
        <v>30</v>
      </c>
    </row>
    <row r="106" spans="1:6" s="817" customFormat="1" ht="36">
      <c r="A106" s="821">
        <v>46</v>
      </c>
      <c r="B106" s="4004"/>
      <c r="C106" s="821" t="s">
        <v>711</v>
      </c>
      <c r="D106" s="757" t="s">
        <v>712</v>
      </c>
      <c r="E106" s="834">
        <v>0.2</v>
      </c>
      <c r="F106" s="821">
        <v>30</v>
      </c>
    </row>
    <row r="107" spans="1:6" s="817" customFormat="1" ht="36">
      <c r="A107" s="821">
        <v>47</v>
      </c>
      <c r="B107" s="4004" t="s">
        <v>713</v>
      </c>
      <c r="C107" s="821" t="s">
        <v>714</v>
      </c>
      <c r="D107" s="757" t="s">
        <v>715</v>
      </c>
      <c r="E107" s="834">
        <v>0.3</v>
      </c>
      <c r="F107" s="821">
        <v>50</v>
      </c>
    </row>
    <row r="108" spans="1:6" s="817" customFormat="1" ht="36">
      <c r="A108" s="821">
        <v>48</v>
      </c>
      <c r="B108" s="4004"/>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4004" t="s">
        <v>724</v>
      </c>
      <c r="C111" s="821" t="s">
        <v>725</v>
      </c>
      <c r="D111" s="757" t="s">
        <v>726</v>
      </c>
      <c r="E111" s="834">
        <v>0.2</v>
      </c>
      <c r="F111" s="821">
        <v>30</v>
      </c>
    </row>
    <row r="112" spans="1:6" s="817" customFormat="1" ht="24">
      <c r="A112" s="821">
        <v>52</v>
      </c>
      <c r="B112" s="4004"/>
      <c r="C112" s="821" t="s">
        <v>727</v>
      </c>
      <c r="D112" s="757" t="s">
        <v>728</v>
      </c>
      <c r="E112" s="834">
        <v>0.2</v>
      </c>
      <c r="F112" s="821">
        <v>30</v>
      </c>
    </row>
    <row r="113" spans="1:6" s="817" customFormat="1" ht="24">
      <c r="A113" s="821">
        <v>53</v>
      </c>
      <c r="B113" s="4004"/>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4004" t="s">
        <v>737</v>
      </c>
      <c r="C116" s="821" t="s">
        <v>738</v>
      </c>
      <c r="D116" s="757" t="s">
        <v>739</v>
      </c>
      <c r="E116" s="834">
        <v>0.2</v>
      </c>
      <c r="F116" s="821">
        <v>30</v>
      </c>
    </row>
    <row r="117" spans="1:6" ht="36">
      <c r="A117" s="821">
        <v>57</v>
      </c>
      <c r="B117" s="4004"/>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P21"/>
  <sheetViews>
    <sheetView view="pageBreakPreview" zoomScaleNormal="100" zoomScaleSheetLayoutView="100" workbookViewId="0">
      <selection activeCell="D30" activeCellId="1" sqref="H5 D30"/>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2823</v>
      </c>
      <c r="B1" s="2363"/>
      <c r="C1" s="2363"/>
      <c r="D1" s="2363"/>
      <c r="E1" s="2363"/>
      <c r="F1" s="3024"/>
      <c r="G1" s="3024"/>
      <c r="H1" s="3024"/>
      <c r="I1" s="3024"/>
      <c r="J1" s="3024"/>
      <c r="K1" s="3024"/>
      <c r="L1" s="3024"/>
      <c r="M1" s="3024"/>
      <c r="N1" s="3024"/>
      <c r="O1" s="3024"/>
      <c r="P1" s="3024"/>
    </row>
    <row r="2" spans="1:16" ht="15.75">
      <c r="A2" s="2361" t="s">
        <v>2815</v>
      </c>
      <c r="B2" s="2828" t="e">
        <f ca="1">SUMIF(B6:B13,"&lt;&gt;#ref!",B6:B13)</f>
        <v>#DIV/0!</v>
      </c>
      <c r="C2" s="2361" t="s">
        <v>2816</v>
      </c>
      <c r="D2" s="2361" t="s">
        <v>2817</v>
      </c>
      <c r="E2" s="2838">
        <f ca="1">SUMIF(E6:E13,"&lt;&gt;#ref!",E6:E13)</f>
        <v>0</v>
      </c>
      <c r="F2" s="3024"/>
      <c r="G2" s="3024"/>
      <c r="H2" s="3024"/>
      <c r="I2" s="3024"/>
      <c r="J2" s="3024"/>
      <c r="K2" s="3024"/>
      <c r="L2" s="3024"/>
      <c r="M2" s="3024"/>
      <c r="N2" s="3024"/>
      <c r="O2" s="3024"/>
      <c r="P2" s="3024"/>
    </row>
    <row r="3" spans="1:16" ht="15.75">
      <c r="A3" s="2361" t="s">
        <v>2818</v>
      </c>
      <c r="B3" s="2828" t="e">
        <f ca="1">ROUND(B2*10000/E2,0)</f>
        <v>#DIV/0!</v>
      </c>
      <c r="C3" s="2361" t="s">
        <v>2824</v>
      </c>
      <c r="D3" s="3024"/>
      <c r="E3" s="3024"/>
      <c r="F3" s="3024"/>
      <c r="G3" s="3024"/>
      <c r="H3" s="3024"/>
      <c r="I3" s="3024"/>
      <c r="J3" s="3024"/>
      <c r="K3" s="3024"/>
      <c r="L3" s="3024"/>
      <c r="M3" s="3024"/>
      <c r="N3" s="3024"/>
      <c r="O3" s="3024"/>
      <c r="P3" s="3024"/>
    </row>
    <row r="4" spans="1:16" ht="15.75">
      <c r="A4" s="3025"/>
      <c r="B4" s="3024"/>
      <c r="C4" s="3024"/>
      <c r="D4" s="3024"/>
      <c r="E4" s="3024"/>
      <c r="F4" s="3024"/>
      <c r="G4" s="3024"/>
      <c r="H4" s="3024"/>
      <c r="I4" s="3024"/>
      <c r="J4" s="3024"/>
      <c r="K4" s="3024"/>
      <c r="L4" s="3024"/>
      <c r="M4" s="3024"/>
      <c r="N4" s="3024"/>
      <c r="O4" s="3024"/>
      <c r="P4" s="3024"/>
    </row>
    <row r="5" spans="1:16" ht="28.5">
      <c r="A5" s="2834" t="s">
        <v>2819</v>
      </c>
      <c r="B5" s="2836" t="s">
        <v>2820</v>
      </c>
      <c r="C5" s="2362"/>
      <c r="D5" s="3024"/>
      <c r="E5" s="2837" t="s">
        <v>2821</v>
      </c>
      <c r="F5" s="3024"/>
      <c r="G5" s="3024"/>
      <c r="H5" s="3024"/>
      <c r="I5" s="3024"/>
      <c r="J5" s="3024"/>
      <c r="K5" s="3024"/>
      <c r="L5" s="3024"/>
      <c r="M5" s="3024"/>
      <c r="N5" s="3024"/>
      <c r="O5" s="3024"/>
      <c r="P5" s="3024"/>
    </row>
    <row r="6" spans="1:16" ht="15.75">
      <c r="A6" s="2835" t="s">
        <v>2822</v>
      </c>
      <c r="B6" s="2828" t="e">
        <f ca="1">SUMIF(INDIRECT("'"&amp;A6&amp;"'"&amp;"!A:A"),"总价",INDIRECT("'"&amp;A6&amp;"'"&amp;"!B:B"))</f>
        <v>#DIV/0!</v>
      </c>
      <c r="C6" s="2361" t="s">
        <v>2816</v>
      </c>
      <c r="D6" s="3024"/>
      <c r="E6" s="2838">
        <f ca="1">SUMIF(INDIRECT("'"&amp;A6&amp;"'"&amp;"!C:C"),"建筑面积",INDIRECT("'"&amp;A6&amp;"'"&amp;"!D:D"))</f>
        <v>0</v>
      </c>
      <c r="F6" s="3024"/>
      <c r="G6" s="3024"/>
      <c r="H6" s="3024"/>
      <c r="I6" s="3024"/>
      <c r="J6" s="3024"/>
      <c r="K6" s="3024"/>
      <c r="L6" s="3024"/>
      <c r="M6" s="3024"/>
      <c r="N6" s="3024"/>
      <c r="O6" s="3024"/>
      <c r="P6" s="3024"/>
    </row>
    <row r="7" spans="1:16" ht="15.75">
      <c r="A7" s="2835"/>
      <c r="B7" s="2828" t="e">
        <f ca="1">SUMIF(INDIRECT("'"&amp;A7&amp;"'"&amp;"!A:A"),"总价",INDIRECT("'"&amp;A7&amp;"'"&amp;"!B:B"))</f>
        <v>#REF!</v>
      </c>
      <c r="C7" s="2361" t="s">
        <v>2816</v>
      </c>
      <c r="D7" s="3024"/>
      <c r="E7" s="2838" t="e">
        <f t="shared" ref="E7:E13" ca="1" si="0">SUMIF(INDIRECT("'"&amp;A7&amp;"'"&amp;"!C:C"),"建筑面积",INDIRECT("'"&amp;A7&amp;"'"&amp;"!D:D"))</f>
        <v>#REF!</v>
      </c>
      <c r="F7" s="3024"/>
      <c r="G7" s="3024"/>
      <c r="H7" s="3024"/>
      <c r="I7" s="3024"/>
      <c r="J7" s="3024"/>
      <c r="K7" s="3024"/>
      <c r="L7" s="3024"/>
      <c r="M7" s="3024"/>
      <c r="N7" s="3024"/>
      <c r="O7" s="3024"/>
      <c r="P7" s="3024"/>
    </row>
    <row r="8" spans="1:16" ht="15.75">
      <c r="A8" s="2835"/>
      <c r="B8" s="2828" t="e">
        <f t="shared" ref="B8:B13" ca="1" si="1">SUMIF(INDIRECT("'"&amp;A8&amp;"'"&amp;"!A:A"),"总价",INDIRECT("'"&amp;A8&amp;"'"&amp;"!B:B"))</f>
        <v>#REF!</v>
      </c>
      <c r="C8" s="2361" t="s">
        <v>2816</v>
      </c>
      <c r="D8" s="3024"/>
      <c r="E8" s="2838" t="e">
        <f t="shared" ca="1" si="0"/>
        <v>#REF!</v>
      </c>
      <c r="F8" s="3024"/>
      <c r="G8" s="3024"/>
      <c r="H8" s="3024"/>
      <c r="I8" s="3024"/>
      <c r="J8" s="3024"/>
      <c r="K8" s="3024"/>
      <c r="L8" s="3024"/>
      <c r="M8" s="3024"/>
      <c r="N8" s="3024"/>
      <c r="O8" s="3024"/>
      <c r="P8" s="3024"/>
    </row>
    <row r="9" spans="1:16" ht="15.75">
      <c r="A9" s="2835"/>
      <c r="B9" s="2828" t="e">
        <f t="shared" ca="1" si="1"/>
        <v>#REF!</v>
      </c>
      <c r="C9" s="2361" t="s">
        <v>2816</v>
      </c>
      <c r="D9" s="3024"/>
      <c r="E9" s="2838" t="e">
        <f t="shared" ca="1" si="0"/>
        <v>#REF!</v>
      </c>
      <c r="F9" s="3024"/>
      <c r="G9" s="3024"/>
      <c r="H9" s="3024"/>
      <c r="I9" s="3024"/>
      <c r="J9" s="3024"/>
      <c r="K9" s="3024"/>
      <c r="L9" s="3024"/>
      <c r="M9" s="3024"/>
      <c r="N9" s="3024"/>
      <c r="O9" s="3024"/>
      <c r="P9" s="3024"/>
    </row>
    <row r="10" spans="1:16" ht="15.75">
      <c r="A10" s="2835"/>
      <c r="B10" s="2828" t="e">
        <f t="shared" ca="1" si="1"/>
        <v>#REF!</v>
      </c>
      <c r="C10" s="2361" t="s">
        <v>2816</v>
      </c>
      <c r="D10" s="3024"/>
      <c r="E10" s="2838" t="e">
        <f t="shared" ca="1" si="0"/>
        <v>#REF!</v>
      </c>
      <c r="F10" s="3024"/>
      <c r="G10" s="3024"/>
      <c r="H10" s="3024"/>
      <c r="I10" s="3024"/>
      <c r="J10" s="3024"/>
      <c r="K10" s="3024"/>
      <c r="L10" s="3024"/>
      <c r="M10" s="3024"/>
      <c r="N10" s="3024"/>
      <c r="O10" s="3024"/>
      <c r="P10" s="3024"/>
    </row>
    <row r="11" spans="1:16" ht="15.75">
      <c r="A11" s="2835"/>
      <c r="B11" s="2828" t="e">
        <f t="shared" ca="1" si="1"/>
        <v>#REF!</v>
      </c>
      <c r="C11" s="2361" t="s">
        <v>2816</v>
      </c>
      <c r="D11" s="3024"/>
      <c r="E11" s="2838" t="e">
        <f t="shared" ca="1" si="0"/>
        <v>#REF!</v>
      </c>
      <c r="F11" s="3024"/>
      <c r="G11" s="3024"/>
      <c r="H11" s="3024"/>
      <c r="I11" s="3024"/>
      <c r="J11" s="3024"/>
      <c r="K11" s="3024"/>
      <c r="L11" s="3024"/>
      <c r="M11" s="3024"/>
      <c r="N11" s="3024"/>
      <c r="O11" s="3024"/>
      <c r="P11" s="3024"/>
    </row>
    <row r="12" spans="1:16" ht="15.75">
      <c r="A12" s="2835"/>
      <c r="B12" s="2828" t="e">
        <f t="shared" ca="1" si="1"/>
        <v>#REF!</v>
      </c>
      <c r="C12" s="2361" t="s">
        <v>2816</v>
      </c>
      <c r="D12" s="3024"/>
      <c r="E12" s="2838" t="e">
        <f t="shared" ca="1" si="0"/>
        <v>#REF!</v>
      </c>
      <c r="F12" s="3024"/>
      <c r="G12" s="3024"/>
      <c r="H12" s="3024"/>
      <c r="I12" s="3024"/>
      <c r="J12" s="3024"/>
      <c r="K12" s="3024"/>
      <c r="L12" s="3024"/>
      <c r="M12" s="3024"/>
      <c r="N12" s="3024"/>
      <c r="O12" s="3024"/>
      <c r="P12" s="3024"/>
    </row>
    <row r="13" spans="1:16" ht="15.75">
      <c r="A13" s="2835"/>
      <c r="B13" s="2828" t="e">
        <f t="shared" ca="1" si="1"/>
        <v>#REF!</v>
      </c>
      <c r="C13" s="2361" t="s">
        <v>2816</v>
      </c>
      <c r="D13" s="3024"/>
      <c r="E13" s="2838" t="e">
        <f t="shared" ca="1" si="0"/>
        <v>#REF!</v>
      </c>
      <c r="F13" s="3024"/>
      <c r="G13" s="3024"/>
      <c r="H13" s="3024"/>
      <c r="I13" s="3024"/>
      <c r="J13" s="3024"/>
      <c r="K13" s="3024"/>
      <c r="L13" s="3024"/>
      <c r="M13" s="3024"/>
      <c r="N13" s="3024"/>
      <c r="O13" s="3024"/>
      <c r="P13" s="3024"/>
    </row>
    <row r="14" spans="1:16">
      <c r="A14" s="3024"/>
      <c r="B14" s="3024"/>
      <c r="C14" s="3024"/>
      <c r="D14" s="3024"/>
      <c r="E14" s="3024"/>
      <c r="F14" s="3024"/>
      <c r="G14" s="3024"/>
      <c r="H14" s="3024"/>
      <c r="I14" s="3024"/>
      <c r="J14" s="3024"/>
      <c r="K14" s="3024"/>
      <c r="L14" s="3024"/>
      <c r="M14" s="3024"/>
      <c r="N14" s="3024"/>
      <c r="O14" s="3024"/>
      <c r="P14" s="3024"/>
    </row>
    <row r="15" spans="1:16">
      <c r="A15" s="3024"/>
      <c r="B15" s="3024"/>
      <c r="C15" s="3024"/>
      <c r="D15" s="3024"/>
      <c r="E15" s="3024"/>
      <c r="F15" s="3024"/>
      <c r="G15" s="3024"/>
      <c r="H15" s="3024"/>
      <c r="I15" s="3024"/>
      <c r="J15" s="3024"/>
      <c r="K15" s="3024"/>
      <c r="L15" s="3024"/>
      <c r="M15" s="3024"/>
      <c r="N15" s="3024"/>
      <c r="O15" s="3024"/>
      <c r="P15" s="3024"/>
    </row>
    <row r="16" spans="1:16">
      <c r="A16" s="3024"/>
      <c r="B16" s="3024"/>
      <c r="C16" s="3024"/>
      <c r="D16" s="3024"/>
      <c r="E16" s="3024"/>
      <c r="F16" s="3024"/>
      <c r="G16" s="3024"/>
      <c r="H16" s="3024"/>
      <c r="I16" s="3024"/>
      <c r="J16" s="3024"/>
      <c r="K16" s="3024"/>
      <c r="L16" s="3024"/>
      <c r="M16" s="3024"/>
      <c r="N16" s="3024"/>
      <c r="O16" s="3024"/>
      <c r="P16" s="3024"/>
    </row>
    <row r="17" spans="1:16">
      <c r="A17" s="3024"/>
      <c r="B17" s="3024"/>
      <c r="C17" s="3024"/>
      <c r="D17" s="3024"/>
      <c r="E17" s="3024"/>
      <c r="F17" s="3024"/>
      <c r="G17" s="3024"/>
      <c r="H17" s="3024"/>
      <c r="I17" s="3024"/>
      <c r="J17" s="3024"/>
      <c r="K17" s="3024"/>
      <c r="L17" s="3024"/>
      <c r="M17" s="3024"/>
      <c r="N17" s="3024"/>
      <c r="O17" s="3024"/>
      <c r="P17" s="3024"/>
    </row>
    <row r="18" spans="1:16">
      <c r="A18" s="3024"/>
      <c r="B18" s="3024"/>
      <c r="C18" s="3024"/>
      <c r="D18" s="3024"/>
      <c r="E18" s="3024"/>
      <c r="F18" s="3024"/>
      <c r="G18" s="3024"/>
      <c r="H18" s="3024"/>
      <c r="I18" s="3024"/>
      <c r="J18" s="3024"/>
      <c r="K18" s="3024"/>
      <c r="L18" s="3024"/>
      <c r="M18" s="3024"/>
      <c r="N18" s="3024"/>
      <c r="O18" s="3024"/>
      <c r="P18" s="3024"/>
    </row>
    <row r="19" spans="1:16">
      <c r="A19" s="3024"/>
      <c r="B19" s="3024"/>
      <c r="C19" s="3024"/>
      <c r="D19" s="3024"/>
      <c r="E19" s="3024"/>
      <c r="F19" s="3024"/>
      <c r="G19" s="3024"/>
      <c r="H19" s="3024"/>
      <c r="I19" s="3024"/>
      <c r="J19" s="3024"/>
      <c r="K19" s="3024"/>
      <c r="L19" s="3024"/>
      <c r="M19" s="3024"/>
      <c r="N19" s="3024"/>
      <c r="O19" s="3024"/>
      <c r="P19" s="3024"/>
    </row>
    <row r="20" spans="1:16">
      <c r="A20" s="3024"/>
      <c r="B20" s="3024"/>
      <c r="C20" s="3024"/>
      <c r="D20" s="3024"/>
      <c r="E20" s="3024"/>
      <c r="F20" s="3024"/>
      <c r="G20" s="3024"/>
      <c r="H20" s="3024"/>
      <c r="I20" s="3024"/>
      <c r="J20" s="3024"/>
      <c r="K20" s="3024"/>
      <c r="L20" s="3024"/>
      <c r="M20" s="3024"/>
      <c r="N20" s="3024"/>
      <c r="O20" s="3024"/>
      <c r="P20" s="3024"/>
    </row>
    <row r="21" spans="1:16">
      <c r="A21" s="3024"/>
      <c r="B21" s="3024"/>
      <c r="C21" s="3024"/>
      <c r="D21" s="3024"/>
      <c r="E21" s="3024"/>
      <c r="F21" s="3024"/>
      <c r="G21" s="3024"/>
      <c r="H21" s="3024"/>
      <c r="I21" s="3024"/>
      <c r="J21" s="3024"/>
      <c r="K21" s="3024"/>
      <c r="L21" s="3024"/>
      <c r="M21" s="3024"/>
      <c r="N21" s="3024"/>
      <c r="O21" s="3024"/>
      <c r="P21" s="3024"/>
    </row>
  </sheetData>
  <sheetProtection password="CEE9" sheet="1" objects="1" scenarios="1" formatCells="0" formatColumns="0" formatRows="0"/>
  <phoneticPr fontId="140"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125" style="1677" customWidth="1"/>
    <col min="3" max="3" width="11.375" style="1677" customWidth="1"/>
    <col min="4" max="4" width="31.62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6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69"/>
      <c r="C2" s="3669"/>
      <c r="D2" s="3669"/>
      <c r="E2" s="3669"/>
    </row>
    <row r="3" spans="1:5" ht="18">
      <c r="A3" s="3670" t="str">
        <f>IF(项目基本情况!B9="房地产市场价值","估价结果一览表（市场价值不需“结果表-1”）","估价结果一览表")</f>
        <v>估价结果一览表（市场价值不需“结果表-1”）</v>
      </c>
      <c r="B3" s="3670"/>
      <c r="C3" s="3670"/>
      <c r="D3" s="3670"/>
      <c r="E3" s="3670"/>
    </row>
    <row r="4" spans="1:5" ht="19.5" thickBot="1">
      <c r="A4" s="1678"/>
      <c r="B4" s="3668" t="s">
        <v>1595</v>
      </c>
      <c r="C4" s="3668"/>
      <c r="D4" s="3668"/>
      <c r="E4" s="1678"/>
    </row>
    <row r="5" spans="1:5" ht="16.5" thickTop="1">
      <c r="A5" s="1676"/>
      <c r="B5" s="3666" t="s">
        <v>1587</v>
      </c>
      <c r="C5" s="1679" t="s">
        <v>1588</v>
      </c>
      <c r="D5" s="959">
        <f ca="1">结果表!H101</f>
        <v>329</v>
      </c>
      <c r="E5" s="1676"/>
    </row>
    <row r="6" spans="1:5" ht="15.75">
      <c r="A6" s="1676"/>
      <c r="B6" s="3666"/>
      <c r="C6" s="1679" t="s">
        <v>1589</v>
      </c>
      <c r="D6" s="959" t="str">
        <f ca="1">NUMBERSTRING(INT(D5*10000),2)&amp;"元整"</f>
        <v>叁佰贰拾玖万元整</v>
      </c>
      <c r="E6" s="1676"/>
    </row>
    <row r="7" spans="1:5" ht="15.75">
      <c r="A7" s="1676"/>
      <c r="B7" s="3671"/>
      <c r="C7" s="1680" t="s">
        <v>1590</v>
      </c>
      <c r="D7" s="960">
        <f ca="1">结果表!H102</f>
        <v>16621</v>
      </c>
      <c r="E7" s="1676"/>
    </row>
    <row r="8" spans="1:5" ht="15.75">
      <c r="A8" s="1676"/>
      <c r="B8" s="3672" t="str">
        <f>结果表!E103</f>
        <v>2.估价师知悉的法定优先受偿款</v>
      </c>
      <c r="C8" s="1681" t="s">
        <v>1591</v>
      </c>
      <c r="D8" s="960">
        <f>结果表!H103</f>
        <v>0</v>
      </c>
      <c r="E8" s="1676"/>
    </row>
    <row r="9" spans="1:5" ht="15.75">
      <c r="A9" s="1676"/>
      <c r="B9" s="3674"/>
      <c r="C9" s="1679" t="s">
        <v>1589</v>
      </c>
      <c r="D9" s="959" t="str">
        <f>NUMBERSTRING(INT(D8*10000),2)&amp;"元整"</f>
        <v>零元整</v>
      </c>
      <c r="E9" s="1676"/>
    </row>
    <row r="10" spans="1:5" ht="15">
      <c r="A10" s="1676"/>
      <c r="B10" s="1682" t="s">
        <v>1594</v>
      </c>
      <c r="C10" s="1683" t="s">
        <v>1592</v>
      </c>
      <c r="D10" s="961">
        <f>结果表!H104</f>
        <v>0</v>
      </c>
      <c r="E10" s="1676"/>
    </row>
    <row r="11" spans="1:5" ht="15">
      <c r="A11" s="1676"/>
      <c r="B11" s="1682" t="s">
        <v>1596</v>
      </c>
      <c r="C11" s="1683" t="s">
        <v>1597</v>
      </c>
      <c r="D11" s="961">
        <f>结果表!H105</f>
        <v>0</v>
      </c>
      <c r="E11" s="1676"/>
    </row>
    <row r="12" spans="1:5" ht="15">
      <c r="A12" s="1676"/>
      <c r="B12" s="1682" t="s">
        <v>1598</v>
      </c>
      <c r="C12" s="1683" t="s">
        <v>1597</v>
      </c>
      <c r="D12" s="961">
        <f>结果表!H106</f>
        <v>0</v>
      </c>
      <c r="E12" s="1676"/>
    </row>
    <row r="13" spans="1:5" ht="15.75">
      <c r="A13" s="1676"/>
      <c r="B13" s="3665" t="str">
        <f>结果表!E107</f>
        <v>——</v>
      </c>
      <c r="C13" s="1684" t="s">
        <v>1588</v>
      </c>
      <c r="D13" s="962" t="str">
        <f>结果表!H107</f>
        <v>——</v>
      </c>
      <c r="E13" s="1676"/>
    </row>
    <row r="14" spans="1:5" ht="15.75">
      <c r="A14" s="1676"/>
      <c r="B14" s="3666"/>
      <c r="C14" s="1679" t="s">
        <v>1589</v>
      </c>
      <c r="D14" s="959" t="e">
        <f>NUMBERSTRING(INT(D13*10000),2)&amp;"元整"</f>
        <v>#VALUE!</v>
      </c>
      <c r="E14" s="1676"/>
    </row>
    <row r="15" spans="1:5" ht="15">
      <c r="A15" s="1676"/>
      <c r="B15" s="3671"/>
      <c r="C15" s="1680" t="s">
        <v>1599</v>
      </c>
      <c r="D15" s="968" t="e">
        <f>结果表!H108</f>
        <v>#VALUE!</v>
      </c>
      <c r="E15" s="1676"/>
    </row>
    <row r="16" spans="1:5" ht="15">
      <c r="A16" s="1676"/>
      <c r="B16" s="3672" t="str">
        <f>结果表!E109</f>
        <v>3.抵押担保权已注销时的房地产抵押价值</v>
      </c>
      <c r="C16" s="1684" t="s">
        <v>1600</v>
      </c>
      <c r="D16" s="1685">
        <f ca="1">结果表!H109</f>
        <v>329</v>
      </c>
      <c r="E16" s="1676"/>
    </row>
    <row r="17" spans="1:5" ht="15.75">
      <c r="A17" s="1676"/>
      <c r="B17" s="3673"/>
      <c r="C17" s="1679" t="s">
        <v>1601</v>
      </c>
      <c r="D17" s="959" t="str">
        <f ca="1">NUMBERSTRING(INT(D16*10000),2)&amp;"元整"</f>
        <v>叁佰贰拾玖万元整</v>
      </c>
      <c r="E17" s="1676"/>
    </row>
    <row r="18" spans="1:5" ht="15">
      <c r="A18" s="1676"/>
      <c r="B18" s="3674"/>
      <c r="C18" s="1680" t="s">
        <v>1590</v>
      </c>
      <c r="D18" s="968">
        <f ca="1">结果表!H110</f>
        <v>16610</v>
      </c>
      <c r="E18" s="1676"/>
    </row>
    <row r="19" spans="1:5" ht="15.75">
      <c r="A19" s="1676"/>
      <c r="B19" s="3665" t="str">
        <f>结果表!E111</f>
        <v>——</v>
      </c>
      <c r="C19" s="1684" t="s">
        <v>1588</v>
      </c>
      <c r="D19" s="960" t="str">
        <f>结果表!H111</f>
        <v>——</v>
      </c>
      <c r="E19" s="1676"/>
    </row>
    <row r="20" spans="1:5" ht="15.75">
      <c r="A20" s="1676"/>
      <c r="B20" s="3666"/>
      <c r="C20" s="1679" t="s">
        <v>1601</v>
      </c>
      <c r="D20" s="959" t="e">
        <f>NUMBERSTRING(INT(D19*10000),2)&amp;"元整"</f>
        <v>#VALUE!</v>
      </c>
      <c r="E20" s="1676"/>
    </row>
    <row r="21" spans="1:5" ht="15.75" thickBot="1">
      <c r="A21" s="1676"/>
      <c r="B21" s="3667"/>
      <c r="C21" s="1686" t="s">
        <v>1599</v>
      </c>
      <c r="D21" s="969" t="str">
        <f>结果表!H112</f>
        <v>——</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7"/>
  <sheetViews>
    <sheetView zoomScale="80" zoomScaleNormal="80" workbookViewId="0">
      <selection activeCell="D30" activeCellId="1" sqref="H5 D30"/>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1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1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4010" t="s">
        <v>1117</v>
      </c>
      <c r="C1" s="4010"/>
      <c r="D1" s="4010"/>
      <c r="E1" s="4010"/>
      <c r="F1" s="4010"/>
      <c r="G1" s="4009" t="s">
        <v>1118</v>
      </c>
      <c r="H1" s="4009"/>
      <c r="I1" s="4009"/>
      <c r="J1" s="4009"/>
      <c r="K1" s="4009"/>
      <c r="L1" s="4009"/>
      <c r="N1" s="4009" t="s">
        <v>1119</v>
      </c>
      <c r="O1" s="4009"/>
      <c r="P1" s="4009"/>
      <c r="Q1" s="4009"/>
      <c r="S1" s="4009" t="s">
        <v>1120</v>
      </c>
      <c r="T1" s="4009"/>
      <c r="U1" s="4009"/>
      <c r="V1" s="4009"/>
      <c r="X1" s="4008" t="s">
        <v>1121</v>
      </c>
      <c r="Y1" s="4009"/>
      <c r="Z1" s="4009"/>
      <c r="AA1" s="4009"/>
      <c r="AB1" s="4009"/>
      <c r="AD1" s="4008" t="s">
        <v>1122</v>
      </c>
      <c r="AE1" s="4009"/>
      <c r="AF1" s="4009"/>
      <c r="AG1" s="4009"/>
      <c r="AH1" s="4009"/>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2856</v>
      </c>
      <c r="B3" s="2395"/>
      <c r="C3" s="2395"/>
      <c r="D3" s="2396"/>
      <c r="E3" s="2396"/>
      <c r="F3" s="2395"/>
      <c r="G3" s="2397"/>
      <c r="H3" s="2398"/>
      <c r="I3" s="2399">
        <f>ROUND(AVERAGE($I4:$I34),2)</f>
        <v>1.73</v>
      </c>
      <c r="J3" s="2399">
        <f>ROUND(AVERAGE($J4:$J34),2)</f>
        <v>1.0900000000000001</v>
      </c>
      <c r="K3" s="2399">
        <f>ROUND(AVERAGE($K4:$K34),2)</f>
        <v>1.9</v>
      </c>
      <c r="L3" s="2399">
        <f>ROUND(AVERAGE($L4:$L34),2)</f>
        <v>1.25</v>
      </c>
      <c r="N3" s="2397"/>
      <c r="S3" s="2397"/>
      <c r="W3" s="2401"/>
      <c r="X3" s="2402">
        <f>ROUND(SUMPRODUCT(PRODUCT(1+N3:N$33)),4)</f>
        <v>1.619</v>
      </c>
      <c r="Y3" s="2402">
        <f>ROUND(SUMPRODUCT(PRODUCT(1+O3:O$33)),4)</f>
        <v>1.3491</v>
      </c>
      <c r="Z3" s="2402">
        <f t="shared" ref="Z3:Z31" si="0">Y3</f>
        <v>1.3491</v>
      </c>
      <c r="AA3" s="2402">
        <f>ROUND(SUMPRODUCT(PRODUCT(1+P3:P$33)),4)</f>
        <v>1.6988000000000001</v>
      </c>
      <c r="AB3" s="2402">
        <f>ROUND(SUMPRODUCT(PRODUCT(1+Q3:Q$33)),4)</f>
        <v>1.4315</v>
      </c>
      <c r="AD3" s="2403">
        <f>ROUND(AVERAGE(I3:I$34)/100,4)</f>
        <v>1.7299999999999999E-2</v>
      </c>
      <c r="AE3" s="2403">
        <f>ROUND(AVERAGE(J3:J$34)/100,4)</f>
        <v>1.09E-2</v>
      </c>
      <c r="AF3" s="2403">
        <f t="shared" ref="AF3:AF32" si="1">AE3</f>
        <v>1.09E-2</v>
      </c>
      <c r="AG3" s="2403">
        <f>ROUND(AVERAGE(K3:K$34)/100,4)</f>
        <v>1.9E-2</v>
      </c>
      <c r="AH3" s="2403">
        <f>ROUND(AVERAGE(L3:L$34)/100,4)</f>
        <v>1.2500000000000001E-2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3064</v>
      </c>
      <c r="B5" s="2413">
        <f t="shared" ref="B5" si="2">B6*(1+N5)</f>
        <v>497.92799851020823</v>
      </c>
      <c r="C5" s="2413">
        <f t="shared" ref="C5" si="3">C6*(1+O5)</f>
        <v>347.77173663537445</v>
      </c>
      <c r="D5" s="2413">
        <f t="shared" ref="D5" si="4">C5</f>
        <v>347.77173663537445</v>
      </c>
      <c r="E5" s="2413">
        <f t="shared" ref="E5" si="5">E6*(1+P5)</f>
        <v>718.44695593258189</v>
      </c>
      <c r="F5" s="2413">
        <f t="shared" ref="F5" si="6">F6*(1+Q5)</f>
        <v>329.12600580153247</v>
      </c>
      <c r="G5" s="3044">
        <v>2021</v>
      </c>
      <c r="H5" s="2415">
        <v>2</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2857</v>
      </c>
      <c r="X5" s="2421">
        <f>ROUND(IF(项目基本情况!B4="出让",SUMPRODUCT(PRODUCT(1+N5:N$34)),SUMPRODUCT(PRODUCT(1+N5:N$33))),4)</f>
        <v>1.619</v>
      </c>
      <c r="Y5" s="2421">
        <f>ROUND(IF(项目基本情况!B4="出让",SUMPRODUCT(PRODUCT(1+O5:O$34)),SUMPRODUCT(PRODUCT(1+O5:O$33))),4)</f>
        <v>1.3491</v>
      </c>
      <c r="Z5" s="2421">
        <f t="shared" ref="Z5" si="11">Y5</f>
        <v>1.3491</v>
      </c>
      <c r="AA5" s="2421">
        <f>ROUND(IF(项目基本情况!B4="出让",SUMPRODUCT(PRODUCT(1+P5:P$34)),SUMPRODUCT(PRODUCT(1+P5:P$33))),4)</f>
        <v>1.6988000000000001</v>
      </c>
      <c r="AB5" s="2421">
        <f>ROUND(IF(项目基本情况!B4="出让",SUMPRODUCT(PRODUCT(1+Q5:Q$34)),SUMPRODUCT(PRODUCT(1+Q5:Q$33))),4)</f>
        <v>1.4315</v>
      </c>
      <c r="AD5" s="2422">
        <f>ROUND(AVERAGE(I5:I$34)/100,4)</f>
        <v>1.7299999999999999E-2</v>
      </c>
      <c r="AE5" s="2422">
        <f>ROUND(AVERAGE(J5:J$34)/100,4)</f>
        <v>1.09E-2</v>
      </c>
      <c r="AF5" s="2422">
        <f t="shared" ref="AF5" si="12">AE5</f>
        <v>1.09E-2</v>
      </c>
      <c r="AG5" s="2422">
        <f>ROUND(AVERAGE(K5:K$34)/100,4)</f>
        <v>1.9E-2</v>
      </c>
      <c r="AH5" s="2422">
        <f>ROUND(AVERAGE(L5:L$34)/100,4)</f>
        <v>1.2500000000000001E-2</v>
      </c>
    </row>
    <row r="6" spans="1:34" s="2430" customFormat="1">
      <c r="A6" s="2423" t="s">
        <v>3063</v>
      </c>
      <c r="B6" s="2424">
        <f t="shared" ref="B6" si="13">B7*(1+N6)</f>
        <v>497.92799851020823</v>
      </c>
      <c r="C6" s="2424">
        <f t="shared" ref="C6" si="14">C7*(1+O6)</f>
        <v>347.77173663537445</v>
      </c>
      <c r="D6" s="2424">
        <f t="shared" ref="D6" si="15">C6</f>
        <v>347.77173663537445</v>
      </c>
      <c r="E6" s="2424">
        <f t="shared" ref="E6" si="16">E7*(1+P6)</f>
        <v>718.44695593258189</v>
      </c>
      <c r="F6" s="2424">
        <f t="shared" ref="F6" si="17">F7*(1+Q6)</f>
        <v>329.12600580153247</v>
      </c>
      <c r="G6" s="3044">
        <v>2021</v>
      </c>
      <c r="H6" s="2425">
        <v>1</v>
      </c>
      <c r="I6" s="2387">
        <v>0.97</v>
      </c>
      <c r="J6" s="2387">
        <v>0.16</v>
      </c>
      <c r="K6" s="2387">
        <v>1.1100000000000001</v>
      </c>
      <c r="L6" s="2388">
        <v>0.36</v>
      </c>
      <c r="M6" s="2410"/>
      <c r="N6" s="2426">
        <f t="shared" ref="N6" si="18">I6/100</f>
        <v>9.7000000000000003E-3</v>
      </c>
      <c r="O6" s="2411">
        <f t="shared" ref="O6" si="19">J6/100</f>
        <v>1.6000000000000001E-3</v>
      </c>
      <c r="P6" s="2411">
        <f t="shared" ref="P6" si="20">K6/100</f>
        <v>1.11E-2</v>
      </c>
      <c r="Q6" s="2411">
        <f t="shared" ref="Q6" si="21">L6/100</f>
        <v>3.5999999999999999E-3</v>
      </c>
      <c r="R6" s="2427"/>
      <c r="S6" s="2426">
        <f>B6/B7-1</f>
        <v>9.7000000000000419E-3</v>
      </c>
      <c r="T6" s="2411">
        <f t="shared" ref="T6" si="22">C6/C7-1</f>
        <v>1.6000000000000458E-3</v>
      </c>
      <c r="U6" s="2411">
        <f t="shared" ref="U6" si="23">D6/D7-1</f>
        <v>1.6000000000000458E-3</v>
      </c>
      <c r="V6" s="2411">
        <f t="shared" ref="V6" si="24">E6/E7-1</f>
        <v>1.110000000000011E-2</v>
      </c>
      <c r="W6" s="2428"/>
      <c r="X6" s="2428">
        <f>ROUND(IF(项目基本情况!B5="出让",SUMPRODUCT(PRODUCT(1+N6:N$34)),SUMPRODUCT(PRODUCT(1+N6:N$33))),4)</f>
        <v>1.619</v>
      </c>
      <c r="Y6" s="2428">
        <f>ROUND(IF(项目基本情况!B5="出让",SUMPRODUCT(PRODUCT(1+O6:O$34)),SUMPRODUCT(PRODUCT(1+O6:O$33))),4)</f>
        <v>1.3491</v>
      </c>
      <c r="Z6" s="2428">
        <f t="shared" ref="Z6" si="25">Y6</f>
        <v>1.3491</v>
      </c>
      <c r="AA6" s="2428">
        <f>ROUND(IF(项目基本情况!B5="出让",SUMPRODUCT(PRODUCT(1+P6:P$34)),SUMPRODUCT(PRODUCT(1+P6:P$33))),4)</f>
        <v>1.6988000000000001</v>
      </c>
      <c r="AB6" s="2428">
        <f>ROUND(IF(项目基本情况!B5="出让",SUMPRODUCT(PRODUCT(1+Q6:Q$34)),SUMPRODUCT(PRODUCT(1+Q6:Q$33))),4)</f>
        <v>1.4315</v>
      </c>
      <c r="AC6" s="2428"/>
      <c r="AD6" s="2429">
        <f>ROUND(AVERAGE(I6:I$34)/100,4)</f>
        <v>1.7899999999999999E-2</v>
      </c>
      <c r="AE6" s="2429">
        <f>ROUND(AVERAGE(J6:J$34)/100,4)</f>
        <v>1.12E-2</v>
      </c>
      <c r="AF6" s="2429">
        <f t="shared" ref="AF6" si="26">AE6</f>
        <v>1.12E-2</v>
      </c>
      <c r="AG6" s="2429">
        <f>ROUND(AVERAGE(K6:K$34)/100,4)</f>
        <v>1.9699999999999999E-2</v>
      </c>
      <c r="AH6" s="2429">
        <f>ROUND(AVERAGE(L6:L$34)/100,4)</f>
        <v>1.29E-2</v>
      </c>
    </row>
    <row r="7" spans="1:34" s="2430" customFormat="1">
      <c r="A7" s="2423" t="s">
        <v>3060</v>
      </c>
      <c r="B7" s="2424">
        <f t="shared" ref="B7" si="27">B8*(1+N7)</f>
        <v>493.14449689037161</v>
      </c>
      <c r="C7" s="2424">
        <f t="shared" ref="C7" si="28">C8*(1+O7)</f>
        <v>347.21619073020611</v>
      </c>
      <c r="D7" s="2424">
        <f t="shared" ref="D7" si="29">C7</f>
        <v>347.21619073020611</v>
      </c>
      <c r="E7" s="2424">
        <f t="shared" ref="E7" si="30">E8*(1+P7)</f>
        <v>710.55974278763904</v>
      </c>
      <c r="F7" s="2424">
        <f t="shared" ref="F7" si="31">F8*(1+Q7)</f>
        <v>327.94540235306141</v>
      </c>
      <c r="G7" s="3043">
        <v>2020</v>
      </c>
      <c r="H7" s="2425">
        <v>4</v>
      </c>
      <c r="I7" s="2387">
        <v>2.0699999999999998</v>
      </c>
      <c r="J7" s="2387">
        <v>0.37</v>
      </c>
      <c r="K7" s="2387">
        <v>2.35</v>
      </c>
      <c r="L7" s="2388">
        <v>2.69</v>
      </c>
      <c r="M7" s="2410"/>
      <c r="N7" s="2426">
        <f t="shared" ref="N7" si="32">I7/100</f>
        <v>2.07E-2</v>
      </c>
      <c r="O7" s="2411">
        <f t="shared" ref="O7" si="33">J7/100</f>
        <v>3.7000000000000002E-3</v>
      </c>
      <c r="P7" s="2411">
        <f t="shared" ref="P7" si="34">K7/100</f>
        <v>2.35E-2</v>
      </c>
      <c r="Q7" s="2411">
        <f t="shared" ref="Q7" si="35">L7/100</f>
        <v>2.69E-2</v>
      </c>
      <c r="R7" s="2427"/>
      <c r="S7" s="2426"/>
      <c r="T7" s="2411"/>
      <c r="U7" s="2411"/>
      <c r="V7" s="2411"/>
      <c r="W7" s="2428"/>
      <c r="X7" s="2428">
        <f>ROUND(IF(项目基本情况!B6="出让",SUMPRODUCT(PRODUCT(1+N7:N$34)),SUMPRODUCT(PRODUCT(1+N7:N$33))),4)</f>
        <v>1.6034999999999999</v>
      </c>
      <c r="Y7" s="2428">
        <f>ROUND(IF(项目基本情况!B6="出让",SUMPRODUCT(PRODUCT(1+O7:O$34)),SUMPRODUCT(PRODUCT(1+O7:O$33))),4)</f>
        <v>1.3469</v>
      </c>
      <c r="Z7" s="2428">
        <f t="shared" ref="Z7" si="36">Y7</f>
        <v>1.3469</v>
      </c>
      <c r="AA7" s="2428">
        <f>ROUND(IF(项目基本情况!B6="出让",SUMPRODUCT(PRODUCT(1+P7:P$34)),SUMPRODUCT(PRODUCT(1+P7:P$33))),4)</f>
        <v>1.6801999999999999</v>
      </c>
      <c r="AB7" s="2428">
        <f>ROUND(IF(项目基本情况!B6="出让",SUMPRODUCT(PRODUCT(1+Q7:Q$34)),SUMPRODUCT(PRODUCT(1+Q7:Q$33))),4)</f>
        <v>1.4263999999999999</v>
      </c>
      <c r="AC7" s="2428"/>
      <c r="AD7" s="2429">
        <f>ROUND(AVERAGE(I7:I$34)/100,4)</f>
        <v>1.8200000000000001E-2</v>
      </c>
      <c r="AE7" s="2429">
        <f>ROUND(AVERAGE(J7:J$34)/100,4)</f>
        <v>1.1599999999999999E-2</v>
      </c>
      <c r="AF7" s="2429">
        <f t="shared" ref="AF7" si="37">AE7</f>
        <v>1.1599999999999999E-2</v>
      </c>
      <c r="AG7" s="2429">
        <f>ROUND(AVERAGE(K7:K$34)/100,4)</f>
        <v>0.02</v>
      </c>
      <c r="AH7" s="2429">
        <f>ROUND(AVERAGE(L7:L$34)/100,4)</f>
        <v>1.3299999999999999E-2</v>
      </c>
    </row>
    <row r="8" spans="1:34" s="2430" customFormat="1">
      <c r="A8" s="2423" t="s">
        <v>3059</v>
      </c>
      <c r="B8" s="2424">
        <f t="shared" ref="B8" si="38">B9*(1+N8)</f>
        <v>483.1434279321756</v>
      </c>
      <c r="C8" s="2424">
        <f t="shared" ref="C8" si="39">C9*(1+O8)</f>
        <v>345.93622669144776</v>
      </c>
      <c r="D8" s="2424">
        <f t="shared" ref="D8" si="40">C8</f>
        <v>345.93622669144776</v>
      </c>
      <c r="E8" s="2424">
        <f t="shared" ref="E8" si="41">E9*(1+P8)</f>
        <v>694.24498562544113</v>
      </c>
      <c r="F8" s="2424">
        <f t="shared" ref="F8" si="42">F9*(1+Q8)</f>
        <v>319.35475932716082</v>
      </c>
      <c r="G8" s="3040">
        <v>2020</v>
      </c>
      <c r="H8" s="2425">
        <v>3</v>
      </c>
      <c r="I8" s="2387">
        <v>0.36</v>
      </c>
      <c r="J8" s="2387">
        <v>-0.39</v>
      </c>
      <c r="K8" s="2387">
        <v>0.49</v>
      </c>
      <c r="L8" s="2388">
        <v>7.0000000000000007E-2</v>
      </c>
      <c r="M8" s="2410"/>
      <c r="N8" s="2426">
        <f t="shared" ref="N8" si="43">I8/100</f>
        <v>3.5999999999999999E-3</v>
      </c>
      <c r="O8" s="2411">
        <f t="shared" ref="O8" si="44">J8/100</f>
        <v>-3.9000000000000003E-3</v>
      </c>
      <c r="P8" s="2411">
        <f t="shared" ref="P8" si="45">K8/100</f>
        <v>4.8999999999999998E-3</v>
      </c>
      <c r="Q8" s="2411">
        <f t="shared" ref="Q8" si="46">L8/100</f>
        <v>7.000000000000001E-4</v>
      </c>
      <c r="R8" s="2427"/>
      <c r="S8" s="2426"/>
      <c r="T8" s="2411"/>
      <c r="U8" s="2411"/>
      <c r="V8" s="2411"/>
      <c r="W8" s="2428"/>
      <c r="X8" s="2428">
        <f>ROUND(IF(项目基本情况!B7="出让",SUMPRODUCT(PRODUCT(1+N8:N$34)),SUMPRODUCT(PRODUCT(1+N8:N$33))),4)</f>
        <v>1.571</v>
      </c>
      <c r="Y8" s="2428">
        <f>ROUND(IF(项目基本情况!B7="出让",SUMPRODUCT(PRODUCT(1+O8:O$34)),SUMPRODUCT(PRODUCT(1+O8:O$33))),4)</f>
        <v>1.3420000000000001</v>
      </c>
      <c r="Z8" s="2428">
        <f t="shared" ref="Z8" si="47">Y8</f>
        <v>1.3420000000000001</v>
      </c>
      <c r="AA8" s="2428">
        <f>ROUND(IF(项目基本情况!B7="出让",SUMPRODUCT(PRODUCT(1+P8:P$34)),SUMPRODUCT(PRODUCT(1+P8:P$33))),4)</f>
        <v>1.6415999999999999</v>
      </c>
      <c r="AB8" s="2428">
        <f>ROUND(IF(项目基本情况!B7="出让",SUMPRODUCT(PRODUCT(1+Q8:Q$34)),SUMPRODUCT(PRODUCT(1+Q8:Q$33))),4)</f>
        <v>1.389</v>
      </c>
      <c r="AC8" s="2428"/>
      <c r="AD8" s="2429">
        <f>ROUND(AVERAGE(I8:I$34)/100,4)</f>
        <v>1.8100000000000002E-2</v>
      </c>
      <c r="AE8" s="2429">
        <f>ROUND(AVERAGE(J8:J$34)/100,4)</f>
        <v>1.1900000000000001E-2</v>
      </c>
      <c r="AF8" s="2429">
        <f t="shared" ref="AF8" si="48">AE8</f>
        <v>1.1900000000000001E-2</v>
      </c>
      <c r="AG8" s="2429">
        <f>ROUND(AVERAGE(K8:K$34)/100,4)</f>
        <v>1.9900000000000001E-2</v>
      </c>
      <c r="AH8" s="2429">
        <f>ROUND(AVERAGE(L8:L$34)/100,4)</f>
        <v>1.2800000000000001E-2</v>
      </c>
    </row>
    <row r="9" spans="1:34" s="2430" customFormat="1">
      <c r="A9" s="2423" t="s">
        <v>2873</v>
      </c>
      <c r="B9" s="2424">
        <f t="shared" ref="B9" si="49">B10*(1+N9)</f>
        <v>481.4103506697644</v>
      </c>
      <c r="C9" s="2424">
        <f t="shared" ref="C9" si="50">C10*(1+O9)</f>
        <v>347.29066026648707</v>
      </c>
      <c r="D9" s="2424">
        <f t="shared" ref="D9" si="51">C9</f>
        <v>347.29066026648707</v>
      </c>
      <c r="E9" s="2424">
        <f t="shared" ref="E9" si="52">E10*(1+P9)</f>
        <v>690.85977273901995</v>
      </c>
      <c r="F9" s="2424">
        <f t="shared" ref="F9" si="53">F10*(1+Q9)</f>
        <v>319.13136737000184</v>
      </c>
      <c r="G9" s="2414">
        <v>2020</v>
      </c>
      <c r="H9" s="2425">
        <v>2</v>
      </c>
      <c r="I9" s="2387">
        <v>0.31</v>
      </c>
      <c r="J9" s="2387">
        <v>-0.78</v>
      </c>
      <c r="K9" s="2387">
        <v>0.5</v>
      </c>
      <c r="L9" s="2388">
        <v>0.47</v>
      </c>
      <c r="M9" s="2410"/>
      <c r="N9" s="2426">
        <f t="shared" ref="N9" si="54">I9/100</f>
        <v>3.0999999999999999E-3</v>
      </c>
      <c r="O9" s="2411">
        <f t="shared" ref="O9" si="55">J9/100</f>
        <v>-7.8000000000000005E-3</v>
      </c>
      <c r="P9" s="2411">
        <f t="shared" ref="P9" si="56">K9/100</f>
        <v>5.0000000000000001E-3</v>
      </c>
      <c r="Q9" s="2411">
        <f t="shared" ref="Q9" si="57">L9/100</f>
        <v>4.6999999999999993E-3</v>
      </c>
      <c r="R9" s="2427"/>
      <c r="S9" s="2426"/>
      <c r="T9" s="2411"/>
      <c r="U9" s="2411"/>
      <c r="V9" s="2411"/>
      <c r="W9" s="2428"/>
      <c r="X9" s="2428">
        <f>ROUND(IF(项目基本情况!B8="出让",SUMPRODUCT(PRODUCT(1+N9:N$34)),SUMPRODUCT(PRODUCT(1+N9:N$33))),4)</f>
        <v>1.5652999999999999</v>
      </c>
      <c r="Y9" s="2428">
        <f>ROUND(IF(项目基本情况!B8="出让",SUMPRODUCT(PRODUCT(1+O9:O$34)),SUMPRODUCT(PRODUCT(1+O9:O$33))),4)</f>
        <v>1.3472</v>
      </c>
      <c r="Z9" s="2428">
        <f t="shared" ref="Z9" si="58">Y9</f>
        <v>1.3472</v>
      </c>
      <c r="AA9" s="2428">
        <f>ROUND(IF(项目基本情况!B8="出让",SUMPRODUCT(PRODUCT(1+P9:P$34)),SUMPRODUCT(PRODUCT(1+P9:P$33))),4)</f>
        <v>1.6335999999999999</v>
      </c>
      <c r="AB9" s="2428">
        <f>ROUND(IF(项目基本情况!B8="出让",SUMPRODUCT(PRODUCT(1+Q9:Q$34)),SUMPRODUCT(PRODUCT(1+Q9:Q$33))),4)</f>
        <v>1.3880999999999999</v>
      </c>
      <c r="AC9" s="2428"/>
      <c r="AD9" s="2429">
        <f>ROUND(AVERAGE(I9:I$34)/100,4)</f>
        <v>1.8599999999999998E-2</v>
      </c>
      <c r="AE9" s="2429">
        <f>ROUND(AVERAGE(J9:J$34)/100,4)</f>
        <v>1.2500000000000001E-2</v>
      </c>
      <c r="AF9" s="2429">
        <f t="shared" ref="AF9" si="59">AE9</f>
        <v>1.2500000000000001E-2</v>
      </c>
      <c r="AG9" s="2429">
        <f>ROUND(AVERAGE(K9:K$34)/100,4)</f>
        <v>2.0400000000000001E-2</v>
      </c>
      <c r="AH9" s="2429">
        <f>ROUND(AVERAGE(L9:L$34)/100,4)</f>
        <v>1.32E-2</v>
      </c>
    </row>
    <row r="10" spans="1:34" s="2430" customFormat="1">
      <c r="A10" s="2423" t="s">
        <v>2871</v>
      </c>
      <c r="B10" s="2424">
        <f t="shared" ref="B10" si="60">B11*(1+N10)</f>
        <v>479.92259063878413</v>
      </c>
      <c r="C10" s="2424">
        <f t="shared" ref="C10" si="61">C11*(1+O10)</f>
        <v>350.02082268341775</v>
      </c>
      <c r="D10" s="2424">
        <f t="shared" ref="D10" si="62">C10</f>
        <v>350.02082268341775</v>
      </c>
      <c r="E10" s="2424">
        <f t="shared" ref="E10" si="63">E11*(1+P10)</f>
        <v>687.42265944181099</v>
      </c>
      <c r="F10" s="2424">
        <f t="shared" ref="F10" si="64">F11*(1+Q10)</f>
        <v>317.63846657708956</v>
      </c>
      <c r="G10" s="2414">
        <v>2020</v>
      </c>
      <c r="H10" s="2425">
        <v>1</v>
      </c>
      <c r="I10" s="2387">
        <v>0.12</v>
      </c>
      <c r="J10" s="2387">
        <v>-0.4</v>
      </c>
      <c r="K10" s="2387">
        <v>0.21</v>
      </c>
      <c r="L10" s="2388">
        <v>0.27</v>
      </c>
      <c r="M10" s="2410"/>
      <c r="N10" s="2426">
        <f t="shared" ref="N10" si="65">I10/100</f>
        <v>1.1999999999999999E-3</v>
      </c>
      <c r="O10" s="2411">
        <f t="shared" ref="O10" si="66">J10/100</f>
        <v>-4.0000000000000001E-3</v>
      </c>
      <c r="P10" s="2411">
        <f t="shared" ref="P10" si="67">K10/100</f>
        <v>2.0999999999999999E-3</v>
      </c>
      <c r="Q10" s="2411">
        <f t="shared" ref="Q10" si="68">L10/100</f>
        <v>2.7000000000000001E-3</v>
      </c>
      <c r="R10" s="2427"/>
      <c r="S10" s="2426">
        <f>B10/B11-1</f>
        <v>1.2000000000000899E-3</v>
      </c>
      <c r="T10" s="2411">
        <f t="shared" ref="T10" si="69">C10/C11-1</f>
        <v>-4.0000000000000036E-3</v>
      </c>
      <c r="U10" s="2411">
        <f t="shared" ref="U10" si="70">D10/D11-1</f>
        <v>-4.0000000000000036E-3</v>
      </c>
      <c r="V10" s="2411">
        <f t="shared" ref="V10" si="71">E10/E11-1</f>
        <v>2.0999999999999908E-3</v>
      </c>
      <c r="W10" s="2428"/>
      <c r="X10" s="2428">
        <f>ROUND(IF(项目基本情况!B8="出让",SUMPRODUCT(PRODUCT(1+N10:N$34)),SUMPRODUCT(PRODUCT(1+N10:N$33))),4)</f>
        <v>1.5605</v>
      </c>
      <c r="Y10" s="2428">
        <f>ROUND(IF(项目基本情况!B8="出让",SUMPRODUCT(PRODUCT(1+O10:O$34)),SUMPRODUCT(PRODUCT(1+O10:O$33))),4)</f>
        <v>1.3577999999999999</v>
      </c>
      <c r="Z10" s="2428">
        <f t="shared" ref="Z10" si="72">Y10</f>
        <v>1.3577999999999999</v>
      </c>
      <c r="AA10" s="2428">
        <f>ROUND(IF(项目基本情况!B8="出让",SUMPRODUCT(PRODUCT(1+P10:P$34)),SUMPRODUCT(PRODUCT(1+P10:P$33))),4)</f>
        <v>1.6254999999999999</v>
      </c>
      <c r="AB10" s="2428">
        <f>ROUND(IF(项目基本情况!B8="出让",SUMPRODUCT(PRODUCT(1+Q10:Q$34)),SUMPRODUCT(PRODUCT(1+Q10:Q$33))),4)</f>
        <v>1.3815999999999999</v>
      </c>
      <c r="AC10" s="2428"/>
      <c r="AD10" s="2429">
        <f>ROUND(AVERAGE(I10:I$34)/100,4)</f>
        <v>1.9199999999999998E-2</v>
      </c>
      <c r="AE10" s="2429">
        <f>ROUND(AVERAGE(J10:J$34)/100,4)</f>
        <v>1.3299999999999999E-2</v>
      </c>
      <c r="AF10" s="2429">
        <f t="shared" ref="AF10" si="73">AE10</f>
        <v>1.3299999999999999E-2</v>
      </c>
      <c r="AG10" s="2429">
        <f>ROUND(AVERAGE(K10:K$34)/100,4)</f>
        <v>2.1100000000000001E-2</v>
      </c>
      <c r="AH10" s="2429">
        <f>ROUND(AVERAGE(L10:L$34)/100,4)</f>
        <v>1.3599999999999999E-2</v>
      </c>
    </row>
    <row r="11" spans="1:34" s="2430" customFormat="1">
      <c r="A11" s="2423" t="s">
        <v>2870</v>
      </c>
      <c r="B11" s="2424">
        <f t="shared" ref="B11" si="74">B12*(1+N11)</f>
        <v>479.34737379023579</v>
      </c>
      <c r="C11" s="2424">
        <f t="shared" ref="C11" si="75">C12*(1+O11)</f>
        <v>351.4265287986122</v>
      </c>
      <c r="D11" s="2424">
        <f t="shared" ref="D11" si="76">C11</f>
        <v>351.4265287986122</v>
      </c>
      <c r="E11" s="2424">
        <f t="shared" ref="E11" si="77">E12*(1+P11)</f>
        <v>685.98209703803116</v>
      </c>
      <c r="F11" s="2424">
        <f t="shared" ref="F11" si="78">F12*(1+Q11)</f>
        <v>316.78315206651001</v>
      </c>
      <c r="G11" s="2414">
        <v>2019</v>
      </c>
      <c r="H11" s="2425">
        <v>4</v>
      </c>
      <c r="I11" s="2425">
        <v>0.45</v>
      </c>
      <c r="J11" s="2425">
        <v>-0.12</v>
      </c>
      <c r="K11" s="2425">
        <v>0.54</v>
      </c>
      <c r="L11" s="2431">
        <v>0.48</v>
      </c>
      <c r="M11" s="2410"/>
      <c r="N11" s="2426">
        <f t="shared" ref="N11:N16" si="79">I11/100</f>
        <v>4.5000000000000005E-3</v>
      </c>
      <c r="O11" s="2411">
        <f t="shared" ref="O11" si="80">J11/100</f>
        <v>-1.1999999999999999E-3</v>
      </c>
      <c r="P11" s="2411">
        <f t="shared" ref="P11" si="81">K11/100</f>
        <v>5.4000000000000003E-3</v>
      </c>
      <c r="Q11" s="2411">
        <f t="shared" ref="Q11" si="82">L11/100</f>
        <v>4.7999999999999996E-3</v>
      </c>
      <c r="R11" s="2427"/>
      <c r="S11" s="2426"/>
      <c r="T11" s="2411"/>
      <c r="U11" s="2411"/>
      <c r="V11" s="2411"/>
      <c r="W11" s="2428"/>
      <c r="X11" s="2428">
        <f>ROUND(IF(项目基本情况!B8="出让",SUMPRODUCT(PRODUCT(1+N11:N$34)),SUMPRODUCT(PRODUCT(1+N11:N$33))),4)</f>
        <v>1.5586</v>
      </c>
      <c r="Y11" s="2428">
        <f>ROUND(IF(项目基本情况!B8="出让",SUMPRODUCT(PRODUCT(1+O11:O$34)),SUMPRODUCT(PRODUCT(1+O11:O$33))),4)</f>
        <v>1.3633</v>
      </c>
      <c r="Z11" s="2428">
        <f t="shared" ref="Z11" si="83">Y11</f>
        <v>1.3633</v>
      </c>
      <c r="AA11" s="2428">
        <f>ROUND(IF(项目基本情况!B8="出让",SUMPRODUCT(PRODUCT(1+P11:P$34)),SUMPRODUCT(PRODUCT(1+P11:P$33))),4)</f>
        <v>1.6221000000000001</v>
      </c>
      <c r="AB11" s="2428">
        <f>ROUND(IF(项目基本情况!B8="出让",SUMPRODUCT(PRODUCT(1+Q11:Q$34)),SUMPRODUCT(PRODUCT(1+Q11:Q$33))),4)</f>
        <v>1.3777999999999999</v>
      </c>
      <c r="AC11" s="2428"/>
      <c r="AD11" s="2429">
        <f>ROUND(AVERAGE(I11:I$34)/100,4)</f>
        <v>0.02</v>
      </c>
      <c r="AE11" s="2429">
        <f>ROUND(AVERAGE(J11:J$34)/100,4)</f>
        <v>1.4E-2</v>
      </c>
      <c r="AF11" s="2429">
        <f t="shared" ref="AF11" si="84">AE11</f>
        <v>1.4E-2</v>
      </c>
      <c r="AG11" s="2429">
        <f>ROUND(AVERAGE(K11:K$34)/100,4)</f>
        <v>2.1899999999999999E-2</v>
      </c>
      <c r="AH11" s="2429">
        <f>ROUND(AVERAGE(L11:L$34)/100,4)</f>
        <v>1.4E-2</v>
      </c>
    </row>
    <row r="12" spans="1:34" s="2430" customFormat="1" ht="13.5" thickBot="1">
      <c r="A12" s="2423" t="s">
        <v>2869</v>
      </c>
      <c r="B12" s="2424">
        <f t="shared" ref="B12" si="85">B13*(1+N12)</f>
        <v>477.19997390765138</v>
      </c>
      <c r="C12" s="2424">
        <f t="shared" ref="C12" si="86">C13*(1+O12)</f>
        <v>351.84874729536665</v>
      </c>
      <c r="D12" s="2424">
        <f t="shared" ref="D12" si="87">C12</f>
        <v>351.84874729536665</v>
      </c>
      <c r="E12" s="2424">
        <f t="shared" ref="E12" si="88">E13*(1+P12)</f>
        <v>682.29768951465201</v>
      </c>
      <c r="F12" s="2424">
        <f t="shared" ref="F12" si="89">F13*(1+Q12)</f>
        <v>315.26985675409043</v>
      </c>
      <c r="G12" s="2414">
        <v>2019</v>
      </c>
      <c r="H12" s="2425">
        <v>3</v>
      </c>
      <c r="I12" s="2425">
        <v>0.61</v>
      </c>
      <c r="J12" s="2425">
        <v>0.67</v>
      </c>
      <c r="K12" s="2425">
        <v>0.6</v>
      </c>
      <c r="L12" s="2431">
        <v>1.03</v>
      </c>
      <c r="M12" s="2410"/>
      <c r="N12" s="2426">
        <f t="shared" si="79"/>
        <v>6.0999999999999995E-3</v>
      </c>
      <c r="O12" s="2411">
        <f t="shared" ref="O12" si="90">J12/100</f>
        <v>6.7000000000000002E-3</v>
      </c>
      <c r="P12" s="2411">
        <f t="shared" ref="P12" si="91">K12/100</f>
        <v>6.0000000000000001E-3</v>
      </c>
      <c r="Q12" s="2411">
        <f t="shared" ref="Q12" si="92">L12/100</f>
        <v>1.03E-2</v>
      </c>
      <c r="R12" s="2427"/>
      <c r="S12" s="2426"/>
      <c r="T12" s="2411"/>
      <c r="U12" s="2411"/>
      <c r="V12" s="2411"/>
      <c r="W12" s="2428"/>
      <c r="X12" s="2428">
        <f>ROUND(IF(项目基本情况!B8="出让",SUMPRODUCT(PRODUCT(1+N12:N$34)),SUMPRODUCT(PRODUCT(1+N12:N$33))),4)</f>
        <v>1.5516000000000001</v>
      </c>
      <c r="Y12" s="2428">
        <f>ROUND(IF(项目基本情况!B8="出让",SUMPRODUCT(PRODUCT(1+O12:O$34)),SUMPRODUCT(PRODUCT(1+O12:O$33))),4)</f>
        <v>1.3649</v>
      </c>
      <c r="Z12" s="2428">
        <f t="shared" ref="Z12" si="93">Y12</f>
        <v>1.3649</v>
      </c>
      <c r="AA12" s="2428">
        <f>ROUND(IF(项目基本情况!B8="出让",SUMPRODUCT(PRODUCT(1+P12:P$34)),SUMPRODUCT(PRODUCT(1+P12:P$33))),4)</f>
        <v>1.6133999999999999</v>
      </c>
      <c r="AB12" s="2428">
        <f>ROUND(IF(项目基本情况!B8="出让",SUMPRODUCT(PRODUCT(1+Q12:Q$34)),SUMPRODUCT(PRODUCT(1+Q12:Q$33))),4)</f>
        <v>1.3713</v>
      </c>
      <c r="AC12" s="2428"/>
      <c r="AD12" s="2429">
        <f>ROUND(AVERAGE(I12:I$34)/100,4)</f>
        <v>2.07E-2</v>
      </c>
      <c r="AE12" s="2429">
        <f>ROUND(AVERAGE(J12:J$34)/100,4)</f>
        <v>1.47E-2</v>
      </c>
      <c r="AF12" s="2429">
        <f t="shared" ref="AF12" si="94">AE12</f>
        <v>1.47E-2</v>
      </c>
      <c r="AG12" s="2429">
        <f>ROUND(AVERAGE(K12:K$34)/100,4)</f>
        <v>2.2599999999999999E-2</v>
      </c>
      <c r="AH12" s="2429">
        <f>ROUND(AVERAGE(L12:L$34)/100,4)</f>
        <v>1.44E-2</v>
      </c>
    </row>
    <row r="13" spans="1:34" s="2430" customFormat="1">
      <c r="A13" s="2423" t="s">
        <v>2867</v>
      </c>
      <c r="B13" s="2424">
        <f t="shared" ref="B13" si="95">B14*(1+N13)</f>
        <v>474.30670301923408</v>
      </c>
      <c r="C13" s="2424">
        <f t="shared" ref="C13" si="96">C14*(1+O13)</f>
        <v>349.50705005996491</v>
      </c>
      <c r="D13" s="2424">
        <f t="shared" ref="D13" si="97">C13</f>
        <v>349.50705005996491</v>
      </c>
      <c r="E13" s="2424">
        <f t="shared" ref="E13" si="98">E14*(1+P13)</f>
        <v>678.22831959706957</v>
      </c>
      <c r="F13" s="2424">
        <f t="shared" ref="F13" si="99">F14*(1+Q13)</f>
        <v>312.0556832169558</v>
      </c>
      <c r="G13" s="2414">
        <v>2019</v>
      </c>
      <c r="H13" s="2432">
        <v>2</v>
      </c>
      <c r="I13" s="2432">
        <v>1.53</v>
      </c>
      <c r="J13" s="2432">
        <v>1.01</v>
      </c>
      <c r="K13" s="2432">
        <v>1.62</v>
      </c>
      <c r="L13" s="2433">
        <v>1.25</v>
      </c>
      <c r="M13" s="2410"/>
      <c r="N13" s="2426">
        <f t="shared" si="79"/>
        <v>1.5300000000000001E-2</v>
      </c>
      <c r="O13" s="2411">
        <f t="shared" ref="O13" si="100">J13/100</f>
        <v>1.01E-2</v>
      </c>
      <c r="P13" s="2411">
        <f t="shared" ref="P13" si="101">K13/100</f>
        <v>1.6200000000000003E-2</v>
      </c>
      <c r="Q13" s="2411">
        <f t="shared" ref="Q13" si="102">L13/100</f>
        <v>1.2500000000000001E-2</v>
      </c>
      <c r="R13" s="2427"/>
      <c r="S13" s="2426"/>
      <c r="T13" s="2411"/>
      <c r="U13" s="2411"/>
      <c r="V13" s="2411"/>
      <c r="W13" s="2428"/>
      <c r="X13" s="2428">
        <f>ROUND(IF(项目基本情况!B8="出让",SUMPRODUCT(PRODUCT(1+N13:N$34)),SUMPRODUCT(PRODUCT(1+N13:N$33))),4)</f>
        <v>1.5422</v>
      </c>
      <c r="Y13" s="2428">
        <f>ROUND(IF(项目基本情况!B8="出让",SUMPRODUCT(PRODUCT(1+O13:O$34)),SUMPRODUCT(PRODUCT(1+O13:O$33))),4)</f>
        <v>1.3557999999999999</v>
      </c>
      <c r="Z13" s="2428">
        <f t="shared" ref="Z13" si="103">Y13</f>
        <v>1.3557999999999999</v>
      </c>
      <c r="AA13" s="2428">
        <f>ROUND(IF(项目基本情况!B8="出让",SUMPRODUCT(PRODUCT(1+P13:P$34)),SUMPRODUCT(PRODUCT(1+P13:P$33))),4)</f>
        <v>1.6036999999999999</v>
      </c>
      <c r="AB13" s="2428">
        <f>ROUND(IF(项目基本情况!B8="出让",SUMPRODUCT(PRODUCT(1+Q13:Q$34)),SUMPRODUCT(PRODUCT(1+Q13:Q$33))),4)</f>
        <v>1.3573</v>
      </c>
      <c r="AC13" s="2428"/>
      <c r="AD13" s="2429">
        <f>ROUND(AVERAGE(I13:I$34)/100,4)</f>
        <v>2.1299999999999999E-2</v>
      </c>
      <c r="AE13" s="2429">
        <f>ROUND(AVERAGE(J13:J$34)/100,4)</f>
        <v>1.4999999999999999E-2</v>
      </c>
      <c r="AF13" s="2429">
        <f t="shared" ref="AF13" si="104">AE13</f>
        <v>1.4999999999999999E-2</v>
      </c>
      <c r="AG13" s="2429">
        <f>ROUND(AVERAGE(K13:K$34)/100,4)</f>
        <v>2.3300000000000001E-2</v>
      </c>
      <c r="AH13" s="2429">
        <f>ROUND(AVERAGE(L13:L$34)/100,4)</f>
        <v>1.46E-2</v>
      </c>
    </row>
    <row r="14" spans="1:34" s="2430" customFormat="1" ht="13.5" thickBot="1">
      <c r="A14" s="2423" t="s">
        <v>2865</v>
      </c>
      <c r="B14" s="2424">
        <f t="shared" ref="B14" si="105">B15*(1+N14)</f>
        <v>467.15916775261894</v>
      </c>
      <c r="C14" s="2424">
        <f t="shared" ref="C14" si="106">C15*(1+O14)</f>
        <v>346.01232557169084</v>
      </c>
      <c r="D14" s="2424">
        <f t="shared" ref="D14" si="107">C14</f>
        <v>346.01232557169084</v>
      </c>
      <c r="E14" s="2424">
        <f t="shared" ref="E14" si="108">E15*(1+P14)</f>
        <v>667.41617752122568</v>
      </c>
      <c r="F14" s="2424">
        <f t="shared" ref="F14" si="109">F15*(1+Q14)</f>
        <v>308.20314391798104</v>
      </c>
      <c r="G14" s="2414">
        <v>2019</v>
      </c>
      <c r="H14" s="2425">
        <v>1</v>
      </c>
      <c r="I14" s="2425">
        <v>0.6</v>
      </c>
      <c r="J14" s="2425">
        <v>0.37</v>
      </c>
      <c r="K14" s="2425">
        <v>0.63</v>
      </c>
      <c r="L14" s="2431">
        <v>1.1299999999999999</v>
      </c>
      <c r="M14" s="2410"/>
      <c r="N14" s="2426">
        <f t="shared" si="79"/>
        <v>6.0000000000000001E-3</v>
      </c>
      <c r="O14" s="2411">
        <f t="shared" ref="O14" si="110">J14/100</f>
        <v>3.7000000000000002E-3</v>
      </c>
      <c r="P14" s="2411">
        <f t="shared" ref="P14" si="111">K14/100</f>
        <v>6.3E-3</v>
      </c>
      <c r="Q14" s="2411">
        <f t="shared" ref="Q14" si="112">L14/100</f>
        <v>1.1299999999999999E-2</v>
      </c>
      <c r="R14" s="2427"/>
      <c r="S14" s="2426">
        <f>B14/B15-1</f>
        <v>6.0000000000000053E-3</v>
      </c>
      <c r="T14" s="2411">
        <f t="shared" ref="T14" si="113">C14/C15-1</f>
        <v>3.7000000000000366E-3</v>
      </c>
      <c r="U14" s="2411">
        <f t="shared" ref="U14" si="114">D14/D15-1</f>
        <v>3.7000000000000366E-3</v>
      </c>
      <c r="V14" s="2411">
        <f t="shared" ref="V14" si="115">E14/E15-1</f>
        <v>6.2999999999999723E-3</v>
      </c>
      <c r="W14" s="2428"/>
      <c r="X14" s="2428">
        <f>ROUND(IF(项目基本情况!B8="出让",SUMPRODUCT(PRODUCT(1+N14:N$34)),SUMPRODUCT(PRODUCT(1+N14:N$33))),4)</f>
        <v>1.5189999999999999</v>
      </c>
      <c r="Y14" s="2428">
        <f>ROUND(IF(项目基本情况!B8="出让",SUMPRODUCT(PRODUCT(1+O14:O$34)),SUMPRODUCT(PRODUCT(1+O14:O$33))),4)</f>
        <v>1.3423</v>
      </c>
      <c r="Z14" s="2428">
        <f t="shared" ref="Z14" si="116">Y14</f>
        <v>1.3423</v>
      </c>
      <c r="AA14" s="2428">
        <f>ROUND(IF(项目基本情况!B8="出让",SUMPRODUCT(PRODUCT(1+P14:P$34)),SUMPRODUCT(PRODUCT(1+P14:P$33))),4)</f>
        <v>1.5782</v>
      </c>
      <c r="AB14" s="2428">
        <f>ROUND(IF(项目基本情况!B8="出让",SUMPRODUCT(PRODUCT(1+Q14:Q$34)),SUMPRODUCT(PRODUCT(1+Q14:Q$33))),4)</f>
        <v>1.3405</v>
      </c>
      <c r="AC14" s="2428"/>
      <c r="AD14" s="2429">
        <f>ROUND(AVERAGE(I14:I$34)/100,4)</f>
        <v>2.1600000000000001E-2</v>
      </c>
      <c r="AE14" s="2429">
        <f>ROUND(AVERAGE(J14:J$34)/100,4)</f>
        <v>1.5299999999999999E-2</v>
      </c>
      <c r="AF14" s="2429">
        <f t="shared" ref="AF14" si="117">AE14</f>
        <v>1.5299999999999999E-2</v>
      </c>
      <c r="AG14" s="2429">
        <f>ROUND(AVERAGE(K14:K$34)/100,4)</f>
        <v>2.3699999999999999E-2</v>
      </c>
      <c r="AH14" s="2429">
        <f>ROUND(AVERAGE(L14:L$34)/100,4)</f>
        <v>1.47E-2</v>
      </c>
    </row>
    <row r="15" spans="1:34" s="2430" customFormat="1">
      <c r="A15" s="2423" t="s">
        <v>2868</v>
      </c>
      <c r="B15" s="2434">
        <f t="shared" ref="B15" si="118">B16*(1+N15)</f>
        <v>464.37293017158942</v>
      </c>
      <c r="C15" s="2434">
        <f t="shared" ref="C15" si="119">C16*(1+O15)</f>
        <v>344.73679941385956</v>
      </c>
      <c r="D15" s="2434">
        <f t="shared" ref="D15" si="120">C15</f>
        <v>344.73679941385956</v>
      </c>
      <c r="E15" s="2434">
        <f t="shared" ref="E15" si="121">E16*(1+P15)</f>
        <v>663.2377795103107</v>
      </c>
      <c r="F15" s="2435">
        <f t="shared" ref="F15" si="122">F16*(1+Q15)</f>
        <v>304.75936311478398</v>
      </c>
      <c r="G15" s="4006">
        <v>2018</v>
      </c>
      <c r="H15" s="2432">
        <v>4</v>
      </c>
      <c r="I15" s="2432">
        <v>0.96</v>
      </c>
      <c r="J15" s="2432">
        <v>1.03</v>
      </c>
      <c r="K15" s="2432">
        <v>0.92</v>
      </c>
      <c r="L15" s="2433">
        <v>1.29</v>
      </c>
      <c r="M15" s="2410"/>
      <c r="N15" s="2426">
        <f t="shared" si="79"/>
        <v>9.5999999999999992E-3</v>
      </c>
      <c r="O15" s="2411">
        <f t="shared" ref="O15" si="123">J15/100</f>
        <v>1.03E-2</v>
      </c>
      <c r="P15" s="2411">
        <f t="shared" ref="P15" si="124">K15/100</f>
        <v>9.1999999999999998E-3</v>
      </c>
      <c r="Q15" s="2411">
        <f t="shared" ref="Q15" si="125">L15/100</f>
        <v>1.29E-2</v>
      </c>
      <c r="R15" s="2427"/>
      <c r="S15" s="2426"/>
      <c r="T15" s="2411"/>
      <c r="U15" s="2411"/>
      <c r="V15" s="2411"/>
      <c r="W15" s="2428"/>
      <c r="X15" s="2428">
        <f>ROUND(SUMPRODUCT(PRODUCT(1+N15:N$33)),4)</f>
        <v>1.5099</v>
      </c>
      <c r="Y15" s="2428">
        <f>ROUND(SUMPRODUCT(PRODUCT(1+O15:O$33)),4)</f>
        <v>1.3372999999999999</v>
      </c>
      <c r="Z15" s="2428">
        <f t="shared" ref="Z15" si="126">Y15</f>
        <v>1.3372999999999999</v>
      </c>
      <c r="AA15" s="2428">
        <f>ROUND(SUMPRODUCT(PRODUCT(1+P15:P$33)),4)</f>
        <v>1.5683</v>
      </c>
      <c r="AB15" s="2428">
        <f>ROUND(SUMPRODUCT(PRODUCT(1+Q15:Q$33)),4)</f>
        <v>1.3255999999999999</v>
      </c>
      <c r="AC15" s="2428"/>
      <c r="AD15" s="2429">
        <f>ROUND(AVERAGE(I15:I$34)/100,4)</f>
        <v>2.24E-2</v>
      </c>
      <c r="AE15" s="2429">
        <f>ROUND(AVERAGE(J15:J$34)/100,4)</f>
        <v>1.5800000000000002E-2</v>
      </c>
      <c r="AF15" s="2429">
        <f t="shared" ref="AF15" si="127">AE15</f>
        <v>1.5800000000000002E-2</v>
      </c>
      <c r="AG15" s="2429">
        <f>ROUND(AVERAGE(K15:K$34)/100,4)</f>
        <v>2.4500000000000001E-2</v>
      </c>
      <c r="AH15" s="2429">
        <f>ROUND(AVERAGE(L15:L$34)/100,4)</f>
        <v>1.49E-2</v>
      </c>
    </row>
    <row r="16" spans="1:34" s="2430" customFormat="1" ht="14.45" customHeight="1">
      <c r="A16" s="2423" t="s">
        <v>2863</v>
      </c>
      <c r="B16" s="2424">
        <f t="shared" ref="B16" si="128">B17*(1+N16)</f>
        <v>459.95733971036987</v>
      </c>
      <c r="C16" s="2424">
        <f t="shared" ref="C16" si="129">C17*(1+O16)</f>
        <v>341.22221064422405</v>
      </c>
      <c r="D16" s="2424">
        <f t="shared" ref="D16" si="130">C16</f>
        <v>341.22221064422405</v>
      </c>
      <c r="E16" s="2424">
        <f t="shared" ref="E16" si="131">E17*(1+P16)</f>
        <v>657.19161663724799</v>
      </c>
      <c r="F16" s="2424">
        <f t="shared" ref="F16" si="132">F17*(1+Q16)</f>
        <v>300.87803644464805</v>
      </c>
      <c r="G16" s="4006"/>
      <c r="H16" s="2425">
        <v>3</v>
      </c>
      <c r="I16" s="2425">
        <v>1.51</v>
      </c>
      <c r="J16" s="2425">
        <v>1.41</v>
      </c>
      <c r="K16" s="2425">
        <v>1.52</v>
      </c>
      <c r="L16" s="2431">
        <v>1.74</v>
      </c>
      <c r="M16" s="2410"/>
      <c r="N16" s="2426">
        <f t="shared" si="79"/>
        <v>1.5100000000000001E-2</v>
      </c>
      <c r="O16" s="2411">
        <f t="shared" ref="O16" si="133">J16/100</f>
        <v>1.41E-2</v>
      </c>
      <c r="P16" s="2411">
        <f t="shared" ref="P16" si="134">K16/100</f>
        <v>1.52E-2</v>
      </c>
      <c r="Q16" s="2411">
        <f t="shared" ref="Q16" si="135">L16/100</f>
        <v>1.7399999999999999E-2</v>
      </c>
      <c r="R16" s="2427"/>
      <c r="S16" s="2426"/>
      <c r="T16" s="2411"/>
      <c r="U16" s="2411"/>
      <c r="V16" s="2411"/>
      <c r="W16" s="2428"/>
      <c r="X16" s="2428">
        <f>ROUND(SUMPRODUCT(PRODUCT(1+N16:N$33)),4)</f>
        <v>1.4956</v>
      </c>
      <c r="Y16" s="2428">
        <f>ROUND(SUMPRODUCT(PRODUCT(1+O16:O$33)),4)</f>
        <v>1.3237000000000001</v>
      </c>
      <c r="Z16" s="2428">
        <f t="shared" ref="Z16" si="136">Y16</f>
        <v>1.3237000000000001</v>
      </c>
      <c r="AA16" s="2428">
        <f>ROUND(SUMPRODUCT(PRODUCT(1+P16:P$33)),4)</f>
        <v>1.554</v>
      </c>
      <c r="AB16" s="2428">
        <f>ROUND(SUMPRODUCT(PRODUCT(1+Q16:Q$33)),4)</f>
        <v>1.3087</v>
      </c>
      <c r="AC16" s="2428"/>
      <c r="AD16" s="2429">
        <f>ROUND(AVERAGE(I16:I$34)/100,4)</f>
        <v>2.3099999999999999E-2</v>
      </c>
      <c r="AE16" s="2429">
        <f>ROUND(AVERAGE(J16:J$34)/100,4)</f>
        <v>1.61E-2</v>
      </c>
      <c r="AF16" s="2429">
        <f t="shared" ref="AF16" si="137">AE16</f>
        <v>1.61E-2</v>
      </c>
      <c r="AG16" s="2429">
        <f>ROUND(AVERAGE(K16:K$34)/100,4)</f>
        <v>2.53E-2</v>
      </c>
      <c r="AH16" s="2429">
        <f>ROUND(AVERAGE(L16:L$34)/100,4)</f>
        <v>1.4999999999999999E-2</v>
      </c>
    </row>
    <row r="17" spans="1:34" s="2430" customFormat="1" ht="14.45" customHeight="1">
      <c r="A17" s="2423" t="s">
        <v>2862</v>
      </c>
      <c r="B17" s="2424">
        <f t="shared" ref="B17" si="138">B18*(1+N17)</f>
        <v>453.11529869999993</v>
      </c>
      <c r="C17" s="2424">
        <f t="shared" ref="C17" si="139">C18*(1+O17)</f>
        <v>336.47787264000004</v>
      </c>
      <c r="D17" s="2424">
        <f t="shared" ref="D17" si="140">C17</f>
        <v>336.47787264000004</v>
      </c>
      <c r="E17" s="2424">
        <f t="shared" ref="E17" si="141">E18*(1+P17)</f>
        <v>647.35186823999993</v>
      </c>
      <c r="F17" s="2424">
        <f t="shared" ref="F17" si="142">F18*(1+Q17)</f>
        <v>295.73229452000004</v>
      </c>
      <c r="G17" s="4006"/>
      <c r="H17" s="2436">
        <v>2</v>
      </c>
      <c r="I17" s="2436">
        <v>1.49</v>
      </c>
      <c r="J17" s="2436">
        <v>0.96</v>
      </c>
      <c r="K17" s="2436">
        <v>1.58</v>
      </c>
      <c r="L17" s="2437">
        <v>2.44</v>
      </c>
      <c r="M17" s="2410"/>
      <c r="N17" s="2426">
        <f t="shared" ref="N17" si="143">I17/100</f>
        <v>1.49E-2</v>
      </c>
      <c r="O17" s="2411">
        <f t="shared" ref="O17" si="144">J17/100</f>
        <v>9.5999999999999992E-3</v>
      </c>
      <c r="P17" s="2411">
        <f t="shared" ref="P17" si="145">K17/100</f>
        <v>1.5800000000000002E-2</v>
      </c>
      <c r="Q17" s="2411">
        <f t="shared" ref="Q17" si="146">L17/100</f>
        <v>2.4399999999999998E-2</v>
      </c>
      <c r="R17" s="2427"/>
      <c r="S17" s="2426"/>
      <c r="T17" s="2411"/>
      <c r="U17" s="2411"/>
      <c r="V17" s="2411"/>
      <c r="W17" s="2428"/>
      <c r="X17" s="2428">
        <f>ROUND(SUMPRODUCT(PRODUCT(1+N17:N$33)),4)</f>
        <v>1.4733000000000001</v>
      </c>
      <c r="Y17" s="2428">
        <f>ROUND(SUMPRODUCT(PRODUCT(1+O17:O$33)),4)</f>
        <v>1.3052999999999999</v>
      </c>
      <c r="Z17" s="2428">
        <f t="shared" ref="Z17" si="147">Y17</f>
        <v>1.3052999999999999</v>
      </c>
      <c r="AA17" s="2428">
        <f>ROUND(SUMPRODUCT(PRODUCT(1+P17:P$33)),4)</f>
        <v>1.5306999999999999</v>
      </c>
      <c r="AB17" s="2428">
        <f>ROUND(SUMPRODUCT(PRODUCT(1+Q17:Q$33)),4)</f>
        <v>1.2863</v>
      </c>
      <c r="AC17" s="2428"/>
      <c r="AD17" s="2429">
        <f>ROUND(AVERAGE(I17:I$34)/100,4)</f>
        <v>2.35E-2</v>
      </c>
      <c r="AE17" s="2429">
        <f>ROUND(AVERAGE(J17:J$34)/100,4)</f>
        <v>1.6199999999999999E-2</v>
      </c>
      <c r="AF17" s="2429">
        <f t="shared" ref="AF17" si="148">AE17</f>
        <v>1.6199999999999999E-2</v>
      </c>
      <c r="AG17" s="2429">
        <f>ROUND(AVERAGE(K17:K$34)/100,4)</f>
        <v>2.5899999999999999E-2</v>
      </c>
      <c r="AH17" s="2429">
        <f>ROUND(AVERAGE(L17:L$34)/100,4)</f>
        <v>1.49E-2</v>
      </c>
    </row>
    <row r="18" spans="1:34" s="2430" customFormat="1" ht="15" customHeight="1" thickBot="1">
      <c r="A18" s="2423" t="s">
        <v>2855</v>
      </c>
      <c r="B18" s="2424">
        <f t="shared" ref="B18" si="149">B19*(1+N18)</f>
        <v>446.46299999999997</v>
      </c>
      <c r="C18" s="2424">
        <f t="shared" ref="C18" si="150">C19*(1+O18)</f>
        <v>333.27840000000003</v>
      </c>
      <c r="D18" s="2424">
        <f t="shared" ref="D18" si="151">C18</f>
        <v>333.27840000000003</v>
      </c>
      <c r="E18" s="2424">
        <f t="shared" ref="E18" si="152">E19*(1+P18)</f>
        <v>637.28279999999995</v>
      </c>
      <c r="F18" s="2424">
        <f t="shared" ref="F18" si="153">F19*(1+Q18)</f>
        <v>288.68830000000003</v>
      </c>
      <c r="G18" s="4015"/>
      <c r="H18" s="2425">
        <v>1</v>
      </c>
      <c r="I18" s="2425">
        <v>1.7</v>
      </c>
      <c r="J18" s="2425">
        <v>1.92</v>
      </c>
      <c r="K18" s="2425">
        <v>1.64</v>
      </c>
      <c r="L18" s="2431">
        <v>2.0099999999999998</v>
      </c>
      <c r="M18" s="2410"/>
      <c r="N18" s="2426">
        <f t="shared" ref="N18:N23" si="154">I18/100</f>
        <v>1.7000000000000001E-2</v>
      </c>
      <c r="O18" s="2411">
        <f t="shared" ref="O18" si="155">J18/100</f>
        <v>1.9199999999999998E-2</v>
      </c>
      <c r="P18" s="2411">
        <f t="shared" ref="P18" si="156">K18/100</f>
        <v>1.6399999999999998E-2</v>
      </c>
      <c r="Q18" s="2411">
        <f t="shared" ref="Q18" si="157">L18/100</f>
        <v>2.0099999999999996E-2</v>
      </c>
      <c r="R18" s="2427"/>
      <c r="S18" s="2426">
        <f>B18/B19-1</f>
        <v>1.6999999999999904E-2</v>
      </c>
      <c r="T18" s="2411">
        <f t="shared" ref="T18" si="158">C18/C19-1</f>
        <v>1.9200000000000106E-2</v>
      </c>
      <c r="U18" s="2411">
        <f t="shared" ref="U18" si="159">D18/D19-1</f>
        <v>1.9200000000000106E-2</v>
      </c>
      <c r="V18" s="2411">
        <f t="shared" ref="V18" si="160">E18/E19-1</f>
        <v>1.639999999999997E-2</v>
      </c>
      <c r="W18" s="2428"/>
      <c r="X18" s="2428">
        <f>ROUND(SUMPRODUCT(PRODUCT(1+N18:N$33)),4)</f>
        <v>1.4517</v>
      </c>
      <c r="Y18" s="2428">
        <f>ROUND(SUMPRODUCT(PRODUCT(1+O18:O$33)),4)</f>
        <v>1.2928999999999999</v>
      </c>
      <c r="Z18" s="2428">
        <f t="shared" ref="Z18" si="161">Y18</f>
        <v>1.2928999999999999</v>
      </c>
      <c r="AA18" s="2428">
        <f>ROUND(SUMPRODUCT(PRODUCT(1+P18:P$33)),4)</f>
        <v>1.5068999999999999</v>
      </c>
      <c r="AB18" s="2428">
        <f>ROUND(SUMPRODUCT(PRODUCT(1+Q18:Q$33)),4)</f>
        <v>1.2557</v>
      </c>
      <c r="AC18" s="2428"/>
      <c r="AD18" s="2429">
        <f>ROUND(AVERAGE(I18:I$34)/100,4)</f>
        <v>2.4E-2</v>
      </c>
      <c r="AE18" s="2429">
        <f>ROUND(AVERAGE(J18:J$34)/100,4)</f>
        <v>1.66E-2</v>
      </c>
      <c r="AF18" s="2429">
        <f t="shared" ref="AF18" si="162">AE18</f>
        <v>1.66E-2</v>
      </c>
      <c r="AG18" s="2429">
        <f>ROUND(AVERAGE(K18:K$34)/100,4)</f>
        <v>2.6499999999999999E-2</v>
      </c>
      <c r="AH18" s="2429">
        <f>ROUND(AVERAGE(L18:L$34)/100,4)</f>
        <v>1.43E-2</v>
      </c>
    </row>
    <row r="19" spans="1:34">
      <c r="A19" s="2423" t="s">
        <v>2853</v>
      </c>
      <c r="B19" s="2438">
        <v>439</v>
      </c>
      <c r="C19" s="2438">
        <v>327</v>
      </c>
      <c r="D19" s="2438">
        <f>C19</f>
        <v>327</v>
      </c>
      <c r="E19" s="2438">
        <v>627</v>
      </c>
      <c r="F19" s="2439">
        <v>283</v>
      </c>
      <c r="G19" s="4011">
        <v>2017</v>
      </c>
      <c r="H19" s="2432">
        <v>4</v>
      </c>
      <c r="I19" s="2432">
        <v>1.71</v>
      </c>
      <c r="J19" s="2432">
        <v>1.78</v>
      </c>
      <c r="K19" s="2432">
        <v>1.71</v>
      </c>
      <c r="L19" s="2433">
        <v>1.43</v>
      </c>
      <c r="N19" s="2426">
        <f t="shared" si="154"/>
        <v>1.7100000000000001E-2</v>
      </c>
      <c r="O19" s="2411">
        <f t="shared" ref="O19" si="163">J19/100</f>
        <v>1.78E-2</v>
      </c>
      <c r="P19" s="2411">
        <f t="shared" ref="P19" si="164">K19/100</f>
        <v>1.7100000000000001E-2</v>
      </c>
      <c r="Q19" s="2411">
        <f t="shared" ref="Q19" si="165">L19/100</f>
        <v>1.43E-2</v>
      </c>
      <c r="R19" s="2427"/>
      <c r="S19" s="2440"/>
      <c r="T19" s="2441"/>
      <c r="U19" s="2441"/>
      <c r="V19" s="2441"/>
      <c r="X19" s="2410">
        <f>ROUND(SUMPRODUCT(PRODUCT(1+N19:N$33)),4)</f>
        <v>1.4274</v>
      </c>
      <c r="Y19" s="2410">
        <f>ROUND(SUMPRODUCT(PRODUCT(1+O19:O$33)),4)</f>
        <v>1.2685</v>
      </c>
      <c r="Z19" s="2410">
        <f t="shared" si="0"/>
        <v>1.2685</v>
      </c>
      <c r="AA19" s="2410">
        <f>ROUND(SUMPRODUCT(PRODUCT(1+P19:P$33)),4)</f>
        <v>1.4825999999999999</v>
      </c>
      <c r="AB19" s="2410">
        <f>ROUND(SUMPRODUCT(PRODUCT(1+Q19:Q$33)),4)</f>
        <v>1.2309000000000001</v>
      </c>
      <c r="AD19" s="2411">
        <f>ROUND(AVERAGE(I19:I$34)/100,4)</f>
        <v>2.4500000000000001E-2</v>
      </c>
      <c r="AE19" s="2411">
        <f>ROUND(AVERAGE(J19:J$34)/100,4)</f>
        <v>1.6500000000000001E-2</v>
      </c>
      <c r="AF19" s="2411">
        <f t="shared" si="1"/>
        <v>1.6500000000000001E-2</v>
      </c>
      <c r="AG19" s="2411">
        <f>ROUND(AVERAGE(K19:K$34)/100,4)</f>
        <v>2.7099999999999999E-2</v>
      </c>
      <c r="AH19" s="2411">
        <f>ROUND(AVERAGE(L19:L$34)/100,4)</f>
        <v>1.3899999999999999E-2</v>
      </c>
    </row>
    <row r="20" spans="1:34" s="2430" customFormat="1" ht="14.45" customHeight="1">
      <c r="A20" s="2423" t="s">
        <v>2854</v>
      </c>
      <c r="B20" s="2424">
        <f t="shared" ref="B20:B21" si="166">B21*(1+N20)</f>
        <v>431.80730811680002</v>
      </c>
      <c r="C20" s="2424">
        <f t="shared" ref="C20:C21" si="167">C21*(1+O20)</f>
        <v>320.57880516480003</v>
      </c>
      <c r="D20" s="2424">
        <f t="shared" ref="D20:D21" si="168">C20</f>
        <v>320.57880516480003</v>
      </c>
      <c r="E20" s="2424">
        <f t="shared" ref="E20:E21" si="169">E21*(1+P20)</f>
        <v>615.96110553196797</v>
      </c>
      <c r="F20" s="2424">
        <f t="shared" ref="F20:F21" si="170">F21*(1+Q20)</f>
        <v>279.46777300108801</v>
      </c>
      <c r="G20" s="4006"/>
      <c r="H20" s="2425">
        <v>3</v>
      </c>
      <c r="I20" s="2425">
        <v>2.98</v>
      </c>
      <c r="J20" s="2425">
        <v>2.11</v>
      </c>
      <c r="K20" s="2425">
        <v>3.24</v>
      </c>
      <c r="L20" s="2431">
        <v>1.72</v>
      </c>
      <c r="M20" s="2410"/>
      <c r="N20" s="2426">
        <f t="shared" si="154"/>
        <v>2.98E-2</v>
      </c>
      <c r="O20" s="2411">
        <f t="shared" ref="O20" si="171">J20/100</f>
        <v>2.1099999999999997E-2</v>
      </c>
      <c r="P20" s="2411">
        <f t="shared" ref="P20" si="172">K20/100</f>
        <v>3.2400000000000005E-2</v>
      </c>
      <c r="Q20" s="2411">
        <f t="shared" ref="Q20" si="173">L20/100</f>
        <v>1.72E-2</v>
      </c>
      <c r="R20" s="2427"/>
      <c r="S20" s="2426"/>
      <c r="T20" s="2411"/>
      <c r="U20" s="2411"/>
      <c r="V20" s="2411"/>
      <c r="W20" s="2428"/>
      <c r="X20" s="2428">
        <f>ROUND(SUMPRODUCT(PRODUCT(1+N20:N$33)),4)</f>
        <v>1.4034</v>
      </c>
      <c r="Y20" s="2428">
        <f>ROUND(SUMPRODUCT(PRODUCT(1+O20:O$33)),4)</f>
        <v>1.2463</v>
      </c>
      <c r="Z20" s="2428">
        <f t="shared" si="0"/>
        <v>1.2463</v>
      </c>
      <c r="AA20" s="2428">
        <f>ROUND(SUMPRODUCT(PRODUCT(1+P20:P$33)),4)</f>
        <v>1.4577</v>
      </c>
      <c r="AB20" s="2428">
        <f>ROUND(SUMPRODUCT(PRODUCT(1+Q20:Q$33)),4)</f>
        <v>1.2136</v>
      </c>
      <c r="AC20" s="2428"/>
      <c r="AD20" s="2429">
        <f>ROUND(AVERAGE(I20:I$34)/100,4)</f>
        <v>2.4899999999999999E-2</v>
      </c>
      <c r="AE20" s="2429">
        <f>ROUND(AVERAGE(J20:J$34)/100,4)</f>
        <v>1.6400000000000001E-2</v>
      </c>
      <c r="AF20" s="2429">
        <f t="shared" si="1"/>
        <v>1.6400000000000001E-2</v>
      </c>
      <c r="AG20" s="2429">
        <f>ROUND(AVERAGE(K20:K$34)/100,4)</f>
        <v>2.7799999999999998E-2</v>
      </c>
      <c r="AH20" s="2429">
        <f>ROUND(AVERAGE(L20:L$34)/100,4)</f>
        <v>1.3899999999999999E-2</v>
      </c>
    </row>
    <row r="21" spans="1:34" s="2417" customFormat="1" ht="14.45" customHeight="1">
      <c r="A21" s="2423" t="s">
        <v>1351</v>
      </c>
      <c r="B21" s="2424">
        <f t="shared" si="166"/>
        <v>419.31181600000002</v>
      </c>
      <c r="C21" s="2424">
        <f t="shared" si="167"/>
        <v>313.95436800000004</v>
      </c>
      <c r="D21" s="2424">
        <f t="shared" si="168"/>
        <v>313.95436800000004</v>
      </c>
      <c r="E21" s="2424">
        <f t="shared" si="169"/>
        <v>596.63028431999999</v>
      </c>
      <c r="F21" s="2424">
        <f t="shared" si="170"/>
        <v>274.74220703999998</v>
      </c>
      <c r="G21" s="4006"/>
      <c r="H21" s="2436">
        <v>2</v>
      </c>
      <c r="I21" s="2436">
        <v>3.4</v>
      </c>
      <c r="J21" s="2436">
        <v>2</v>
      </c>
      <c r="K21" s="2436">
        <v>3.82</v>
      </c>
      <c r="L21" s="2437">
        <v>1.68</v>
      </c>
      <c r="M21" s="2410"/>
      <c r="N21" s="2426">
        <f t="shared" si="154"/>
        <v>3.4000000000000002E-2</v>
      </c>
      <c r="O21" s="2411">
        <f t="shared" ref="O21" si="174">J21/100</f>
        <v>0.02</v>
      </c>
      <c r="P21" s="2411">
        <f t="shared" ref="P21" si="175">K21/100</f>
        <v>3.8199999999999998E-2</v>
      </c>
      <c r="Q21" s="2411">
        <f t="shared" ref="Q21" si="176">L21/100</f>
        <v>1.6799999999999999E-2</v>
      </c>
      <c r="R21" s="2427"/>
      <c r="S21" s="2440"/>
      <c r="T21" s="2441"/>
      <c r="U21" s="2441"/>
      <c r="V21" s="2441"/>
      <c r="W21" s="2404"/>
      <c r="X21" s="2428">
        <f>ROUND(SUMPRODUCT(PRODUCT(1+N21:N$33)),4)</f>
        <v>1.3628</v>
      </c>
      <c r="Y21" s="2428">
        <f>ROUND(SUMPRODUCT(PRODUCT(1+O21:O$33)),4)</f>
        <v>1.2205999999999999</v>
      </c>
      <c r="Z21" s="2428">
        <f t="shared" si="0"/>
        <v>1.2205999999999999</v>
      </c>
      <c r="AA21" s="2428">
        <f>ROUND(SUMPRODUCT(PRODUCT(1+P21:P$33)),4)</f>
        <v>1.4118999999999999</v>
      </c>
      <c r="AB21" s="2428">
        <f>ROUND(SUMPRODUCT(PRODUCT(1+Q21:Q$33)),4)</f>
        <v>1.1930000000000001</v>
      </c>
      <c r="AC21" s="2404"/>
      <c r="AD21" s="2429">
        <f>ROUND(AVERAGE(I21:I$34)/100,4)</f>
        <v>2.46E-2</v>
      </c>
      <c r="AE21" s="2429">
        <f>ROUND(AVERAGE(J21:J$34)/100,4)</f>
        <v>1.6E-2</v>
      </c>
      <c r="AF21" s="2429">
        <f t="shared" si="1"/>
        <v>1.6E-2</v>
      </c>
      <c r="AG21" s="2429">
        <f>ROUND(AVERAGE(K21:K$34)/100,4)</f>
        <v>2.75E-2</v>
      </c>
      <c r="AH21" s="2429">
        <f>ROUND(AVERAGE(L21:L$34)/100,4)</f>
        <v>1.37E-2</v>
      </c>
    </row>
    <row r="22" spans="1:34" s="2430" customFormat="1" ht="15" customHeight="1" thickBot="1">
      <c r="A22" s="2423" t="s">
        <v>1128</v>
      </c>
      <c r="B22" s="2424">
        <f>B23*(1+N22)</f>
        <v>405.524</v>
      </c>
      <c r="C22" s="2424">
        <f>C23*(1+O22)</f>
        <v>307.79840000000002</v>
      </c>
      <c r="D22" s="2424">
        <f>C22</f>
        <v>307.79840000000002</v>
      </c>
      <c r="E22" s="2424">
        <f>E23*(1+P22)</f>
        <v>574.67759999999998</v>
      </c>
      <c r="F22" s="2424">
        <f>F23*(1+Q22)</f>
        <v>270.20280000000002</v>
      </c>
      <c r="G22" s="4015"/>
      <c r="H22" s="2425">
        <v>1</v>
      </c>
      <c r="I22" s="2425">
        <v>3.45</v>
      </c>
      <c r="J22" s="2425">
        <v>1.92</v>
      </c>
      <c r="K22" s="2425">
        <v>3.92</v>
      </c>
      <c r="L22" s="2431">
        <v>1.58</v>
      </c>
      <c r="M22" s="2410"/>
      <c r="N22" s="2426">
        <f t="shared" si="154"/>
        <v>3.4500000000000003E-2</v>
      </c>
      <c r="O22" s="2411">
        <f t="shared" ref="O22:Q37" si="177">J22/100</f>
        <v>1.9199999999999998E-2</v>
      </c>
      <c r="P22" s="2411">
        <f t="shared" si="177"/>
        <v>3.9199999999999999E-2</v>
      </c>
      <c r="Q22" s="2411">
        <f t="shared" si="177"/>
        <v>1.5800000000000002E-2</v>
      </c>
      <c r="R22" s="2427"/>
      <c r="S22" s="2426">
        <f>B22/B23-1</f>
        <v>3.4499999999999975E-2</v>
      </c>
      <c r="T22" s="2411">
        <f t="shared" ref="T22:V22" si="178">C22/C23-1</f>
        <v>1.9200000000000106E-2</v>
      </c>
      <c r="U22" s="2411">
        <f t="shared" si="178"/>
        <v>1.9200000000000106E-2</v>
      </c>
      <c r="V22" s="2411">
        <f t="shared" si="178"/>
        <v>3.9199999999999902E-2</v>
      </c>
      <c r="W22" s="2428"/>
      <c r="X22" s="2428">
        <f>ROUND(SUMPRODUCT(PRODUCT(1+N22:N$33)),4)</f>
        <v>1.3180000000000001</v>
      </c>
      <c r="Y22" s="2428">
        <f>ROUND(SUMPRODUCT(PRODUCT(1+O22:O$33)),4)</f>
        <v>1.1966000000000001</v>
      </c>
      <c r="Z22" s="2428">
        <f t="shared" si="0"/>
        <v>1.1966000000000001</v>
      </c>
      <c r="AA22" s="2428">
        <f>ROUND(SUMPRODUCT(PRODUCT(1+P22:P$33)),4)</f>
        <v>1.36</v>
      </c>
      <c r="AB22" s="2428">
        <f>ROUND(SUMPRODUCT(PRODUCT(1+Q22:Q$33)),4)</f>
        <v>1.1733</v>
      </c>
      <c r="AC22" s="2428"/>
      <c r="AD22" s="2429">
        <f>ROUND(AVERAGE(I22:I$34)/100,4)</f>
        <v>2.3900000000000001E-2</v>
      </c>
      <c r="AE22" s="2429">
        <f>ROUND(AVERAGE(J22:J$34)/100,4)</f>
        <v>1.5699999999999999E-2</v>
      </c>
      <c r="AF22" s="2429">
        <f t="shared" si="1"/>
        <v>1.5699999999999999E-2</v>
      </c>
      <c r="AG22" s="2429">
        <f>ROUND(AVERAGE(K22:K$34)/100,4)</f>
        <v>2.6599999999999999E-2</v>
      </c>
      <c r="AH22" s="2429">
        <f>ROUND(AVERAGE(L22:L$34)/100,4)</f>
        <v>1.34E-2</v>
      </c>
    </row>
    <row r="23" spans="1:34">
      <c r="A23" s="2423" t="s">
        <v>154</v>
      </c>
      <c r="B23" s="2438">
        <v>392</v>
      </c>
      <c r="C23" s="2438">
        <v>302</v>
      </c>
      <c r="D23" s="2438">
        <f>C23</f>
        <v>302</v>
      </c>
      <c r="E23" s="2438">
        <v>553</v>
      </c>
      <c r="F23" s="2439">
        <v>266</v>
      </c>
      <c r="G23" s="4011">
        <v>2016</v>
      </c>
      <c r="H23" s="2432">
        <v>4</v>
      </c>
      <c r="I23" s="2432">
        <v>4.5599999999999996</v>
      </c>
      <c r="J23" s="2432">
        <v>2.15</v>
      </c>
      <c r="K23" s="2432">
        <v>5.32</v>
      </c>
      <c r="L23" s="2433">
        <v>1.57</v>
      </c>
      <c r="N23" s="2426">
        <f t="shared" si="154"/>
        <v>4.5599999999999995E-2</v>
      </c>
      <c r="O23" s="2411">
        <f t="shared" si="177"/>
        <v>2.1499999999999998E-2</v>
      </c>
      <c r="P23" s="2411">
        <f t="shared" si="177"/>
        <v>5.3200000000000004E-2</v>
      </c>
      <c r="Q23" s="2411">
        <f t="shared" si="177"/>
        <v>1.5700000000000002E-2</v>
      </c>
      <c r="R23" s="2427"/>
      <c r="S23" s="2440"/>
      <c r="T23" s="2441"/>
      <c r="U23" s="2441"/>
      <c r="V23" s="2441"/>
      <c r="X23" s="2410">
        <f>ROUND(SUMPRODUCT(PRODUCT(1+N23:N$33)),4)</f>
        <v>1.274</v>
      </c>
      <c r="Y23" s="2410">
        <f>ROUND(SUMPRODUCT(PRODUCT(1+O23:O$33)),4)</f>
        <v>1.1740999999999999</v>
      </c>
      <c r="Z23" s="2410">
        <f t="shared" si="0"/>
        <v>1.1740999999999999</v>
      </c>
      <c r="AA23" s="2410">
        <f>ROUND(SUMPRODUCT(PRODUCT(1+P23:P$33)),4)</f>
        <v>1.3087</v>
      </c>
      <c r="AB23" s="2410">
        <f>ROUND(SUMPRODUCT(PRODUCT(1+Q23:Q$33)),4)</f>
        <v>1.1551</v>
      </c>
      <c r="AD23" s="2411">
        <f>ROUND(AVERAGE(I23:I$34)/100,4)</f>
        <v>2.3E-2</v>
      </c>
      <c r="AE23" s="2411">
        <f>ROUND(AVERAGE(J23:J$34)/100,4)</f>
        <v>1.55E-2</v>
      </c>
      <c r="AF23" s="2411">
        <f t="shared" si="1"/>
        <v>1.55E-2</v>
      </c>
      <c r="AG23" s="2411">
        <f>ROUND(AVERAGE(K23:K$34)/100,4)</f>
        <v>2.5600000000000001E-2</v>
      </c>
      <c r="AH23" s="2411">
        <f>ROUND(AVERAGE(L23:L$34)/100,4)</f>
        <v>1.32E-2</v>
      </c>
    </row>
    <row r="24" spans="1:34">
      <c r="A24" s="2423" t="s">
        <v>153</v>
      </c>
      <c r="B24" s="2424">
        <f t="shared" ref="B24:C26" si="179">B23/(1+N23)</f>
        <v>374.90436113236416</v>
      </c>
      <c r="C24" s="2424">
        <f t="shared" si="179"/>
        <v>295.64366128242779</v>
      </c>
      <c r="D24" s="2424">
        <f t="shared" ref="D24:D83" si="180">C24</f>
        <v>295.64366128242779</v>
      </c>
      <c r="E24" s="2424">
        <f t="shared" ref="E24:F26" si="181">E23/(1+P23)</f>
        <v>525.06646410938095</v>
      </c>
      <c r="F24" s="2424">
        <f t="shared" si="181"/>
        <v>261.88835286009646</v>
      </c>
      <c r="G24" s="4006"/>
      <c r="H24" s="2425">
        <v>3</v>
      </c>
      <c r="I24" s="2425">
        <v>4.12</v>
      </c>
      <c r="J24" s="2425">
        <v>2</v>
      </c>
      <c r="K24" s="2425">
        <v>4.79</v>
      </c>
      <c r="L24" s="2431">
        <v>1.97</v>
      </c>
      <c r="N24" s="2426">
        <f t="shared" ref="N24:Q58" si="182">I24/100</f>
        <v>4.1200000000000001E-2</v>
      </c>
      <c r="O24" s="2411">
        <f t="shared" si="177"/>
        <v>0.02</v>
      </c>
      <c r="P24" s="2411">
        <f t="shared" si="177"/>
        <v>4.7899999999999998E-2</v>
      </c>
      <c r="Q24" s="2411">
        <f t="shared" si="177"/>
        <v>1.9699999999999999E-2</v>
      </c>
      <c r="R24" s="2427"/>
      <c r="S24" s="2426"/>
      <c r="T24" s="2411"/>
      <c r="U24" s="2411"/>
      <c r="V24" s="2411"/>
      <c r="X24" s="2410">
        <f>ROUND(SUMPRODUCT(PRODUCT(1+N24:N$33)),4)</f>
        <v>1.2184999999999999</v>
      </c>
      <c r="Y24" s="2410">
        <f>ROUND(SUMPRODUCT(PRODUCT(1+O24:O$33)),4)</f>
        <v>1.1494</v>
      </c>
      <c r="Z24" s="2410">
        <f t="shared" si="0"/>
        <v>1.1494</v>
      </c>
      <c r="AA24" s="2410">
        <f>ROUND(SUMPRODUCT(PRODUCT(1+P24:P$33)),4)</f>
        <v>1.2425999999999999</v>
      </c>
      <c r="AB24" s="2410">
        <f>ROUND(SUMPRODUCT(PRODUCT(1+Q24:Q$33)),4)</f>
        <v>1.1372</v>
      </c>
      <c r="AD24" s="2411">
        <f>ROUND(AVERAGE(I24:I$34)/100,4)</f>
        <v>2.0899999999999998E-2</v>
      </c>
      <c r="AE24" s="2411">
        <f>ROUND(AVERAGE(J24:J$34)/100,4)</f>
        <v>1.49E-2</v>
      </c>
      <c r="AF24" s="2411">
        <f t="shared" si="1"/>
        <v>1.49E-2</v>
      </c>
      <c r="AG24" s="2411">
        <f>ROUND(AVERAGE(K24:K$34)/100,4)</f>
        <v>2.3099999999999999E-2</v>
      </c>
      <c r="AH24" s="2411">
        <f>ROUND(AVERAGE(L24:L$34)/100,4)</f>
        <v>1.2999999999999999E-2</v>
      </c>
    </row>
    <row r="25" spans="1:34">
      <c r="A25" s="2423" t="s">
        <v>143</v>
      </c>
      <c r="B25" s="2424">
        <f t="shared" si="179"/>
        <v>360.06949782209392</v>
      </c>
      <c r="C25" s="2424">
        <f t="shared" si="179"/>
        <v>289.84672674747821</v>
      </c>
      <c r="D25" s="2424">
        <f t="shared" si="180"/>
        <v>289.84672674747821</v>
      </c>
      <c r="E25" s="2424">
        <f t="shared" si="181"/>
        <v>501.06543001181495</v>
      </c>
      <c r="F25" s="2424">
        <f t="shared" si="181"/>
        <v>256.82882500744967</v>
      </c>
      <c r="G25" s="4006"/>
      <c r="H25" s="2436">
        <v>2</v>
      </c>
      <c r="I25" s="2436">
        <v>3.85</v>
      </c>
      <c r="J25" s="2436">
        <v>1.95</v>
      </c>
      <c r="K25" s="2436">
        <v>4.4800000000000004</v>
      </c>
      <c r="L25" s="2437">
        <v>1.41</v>
      </c>
      <c r="N25" s="2426">
        <f t="shared" si="182"/>
        <v>3.85E-2</v>
      </c>
      <c r="O25" s="2411">
        <f t="shared" si="177"/>
        <v>1.95E-2</v>
      </c>
      <c r="P25" s="2411">
        <f t="shared" si="177"/>
        <v>4.4800000000000006E-2</v>
      </c>
      <c r="Q25" s="2411">
        <f t="shared" si="177"/>
        <v>1.41E-2</v>
      </c>
      <c r="R25" s="2427"/>
      <c r="S25" s="2426"/>
      <c r="T25" s="2411"/>
      <c r="U25" s="2411"/>
      <c r="V25" s="2411"/>
      <c r="X25" s="2410">
        <f>ROUND(SUMPRODUCT(PRODUCT(1+N25:N$33)),4)</f>
        <v>1.1702999999999999</v>
      </c>
      <c r="Y25" s="2410">
        <f>ROUND(SUMPRODUCT(PRODUCT(1+O25:O$33)),4)</f>
        <v>1.1269</v>
      </c>
      <c r="Z25" s="2410">
        <f t="shared" si="0"/>
        <v>1.1269</v>
      </c>
      <c r="AA25" s="2410">
        <f>ROUND(SUMPRODUCT(PRODUCT(1+P25:P$33)),4)</f>
        <v>1.1858</v>
      </c>
      <c r="AB25" s="2410">
        <f>ROUND(SUMPRODUCT(PRODUCT(1+Q25:Q$33)),4)</f>
        <v>1.1152</v>
      </c>
      <c r="AD25" s="2411">
        <f>ROUND(AVERAGE(I25:I$34)/100,4)</f>
        <v>1.89E-2</v>
      </c>
      <c r="AE25" s="2411">
        <f>ROUND(AVERAGE(J25:J$34)/100,4)</f>
        <v>1.44E-2</v>
      </c>
      <c r="AF25" s="2411">
        <f t="shared" si="1"/>
        <v>1.44E-2</v>
      </c>
      <c r="AG25" s="2411">
        <f>ROUND(AVERAGE(K25:K$34)/100,4)</f>
        <v>2.06E-2</v>
      </c>
      <c r="AH25" s="2411">
        <f>ROUND(AVERAGE(L25:L$34)/100,4)</f>
        <v>1.23E-2</v>
      </c>
    </row>
    <row r="26" spans="1:34" ht="13.5" thickBot="1">
      <c r="A26" s="2423" t="s">
        <v>152</v>
      </c>
      <c r="B26" s="2424">
        <f t="shared" si="179"/>
        <v>346.720748986128</v>
      </c>
      <c r="C26" s="2424">
        <f t="shared" si="179"/>
        <v>284.30282172386285</v>
      </c>
      <c r="D26" s="2424">
        <f t="shared" si="180"/>
        <v>284.30282172386285</v>
      </c>
      <c r="E26" s="2424">
        <f t="shared" si="181"/>
        <v>479.58023546306947</v>
      </c>
      <c r="F26" s="2424">
        <f t="shared" si="181"/>
        <v>253.25788877571213</v>
      </c>
      <c r="G26" s="4007"/>
      <c r="H26" s="2425">
        <v>1</v>
      </c>
      <c r="I26" s="2425">
        <v>4.09</v>
      </c>
      <c r="J26" s="2425">
        <v>2.93</v>
      </c>
      <c r="K26" s="2425">
        <v>4.54</v>
      </c>
      <c r="L26" s="2431">
        <v>1.48</v>
      </c>
      <c r="N26" s="2426">
        <f t="shared" si="182"/>
        <v>4.0899999999999999E-2</v>
      </c>
      <c r="O26" s="2411">
        <f t="shared" si="177"/>
        <v>2.9300000000000003E-2</v>
      </c>
      <c r="P26" s="2411">
        <f t="shared" si="177"/>
        <v>4.5400000000000003E-2</v>
      </c>
      <c r="Q26" s="2411">
        <f t="shared" si="177"/>
        <v>1.4800000000000001E-2</v>
      </c>
      <c r="R26" s="2427"/>
      <c r="S26" s="2442">
        <f>B26/B27-1</f>
        <v>4.1203450408792808E-2</v>
      </c>
      <c r="T26" s="2443">
        <f>C26/C27-1</f>
        <v>2.6363977342465095E-2</v>
      </c>
      <c r="U26" s="2443">
        <f>E26/E27-1</f>
        <v>4.4837114298626357E-2</v>
      </c>
      <c r="V26" s="2443">
        <f>F26/F27-1</f>
        <v>1.7099954922538574E-2</v>
      </c>
      <c r="X26" s="2410">
        <f>ROUND(SUMPRODUCT(PRODUCT(1+N26:N$33)),4)</f>
        <v>1.1269</v>
      </c>
      <c r="Y26" s="2410">
        <f>ROUND(SUMPRODUCT(PRODUCT(1+O26:O$33)),4)</f>
        <v>1.1052999999999999</v>
      </c>
      <c r="Z26" s="2410">
        <f t="shared" si="0"/>
        <v>1.1052999999999999</v>
      </c>
      <c r="AA26" s="2410">
        <f>ROUND(SUMPRODUCT(PRODUCT(1+P26:P$33)),4)</f>
        <v>1.1349</v>
      </c>
      <c r="AB26" s="2410">
        <f>ROUND(SUMPRODUCT(PRODUCT(1+Q26:Q$33)),4)</f>
        <v>1.0996999999999999</v>
      </c>
      <c r="AD26" s="2411">
        <f>ROUND(AVERAGE(I26:I$34)/100,4)</f>
        <v>1.67E-2</v>
      </c>
      <c r="AE26" s="2411">
        <f>ROUND(AVERAGE(J26:J$34)/100,4)</f>
        <v>1.38E-2</v>
      </c>
      <c r="AF26" s="2411">
        <f t="shared" si="1"/>
        <v>1.38E-2</v>
      </c>
      <c r="AG26" s="2411">
        <f>ROUND(AVERAGE(K26:K$34)/100,4)</f>
        <v>1.7899999999999999E-2</v>
      </c>
      <c r="AH26" s="2411">
        <f>ROUND(AVERAGE(L26:L$34)/100,4)</f>
        <v>1.21E-2</v>
      </c>
    </row>
    <row r="27" spans="1:34" ht="13.5" thickBot="1">
      <c r="A27" s="2423" t="s">
        <v>151</v>
      </c>
      <c r="B27" s="2438">
        <v>333</v>
      </c>
      <c r="C27" s="2438">
        <v>277</v>
      </c>
      <c r="D27" s="2438">
        <f t="shared" si="180"/>
        <v>277</v>
      </c>
      <c r="E27" s="2438">
        <v>459</v>
      </c>
      <c r="F27" s="2439">
        <v>249</v>
      </c>
      <c r="G27" s="4005">
        <v>2015</v>
      </c>
      <c r="H27" s="2444">
        <v>4</v>
      </c>
      <c r="I27" s="2444">
        <v>1.63</v>
      </c>
      <c r="J27" s="2444">
        <v>1.1100000000000001</v>
      </c>
      <c r="K27" s="2444">
        <v>1.77</v>
      </c>
      <c r="L27" s="2445">
        <v>1.89</v>
      </c>
      <c r="N27" s="2446">
        <f t="shared" si="182"/>
        <v>1.6299999999999999E-2</v>
      </c>
      <c r="O27" s="2447">
        <f t="shared" si="177"/>
        <v>1.11E-2</v>
      </c>
      <c r="P27" s="2447">
        <f t="shared" si="177"/>
        <v>1.77E-2</v>
      </c>
      <c r="Q27" s="2447">
        <f t="shared" si="177"/>
        <v>1.89E-2</v>
      </c>
      <c r="R27" s="2427"/>
      <c r="X27" s="2410">
        <f>ROUND(SUMPRODUCT(PRODUCT(1+N27:N$33)),4)</f>
        <v>1.0826</v>
      </c>
      <c r="Y27" s="2410">
        <f>ROUND(SUMPRODUCT(PRODUCT(1+O27:O$33)),4)</f>
        <v>1.0738000000000001</v>
      </c>
      <c r="Z27" s="2410">
        <f t="shared" si="0"/>
        <v>1.0738000000000001</v>
      </c>
      <c r="AA27" s="2410">
        <f>ROUND(SUMPRODUCT(PRODUCT(1+P27:P$33)),4)</f>
        <v>1.0855999999999999</v>
      </c>
      <c r="AB27" s="2410">
        <f>ROUND(SUMPRODUCT(PRODUCT(1+Q27:Q$33)),4)</f>
        <v>1.0837000000000001</v>
      </c>
      <c r="AD27" s="2411">
        <f>ROUND(AVERAGE(I27:I$34)/100,4)</f>
        <v>1.37E-2</v>
      </c>
      <c r="AE27" s="2411">
        <f>ROUND(AVERAGE(J27:J$34)/100,4)</f>
        <v>1.1900000000000001E-2</v>
      </c>
      <c r="AF27" s="2411">
        <f t="shared" si="1"/>
        <v>1.1900000000000001E-2</v>
      </c>
      <c r="AG27" s="2411">
        <f>ROUND(AVERAGE(K27:K$34)/100,4)</f>
        <v>1.4500000000000001E-2</v>
      </c>
      <c r="AH27" s="2411">
        <f>ROUND(AVERAGE(L27:L$34)/100,4)</f>
        <v>1.18E-2</v>
      </c>
    </row>
    <row r="28" spans="1:34">
      <c r="A28" s="2423" t="s">
        <v>150</v>
      </c>
      <c r="B28" s="2424">
        <f t="shared" ref="B28:C30" si="183">B27/(1+N27)</f>
        <v>327.65915576109415</v>
      </c>
      <c r="C28" s="2424">
        <f t="shared" si="183"/>
        <v>273.95905449510434</v>
      </c>
      <c r="D28" s="2424">
        <f t="shared" si="180"/>
        <v>273.95905449510434</v>
      </c>
      <c r="E28" s="2424">
        <f t="shared" ref="E28:F30" si="184">E27/(1+P27)</f>
        <v>451.01699911565294</v>
      </c>
      <c r="F28" s="2424">
        <f t="shared" si="184"/>
        <v>244.38119540681129</v>
      </c>
      <c r="G28" s="4006"/>
      <c r="H28" s="2449">
        <v>3</v>
      </c>
      <c r="I28" s="2449">
        <v>1.65</v>
      </c>
      <c r="J28" s="2449">
        <v>0.92</v>
      </c>
      <c r="K28" s="2449">
        <v>1.88</v>
      </c>
      <c r="L28" s="2450">
        <v>1.26</v>
      </c>
      <c r="N28" s="2426">
        <f t="shared" si="182"/>
        <v>1.6500000000000001E-2</v>
      </c>
      <c r="O28" s="2451">
        <f t="shared" si="177"/>
        <v>9.1999999999999998E-3</v>
      </c>
      <c r="P28" s="2451">
        <f t="shared" si="177"/>
        <v>1.8799999999999997E-2</v>
      </c>
      <c r="Q28" s="2451">
        <f t="shared" si="177"/>
        <v>1.26E-2</v>
      </c>
      <c r="R28" s="2427"/>
      <c r="S28" s="2426"/>
      <c r="T28" s="2411"/>
      <c r="U28" s="2411"/>
      <c r="V28" s="2411"/>
      <c r="X28" s="2410">
        <f>ROUND(SUMPRODUCT(PRODUCT(1+N28:N$33)),4)</f>
        <v>1.0651999999999999</v>
      </c>
      <c r="Y28" s="2410">
        <f>ROUND(SUMPRODUCT(PRODUCT(1+O28:O$33)),4)</f>
        <v>1.0621</v>
      </c>
      <c r="Z28" s="2410">
        <f t="shared" si="0"/>
        <v>1.0621</v>
      </c>
      <c r="AA28" s="2410">
        <f>ROUND(SUMPRODUCT(PRODUCT(1+P28:P$33)),4)</f>
        <v>1.0668</v>
      </c>
      <c r="AB28" s="2410">
        <f>ROUND(SUMPRODUCT(PRODUCT(1+Q28:Q$33)),4)</f>
        <v>1.0636000000000001</v>
      </c>
      <c r="AD28" s="2411">
        <f>ROUND(AVERAGE(I28:I$34)/100,4)</f>
        <v>1.3299999999999999E-2</v>
      </c>
      <c r="AE28" s="2411">
        <f>ROUND(AVERAGE(J28:J$34)/100,4)</f>
        <v>1.2E-2</v>
      </c>
      <c r="AF28" s="2411">
        <f t="shared" si="1"/>
        <v>1.2E-2</v>
      </c>
      <c r="AG28" s="2411">
        <f>ROUND(AVERAGE(K28:K$34)/100,4)</f>
        <v>1.4E-2</v>
      </c>
      <c r="AH28" s="2411">
        <f>ROUND(AVERAGE(L28:L$34)/100,4)</f>
        <v>1.0800000000000001E-2</v>
      </c>
    </row>
    <row r="29" spans="1:34">
      <c r="A29" s="2423" t="s">
        <v>149</v>
      </c>
      <c r="B29" s="2424">
        <f t="shared" si="183"/>
        <v>322.34053690220776</v>
      </c>
      <c r="C29" s="2424">
        <f t="shared" si="183"/>
        <v>271.46160770422546</v>
      </c>
      <c r="D29" s="2424">
        <f t="shared" si="180"/>
        <v>271.46160770422546</v>
      </c>
      <c r="E29" s="2424">
        <f t="shared" si="184"/>
        <v>442.69434542172456</v>
      </c>
      <c r="F29" s="2424">
        <f t="shared" si="184"/>
        <v>241.34030753190925</v>
      </c>
      <c r="G29" s="4006"/>
      <c r="H29" s="2436">
        <v>2</v>
      </c>
      <c r="I29" s="2436">
        <v>0.77</v>
      </c>
      <c r="J29" s="2436">
        <v>0.69</v>
      </c>
      <c r="K29" s="2436">
        <v>0.8</v>
      </c>
      <c r="L29" s="2437">
        <v>0.88</v>
      </c>
      <c r="N29" s="2426">
        <f t="shared" si="182"/>
        <v>7.7000000000000002E-3</v>
      </c>
      <c r="O29" s="2451">
        <f t="shared" si="177"/>
        <v>6.8999999999999999E-3</v>
      </c>
      <c r="P29" s="2451">
        <f t="shared" si="177"/>
        <v>8.0000000000000002E-3</v>
      </c>
      <c r="Q29" s="2451">
        <f t="shared" si="177"/>
        <v>8.8000000000000005E-3</v>
      </c>
      <c r="R29" s="2427"/>
      <c r="S29" s="2426"/>
      <c r="T29" s="2411"/>
      <c r="U29" s="2411"/>
      <c r="V29" s="2411"/>
      <c r="X29" s="2410">
        <f>ROUND(SUMPRODUCT(PRODUCT(1+N29:N$33)),4)</f>
        <v>1.048</v>
      </c>
      <c r="Y29" s="2410">
        <f>ROUND(SUMPRODUCT(PRODUCT(1+O29:O$33)),4)</f>
        <v>1.0524</v>
      </c>
      <c r="Z29" s="2410">
        <f t="shared" si="0"/>
        <v>1.0524</v>
      </c>
      <c r="AA29" s="2410">
        <f>ROUND(SUMPRODUCT(PRODUCT(1+P29:P$33)),4)</f>
        <v>1.0470999999999999</v>
      </c>
      <c r="AB29" s="2410">
        <f>ROUND(SUMPRODUCT(PRODUCT(1+Q29:Q$33)),4)</f>
        <v>1.0504</v>
      </c>
      <c r="AD29" s="2411">
        <f>ROUND(AVERAGE(I29:I$34)/100,4)</f>
        <v>1.2800000000000001E-2</v>
      </c>
      <c r="AE29" s="2411">
        <f>ROUND(AVERAGE(J29:J$34)/100,4)</f>
        <v>1.2500000000000001E-2</v>
      </c>
      <c r="AF29" s="2411">
        <f t="shared" si="1"/>
        <v>1.2500000000000001E-2</v>
      </c>
      <c r="AG29" s="2411">
        <f>ROUND(AVERAGE(K29:K$34)/100,4)</f>
        <v>1.32E-2</v>
      </c>
      <c r="AH29" s="2411">
        <f>ROUND(AVERAGE(L29:L$34)/100,4)</f>
        <v>1.0500000000000001E-2</v>
      </c>
    </row>
    <row r="30" spans="1:34">
      <c r="A30" s="2423" t="s">
        <v>148</v>
      </c>
      <c r="B30" s="2424">
        <f t="shared" si="183"/>
        <v>319.87748030386797</v>
      </c>
      <c r="C30" s="2424">
        <f t="shared" si="183"/>
        <v>269.60135833173649</v>
      </c>
      <c r="D30" s="2424">
        <f t="shared" si="180"/>
        <v>269.60135833173649</v>
      </c>
      <c r="E30" s="2424">
        <f t="shared" si="184"/>
        <v>439.18089823583784</v>
      </c>
      <c r="F30" s="2424">
        <f t="shared" si="184"/>
        <v>239.23503918706311</v>
      </c>
      <c r="G30" s="4007"/>
      <c r="H30" s="2425">
        <v>1</v>
      </c>
      <c r="I30" s="2425">
        <v>0.51</v>
      </c>
      <c r="J30" s="2425">
        <v>0.54</v>
      </c>
      <c r="K30" s="2425">
        <v>0.48</v>
      </c>
      <c r="L30" s="2431">
        <v>0.93</v>
      </c>
      <c r="N30" s="2442">
        <f t="shared" si="182"/>
        <v>5.1000000000000004E-3</v>
      </c>
      <c r="O30" s="2443">
        <f t="shared" si="177"/>
        <v>5.4000000000000003E-3</v>
      </c>
      <c r="P30" s="2443">
        <f t="shared" si="177"/>
        <v>4.7999999999999996E-3</v>
      </c>
      <c r="Q30" s="2443">
        <f t="shared" si="177"/>
        <v>9.300000000000001E-3</v>
      </c>
      <c r="R30" s="2427"/>
      <c r="S30" s="2442">
        <f>B30/B31-1</f>
        <v>5.9040261127922822E-3</v>
      </c>
      <c r="T30" s="2443">
        <f>C30/C31-1</f>
        <v>5.9752176557332781E-3</v>
      </c>
      <c r="U30" s="2443">
        <f>E30/E31-1</f>
        <v>4.9906138119859556E-3</v>
      </c>
      <c r="V30" s="2443">
        <f>F30/F31-1</f>
        <v>9.4305450930933787E-3</v>
      </c>
      <c r="X30" s="2410">
        <f>ROUND(SUMPRODUCT(PRODUCT(1+N30:N$33)),4)</f>
        <v>1.0399</v>
      </c>
      <c r="Y30" s="2410">
        <f>ROUND(SUMPRODUCT(PRODUCT(1+O30:O$33)),4)</f>
        <v>1.0451999999999999</v>
      </c>
      <c r="Z30" s="2410">
        <f t="shared" si="0"/>
        <v>1.0451999999999999</v>
      </c>
      <c r="AA30" s="2410">
        <f>ROUND(SUMPRODUCT(PRODUCT(1+P30:P$33)),4)</f>
        <v>1.0387999999999999</v>
      </c>
      <c r="AB30" s="2410">
        <f>ROUND(SUMPRODUCT(PRODUCT(1+Q30:Q$33)),4)</f>
        <v>1.0411999999999999</v>
      </c>
      <c r="AD30" s="2411">
        <f>ROUND(AVERAGE(I30:I$34)/100,4)</f>
        <v>1.38E-2</v>
      </c>
      <c r="AE30" s="2411">
        <f>ROUND(AVERAGE(J30:J$34)/100,4)</f>
        <v>1.3599999999999999E-2</v>
      </c>
      <c r="AF30" s="2411">
        <f t="shared" si="1"/>
        <v>1.3599999999999999E-2</v>
      </c>
      <c r="AG30" s="2411">
        <f>ROUND(AVERAGE(K30:K$34)/100,4)</f>
        <v>1.4200000000000001E-2</v>
      </c>
      <c r="AH30" s="2411">
        <f>ROUND(AVERAGE(L30:L$34)/100,4)</f>
        <v>1.0800000000000001E-2</v>
      </c>
    </row>
    <row r="31" spans="1:34" ht="13.5" thickBot="1">
      <c r="A31" s="2423" t="s">
        <v>147</v>
      </c>
      <c r="B31" s="2452">
        <v>318</v>
      </c>
      <c r="C31" s="2452">
        <v>268</v>
      </c>
      <c r="D31" s="2452">
        <f t="shared" si="180"/>
        <v>268</v>
      </c>
      <c r="E31" s="2452">
        <v>437</v>
      </c>
      <c r="F31" s="2453">
        <v>237</v>
      </c>
      <c r="G31" s="4005">
        <v>2014</v>
      </c>
      <c r="H31" s="2444">
        <v>4</v>
      </c>
      <c r="I31" s="2444">
        <v>0.21</v>
      </c>
      <c r="J31" s="2444">
        <v>0.41</v>
      </c>
      <c r="K31" s="2444">
        <v>0.12</v>
      </c>
      <c r="L31" s="2445">
        <v>0.89</v>
      </c>
      <c r="N31" s="2426">
        <f t="shared" si="182"/>
        <v>2.0999999999999999E-3</v>
      </c>
      <c r="O31" s="2411">
        <f t="shared" si="177"/>
        <v>4.0999999999999995E-3</v>
      </c>
      <c r="P31" s="2411">
        <f t="shared" si="177"/>
        <v>1.1999999999999999E-3</v>
      </c>
      <c r="Q31" s="2411">
        <f t="shared" si="177"/>
        <v>8.8999999999999999E-3</v>
      </c>
      <c r="R31" s="2427"/>
      <c r="S31" s="2440"/>
      <c r="T31" s="2441"/>
      <c r="U31" s="2441"/>
      <c r="V31" s="2441"/>
      <c r="X31" s="2410">
        <f>ROUND(SUMPRODUCT(PRODUCT(1+N31:N$33)),4)</f>
        <v>1.0347</v>
      </c>
      <c r="Y31" s="2410">
        <f>ROUND(SUMPRODUCT(PRODUCT(1+O31:O$33)),4)</f>
        <v>1.0395000000000001</v>
      </c>
      <c r="Z31" s="2410">
        <f t="shared" si="0"/>
        <v>1.0395000000000001</v>
      </c>
      <c r="AA31" s="2410">
        <f>ROUND(SUMPRODUCT(PRODUCT(1+P31:P$33)),4)</f>
        <v>1.0338000000000001</v>
      </c>
      <c r="AB31" s="2410">
        <f>ROUND(SUMPRODUCT(PRODUCT(1+Q31:Q$33)),4)</f>
        <v>1.0316000000000001</v>
      </c>
      <c r="AD31" s="2411">
        <f>ROUND(AVERAGE(I31:I$34)/100,4)</f>
        <v>1.6E-2</v>
      </c>
      <c r="AE31" s="2411">
        <f>ROUND(AVERAGE(J31:J$34)/100,4)</f>
        <v>1.5599999999999999E-2</v>
      </c>
      <c r="AF31" s="2411">
        <f t="shared" si="1"/>
        <v>1.5599999999999999E-2</v>
      </c>
      <c r="AG31" s="2411">
        <f>ROUND(AVERAGE(K31:K$34)/100,4)</f>
        <v>1.66E-2</v>
      </c>
      <c r="AH31" s="2411">
        <f>ROUND(AVERAGE(L31:L$34)/100,4)</f>
        <v>1.12E-2</v>
      </c>
    </row>
    <row r="32" spans="1:34">
      <c r="A32" s="2423" t="s">
        <v>146</v>
      </c>
      <c r="B32" s="2424">
        <f t="shared" ref="B32:C34" si="185">B31/(1+N31)</f>
        <v>317.33359944117353</v>
      </c>
      <c r="C32" s="2424">
        <f t="shared" si="185"/>
        <v>266.90568668459315</v>
      </c>
      <c r="D32" s="2424">
        <f t="shared" si="180"/>
        <v>266.90568668459315</v>
      </c>
      <c r="E32" s="2424">
        <f t="shared" ref="E32:F34" si="186">E31/(1+P31)</f>
        <v>436.47622852576905</v>
      </c>
      <c r="F32" s="2424">
        <f t="shared" si="186"/>
        <v>234.90930716622066</v>
      </c>
      <c r="G32" s="4006"/>
      <c r="H32" s="2454">
        <v>3</v>
      </c>
      <c r="I32" s="2454">
        <v>0.83</v>
      </c>
      <c r="J32" s="2454">
        <v>1.47</v>
      </c>
      <c r="K32" s="2454">
        <v>0.65</v>
      </c>
      <c r="L32" s="2455">
        <v>0.72</v>
      </c>
      <c r="N32" s="2426">
        <f t="shared" si="182"/>
        <v>8.3000000000000001E-3</v>
      </c>
      <c r="O32" s="2411">
        <f t="shared" si="177"/>
        <v>1.47E-2</v>
      </c>
      <c r="P32" s="2411">
        <f t="shared" si="177"/>
        <v>6.5000000000000006E-3</v>
      </c>
      <c r="Q32" s="2411">
        <f t="shared" si="177"/>
        <v>7.1999999999999998E-3</v>
      </c>
      <c r="R32" s="2427"/>
      <c r="S32" s="2426"/>
      <c r="T32" s="2411"/>
      <c r="U32" s="2411"/>
      <c r="V32" s="2411"/>
      <c r="X32" s="2410">
        <f>ROUND(SUMPRODUCT(PRODUCT(1+N32:N$33)),4)</f>
        <v>1.0325</v>
      </c>
      <c r="Y32" s="2410">
        <f>ROUND(SUMPRODUCT(PRODUCT(1+O32:O$33)),4)</f>
        <v>1.0353000000000001</v>
      </c>
      <c r="Z32" s="2410">
        <f t="shared" ref="Z32:Z33" si="187">Y32</f>
        <v>1.0353000000000001</v>
      </c>
      <c r="AA32" s="2410">
        <f>ROUND(SUMPRODUCT(PRODUCT(1+P32:P$33)),4)</f>
        <v>1.0326</v>
      </c>
      <c r="AB32" s="2410">
        <f>ROUND(SUMPRODUCT(PRODUCT(1+Q32:Q$33)),4)</f>
        <v>1.0225</v>
      </c>
      <c r="AD32" s="2411">
        <f>ROUND(AVERAGE(I32:I$34)/100,4)</f>
        <v>2.07E-2</v>
      </c>
      <c r="AE32" s="2411">
        <f>ROUND(AVERAGE(J32:J$34)/100,4)</f>
        <v>1.95E-2</v>
      </c>
      <c r="AF32" s="2411">
        <f t="shared" si="1"/>
        <v>1.95E-2</v>
      </c>
      <c r="AG32" s="2411">
        <f>ROUND(AVERAGE(K32:K$34)/100,4)</f>
        <v>2.1700000000000001E-2</v>
      </c>
      <c r="AH32" s="2411">
        <f>ROUND(AVERAGE(L32:L$34)/100,4)</f>
        <v>1.2E-2</v>
      </c>
    </row>
    <row r="33" spans="1:34" ht="13.5" thickBot="1">
      <c r="A33" s="2423" t="s">
        <v>145</v>
      </c>
      <c r="B33" s="2424">
        <f t="shared" si="185"/>
        <v>314.72141172386546</v>
      </c>
      <c r="C33" s="2424">
        <f t="shared" si="185"/>
        <v>263.03901319069001</v>
      </c>
      <c r="D33" s="2424">
        <f t="shared" si="180"/>
        <v>263.03901319069001</v>
      </c>
      <c r="E33" s="2424">
        <f t="shared" si="186"/>
        <v>433.65745506782821</v>
      </c>
      <c r="F33" s="2424">
        <f t="shared" si="186"/>
        <v>233.23005080045735</v>
      </c>
      <c r="G33" s="4006"/>
      <c r="H33" s="2444">
        <v>2</v>
      </c>
      <c r="I33" s="2444">
        <v>2.4</v>
      </c>
      <c r="J33" s="2444">
        <v>2.0299999999999998</v>
      </c>
      <c r="K33" s="2444">
        <v>2.59</v>
      </c>
      <c r="L33" s="2445">
        <v>1.52</v>
      </c>
      <c r="N33" s="2426">
        <f t="shared" si="182"/>
        <v>2.4E-2</v>
      </c>
      <c r="O33" s="2411">
        <f t="shared" si="177"/>
        <v>2.0299999999999999E-2</v>
      </c>
      <c r="P33" s="2411">
        <f t="shared" si="177"/>
        <v>2.5899999999999999E-2</v>
      </c>
      <c r="Q33" s="2411">
        <f t="shared" si="177"/>
        <v>1.52E-2</v>
      </c>
      <c r="R33" s="2427"/>
      <c r="S33" s="2426"/>
      <c r="T33" s="2411"/>
      <c r="U33" s="2411"/>
      <c r="V33" s="2411"/>
      <c r="X33" s="2410">
        <f>1+N33</f>
        <v>1.024</v>
      </c>
      <c r="Y33" s="2410">
        <f>1+O33</f>
        <v>1.0203</v>
      </c>
      <c r="Z33" s="2410">
        <f t="shared" si="187"/>
        <v>1.0203</v>
      </c>
      <c r="AA33" s="2410">
        <f>1+P33</f>
        <v>1.0259</v>
      </c>
      <c r="AB33" s="2410">
        <f>1+Q33</f>
        <v>1.0152000000000001</v>
      </c>
      <c r="AD33" s="2411">
        <f>ROUND(AVERAGE(I33:I$34)/100,4)</f>
        <v>2.69E-2</v>
      </c>
      <c r="AE33" s="2411">
        <f>ROUND(AVERAGE(J33:J$34)/100,4)</f>
        <v>2.1899999999999999E-2</v>
      </c>
      <c r="AF33" s="2411">
        <f t="shared" ref="AF33" si="188">AE33</f>
        <v>2.1899999999999999E-2</v>
      </c>
      <c r="AG33" s="2411">
        <f>ROUND(AVERAGE(K33:K$34)/100,4)</f>
        <v>2.9399999999999999E-2</v>
      </c>
      <c r="AH33" s="2411">
        <f>ROUND(AVERAGE(L33:L$34)/100,4)</f>
        <v>1.44E-2</v>
      </c>
    </row>
    <row r="34" spans="1:34" s="2460" customFormat="1" ht="13.5" thickBot="1">
      <c r="A34" s="2456" t="s">
        <v>144</v>
      </c>
      <c r="B34" s="2457">
        <f t="shared" si="185"/>
        <v>307.34512863658733</v>
      </c>
      <c r="C34" s="2457">
        <f t="shared" si="185"/>
        <v>257.80556031626975</v>
      </c>
      <c r="D34" s="2457">
        <f t="shared" si="180"/>
        <v>257.80556031626975</v>
      </c>
      <c r="E34" s="2457">
        <f t="shared" si="186"/>
        <v>422.70928459677179</v>
      </c>
      <c r="F34" s="2457">
        <f t="shared" si="186"/>
        <v>229.73803270336617</v>
      </c>
      <c r="G34" s="4007"/>
      <c r="H34" s="2458">
        <v>1</v>
      </c>
      <c r="I34" s="2458">
        <v>2.97</v>
      </c>
      <c r="J34" s="2458">
        <v>2.34</v>
      </c>
      <c r="K34" s="2458">
        <v>3.28</v>
      </c>
      <c r="L34" s="2459">
        <v>1.36</v>
      </c>
      <c r="N34" s="2461">
        <f t="shared" si="182"/>
        <v>2.9700000000000001E-2</v>
      </c>
      <c r="O34" s="2462">
        <f t="shared" si="177"/>
        <v>2.3399999999999997E-2</v>
      </c>
      <c r="P34" s="2462">
        <f t="shared" si="177"/>
        <v>3.2799999999999996E-2</v>
      </c>
      <c r="Q34" s="2462">
        <f t="shared" si="177"/>
        <v>1.3600000000000001E-2</v>
      </c>
      <c r="R34" s="2463"/>
      <c r="S34" s="2464">
        <f>B34/B35-1</f>
        <v>2.7910129219355539E-2</v>
      </c>
      <c r="T34" s="2465">
        <f>C34/C35-1</f>
        <v>2.3037937762975247E-2</v>
      </c>
      <c r="U34" s="2465">
        <f>E34/E35-1</f>
        <v>3.3519033243940788E-2</v>
      </c>
      <c r="V34" s="2465">
        <f>F34/F35-1</f>
        <v>1.2061818076502862E-2</v>
      </c>
      <c r="W34" s="2466" t="s">
        <v>1129</v>
      </c>
      <c r="X34" s="2467">
        <v>1</v>
      </c>
      <c r="Y34" s="2467">
        <v>1</v>
      </c>
      <c r="Z34" s="2467">
        <v>1</v>
      </c>
      <c r="AA34" s="2467">
        <v>1</v>
      </c>
      <c r="AB34" s="2467">
        <v>1</v>
      </c>
      <c r="AD34" s="2462">
        <f>I34/100</f>
        <v>2.9700000000000001E-2</v>
      </c>
      <c r="AE34" s="2462">
        <f>J34/100</f>
        <v>2.3399999999999997E-2</v>
      </c>
      <c r="AF34" s="2462">
        <f>AE34</f>
        <v>2.3399999999999997E-2</v>
      </c>
      <c r="AG34" s="2462">
        <f>K34/100</f>
        <v>3.2799999999999996E-2</v>
      </c>
      <c r="AH34" s="2462">
        <f>L34/100</f>
        <v>1.3600000000000001E-2</v>
      </c>
    </row>
    <row r="35" spans="1:34" ht="13.5" thickBot="1">
      <c r="A35" s="2423" t="s">
        <v>1130</v>
      </c>
      <c r="B35" s="2438">
        <v>299</v>
      </c>
      <c r="C35" s="2438">
        <v>252</v>
      </c>
      <c r="D35" s="2438">
        <f t="shared" si="180"/>
        <v>252</v>
      </c>
      <c r="E35" s="2438">
        <v>409</v>
      </c>
      <c r="F35" s="2439">
        <v>227</v>
      </c>
      <c r="G35" s="4012">
        <v>2013</v>
      </c>
      <c r="H35" s="2468">
        <v>4</v>
      </c>
      <c r="I35" s="2468">
        <v>1.83</v>
      </c>
      <c r="J35" s="2468">
        <v>1.68</v>
      </c>
      <c r="K35" s="2468">
        <v>1.97</v>
      </c>
      <c r="L35" s="2469">
        <v>0.87</v>
      </c>
      <c r="N35" s="2446">
        <f t="shared" si="182"/>
        <v>1.83E-2</v>
      </c>
      <c r="O35" s="2447">
        <f t="shared" si="177"/>
        <v>1.6799999999999999E-2</v>
      </c>
      <c r="P35" s="2447">
        <f t="shared" si="177"/>
        <v>1.9699999999999999E-2</v>
      </c>
      <c r="Q35" s="2447">
        <f t="shared" si="177"/>
        <v>8.6999999999999994E-3</v>
      </c>
      <c r="R35" s="2427"/>
      <c r="S35" s="2440"/>
      <c r="T35" s="2441"/>
      <c r="U35" s="2441"/>
      <c r="V35" s="2441"/>
      <c r="X35" s="2441"/>
      <c r="Y35" s="2441"/>
      <c r="Z35" s="2441"/>
    </row>
    <row r="36" spans="1:34">
      <c r="A36" s="2423" t="s">
        <v>1131</v>
      </c>
      <c r="B36" s="2424">
        <f t="shared" ref="B36:C38" si="189">B35/(1+N35)</f>
        <v>293.62663262299913</v>
      </c>
      <c r="C36" s="2424">
        <f t="shared" si="189"/>
        <v>247.83634933123525</v>
      </c>
      <c r="D36" s="2424">
        <f t="shared" si="180"/>
        <v>247.83634933123525</v>
      </c>
      <c r="E36" s="2424">
        <f t="shared" ref="E36:F38" si="190">E35/(1+P35)</f>
        <v>401.09836226341076</v>
      </c>
      <c r="F36" s="2424">
        <f t="shared" si="190"/>
        <v>225.04213343908003</v>
      </c>
      <c r="G36" s="4013"/>
      <c r="H36" s="2449">
        <v>3</v>
      </c>
      <c r="I36" s="2449">
        <v>1.86</v>
      </c>
      <c r="J36" s="2449">
        <v>1.72</v>
      </c>
      <c r="K36" s="2449">
        <v>1.98</v>
      </c>
      <c r="L36" s="2450">
        <v>0.88</v>
      </c>
      <c r="N36" s="2426">
        <f t="shared" si="182"/>
        <v>1.8600000000000002E-2</v>
      </c>
      <c r="O36" s="2451">
        <f t="shared" si="177"/>
        <v>1.72E-2</v>
      </c>
      <c r="P36" s="2451">
        <f t="shared" si="177"/>
        <v>1.9799999999999998E-2</v>
      </c>
      <c r="Q36" s="2451">
        <f t="shared" si="177"/>
        <v>8.8000000000000005E-3</v>
      </c>
      <c r="R36" s="2427"/>
      <c r="S36" s="2426"/>
      <c r="T36" s="2411"/>
      <c r="U36" s="2411"/>
      <c r="V36" s="2411"/>
    </row>
    <row r="37" spans="1:34">
      <c r="A37" s="2423" t="s">
        <v>1132</v>
      </c>
      <c r="B37" s="2424">
        <f t="shared" si="189"/>
        <v>288.2649053828776</v>
      </c>
      <c r="C37" s="2424">
        <f t="shared" si="189"/>
        <v>243.64564425013293</v>
      </c>
      <c r="D37" s="2424">
        <f t="shared" si="180"/>
        <v>243.64564425013293</v>
      </c>
      <c r="E37" s="2424">
        <f t="shared" si="190"/>
        <v>393.31080825986544</v>
      </c>
      <c r="F37" s="2424">
        <f t="shared" si="190"/>
        <v>223.07903790551154</v>
      </c>
      <c r="G37" s="4013"/>
      <c r="H37" s="2436">
        <v>2</v>
      </c>
      <c r="I37" s="2436">
        <v>2.04</v>
      </c>
      <c r="J37" s="2436">
        <v>2.33</v>
      </c>
      <c r="K37" s="2436">
        <v>2.0699999999999998</v>
      </c>
      <c r="L37" s="2437">
        <v>0.69</v>
      </c>
      <c r="N37" s="2426">
        <f t="shared" si="182"/>
        <v>2.0400000000000001E-2</v>
      </c>
      <c r="O37" s="2451">
        <f t="shared" si="177"/>
        <v>2.3300000000000001E-2</v>
      </c>
      <c r="P37" s="2451">
        <f t="shared" si="177"/>
        <v>2.07E-2</v>
      </c>
      <c r="Q37" s="2451">
        <f t="shared" si="177"/>
        <v>6.8999999999999999E-3</v>
      </c>
      <c r="R37" s="2427"/>
      <c r="S37" s="2426"/>
      <c r="T37" s="2411"/>
      <c r="U37" s="2411"/>
      <c r="V37" s="2411"/>
      <c r="X37" s="2470"/>
      <c r="Y37" s="2471"/>
    </row>
    <row r="38" spans="1:34">
      <c r="A38" s="2423" t="s">
        <v>1133</v>
      </c>
      <c r="B38" s="2424">
        <f t="shared" si="189"/>
        <v>282.50186729015837</v>
      </c>
      <c r="C38" s="2424">
        <f t="shared" si="189"/>
        <v>238.09796174155468</v>
      </c>
      <c r="D38" s="2424">
        <f t="shared" si="180"/>
        <v>238.09796174155468</v>
      </c>
      <c r="E38" s="2424">
        <f t="shared" si="190"/>
        <v>385.33438646014054</v>
      </c>
      <c r="F38" s="2424">
        <f t="shared" si="190"/>
        <v>221.55034055567739</v>
      </c>
      <c r="G38" s="4014"/>
      <c r="H38" s="2425">
        <v>1</v>
      </c>
      <c r="I38" s="2425">
        <v>1.67</v>
      </c>
      <c r="J38" s="2425">
        <v>1.31</v>
      </c>
      <c r="K38" s="2425">
        <v>1.85</v>
      </c>
      <c r="L38" s="2431">
        <v>0.96</v>
      </c>
      <c r="N38" s="2442">
        <f t="shared" si="182"/>
        <v>1.67E-2</v>
      </c>
      <c r="O38" s="2443">
        <f t="shared" si="182"/>
        <v>1.3100000000000001E-2</v>
      </c>
      <c r="P38" s="2443">
        <f t="shared" si="182"/>
        <v>1.8500000000000003E-2</v>
      </c>
      <c r="Q38" s="2443">
        <f t="shared" si="182"/>
        <v>9.5999999999999992E-3</v>
      </c>
      <c r="R38" s="2427"/>
      <c r="S38" s="2442">
        <f>B38/B39-1</f>
        <v>1.6193767230785472E-2</v>
      </c>
      <c r="T38" s="2443">
        <f>C38/C39-1</f>
        <v>1.7512657015190891E-2</v>
      </c>
      <c r="U38" s="2443">
        <f>E38/E39-1</f>
        <v>1.6713420739157048E-2</v>
      </c>
      <c r="V38" s="2443">
        <f>F38/F39-1</f>
        <v>7.0470025258062563E-3</v>
      </c>
      <c r="X38" s="2472"/>
      <c r="Y38" s="2411"/>
      <c r="Z38" s="2411"/>
    </row>
    <row r="39" spans="1:34" ht="13.5" thickBot="1">
      <c r="A39" s="2423" t="s">
        <v>1134</v>
      </c>
      <c r="B39" s="2473">
        <v>278</v>
      </c>
      <c r="C39" s="2473">
        <v>234</v>
      </c>
      <c r="D39" s="2473">
        <f t="shared" si="180"/>
        <v>234</v>
      </c>
      <c r="E39" s="2473">
        <v>379</v>
      </c>
      <c r="F39" s="2474">
        <v>220</v>
      </c>
      <c r="G39" s="4005">
        <v>2012</v>
      </c>
      <c r="H39" s="2444">
        <v>4</v>
      </c>
      <c r="I39" s="2444">
        <v>0.91</v>
      </c>
      <c r="J39" s="2444">
        <v>0.68</v>
      </c>
      <c r="K39" s="2444">
        <v>0.98</v>
      </c>
      <c r="L39" s="2445">
        <v>0.9</v>
      </c>
      <c r="N39" s="2426">
        <f t="shared" si="182"/>
        <v>9.1000000000000004E-3</v>
      </c>
      <c r="O39" s="2411">
        <f t="shared" si="182"/>
        <v>6.8000000000000005E-3</v>
      </c>
      <c r="P39" s="2411">
        <f t="shared" si="182"/>
        <v>9.7999999999999997E-3</v>
      </c>
      <c r="Q39" s="2411">
        <f t="shared" si="182"/>
        <v>9.0000000000000011E-3</v>
      </c>
      <c r="R39" s="2427"/>
      <c r="S39" s="2440"/>
      <c r="T39" s="2441"/>
      <c r="U39" s="2441"/>
      <c r="V39" s="2441"/>
      <c r="X39" s="2441"/>
      <c r="Y39" s="2441"/>
      <c r="Z39" s="2441"/>
    </row>
    <row r="40" spans="1:34">
      <c r="A40" s="2423" t="s">
        <v>1135</v>
      </c>
      <c r="B40" s="2424">
        <f>B39/(1+N39)</f>
        <v>275.49301357645425</v>
      </c>
      <c r="C40" s="2424">
        <f>C39/(1+O39)</f>
        <v>232.41954707985698</v>
      </c>
      <c r="D40" s="2424">
        <f t="shared" si="180"/>
        <v>232.41954707985698</v>
      </c>
      <c r="E40" s="2424">
        <f t="shared" ref="E40:F42" si="191">E39/(1+P39)</f>
        <v>375.32184591008121</v>
      </c>
      <c r="F40" s="2424">
        <f t="shared" si="191"/>
        <v>218.03766105054513</v>
      </c>
      <c r="G40" s="4006"/>
      <c r="H40" s="2449">
        <v>3</v>
      </c>
      <c r="I40" s="2449">
        <v>0.09</v>
      </c>
      <c r="J40" s="2449">
        <v>0.28999999999999998</v>
      </c>
      <c r="K40" s="2449">
        <v>-0.01</v>
      </c>
      <c r="L40" s="2450">
        <v>0.57999999999999996</v>
      </c>
      <c r="N40" s="2426">
        <f t="shared" si="182"/>
        <v>8.9999999999999998E-4</v>
      </c>
      <c r="O40" s="2411">
        <f t="shared" si="182"/>
        <v>2.8999999999999998E-3</v>
      </c>
      <c r="P40" s="2411">
        <f t="shared" si="182"/>
        <v>-1E-4</v>
      </c>
      <c r="Q40" s="2411">
        <f t="shared" si="182"/>
        <v>5.7999999999999996E-3</v>
      </c>
      <c r="R40" s="2427"/>
      <c r="S40" s="2426"/>
      <c r="T40" s="2411"/>
      <c r="U40" s="2411"/>
      <c r="V40" s="2411"/>
    </row>
    <row r="41" spans="1:34">
      <c r="A41" s="2423" t="s">
        <v>1136</v>
      </c>
      <c r="B41" s="2424">
        <f>B40/(1+N40)</f>
        <v>275.24529281292263</v>
      </c>
      <c r="C41" s="2424">
        <f>C40/(1+O40)</f>
        <v>231.74747938962707</v>
      </c>
      <c r="D41" s="2424">
        <f t="shared" si="180"/>
        <v>231.74747938962707</v>
      </c>
      <c r="E41" s="2424">
        <f t="shared" si="191"/>
        <v>375.35938184826603</v>
      </c>
      <c r="F41" s="2424">
        <f t="shared" si="191"/>
        <v>216.78033510692495</v>
      </c>
      <c r="G41" s="4006"/>
      <c r="H41" s="2436">
        <v>2</v>
      </c>
      <c r="I41" s="2436">
        <v>0.02</v>
      </c>
      <c r="J41" s="2436">
        <v>0.12</v>
      </c>
      <c r="K41" s="2436">
        <v>-0.08</v>
      </c>
      <c r="L41" s="2437">
        <v>1.24</v>
      </c>
      <c r="N41" s="2426">
        <f t="shared" si="182"/>
        <v>2.0000000000000001E-4</v>
      </c>
      <c r="O41" s="2411">
        <f t="shared" si="182"/>
        <v>1.1999999999999999E-3</v>
      </c>
      <c r="P41" s="2411">
        <f t="shared" si="182"/>
        <v>-8.0000000000000004E-4</v>
      </c>
      <c r="Q41" s="2411">
        <f t="shared" si="182"/>
        <v>1.24E-2</v>
      </c>
      <c r="R41" s="2427"/>
      <c r="S41" s="2426"/>
      <c r="T41" s="2411"/>
      <c r="U41" s="2411"/>
      <c r="V41" s="2411"/>
    </row>
    <row r="42" spans="1:34" ht="13.5" thickBot="1">
      <c r="A42" s="2423" t="s">
        <v>1137</v>
      </c>
      <c r="B42" s="2424">
        <f>B41/(1+N41)</f>
        <v>275.19025476197027</v>
      </c>
      <c r="C42" s="2475">
        <v>232</v>
      </c>
      <c r="D42" s="2475">
        <f t="shared" si="180"/>
        <v>232</v>
      </c>
      <c r="E42" s="2424">
        <f t="shared" si="191"/>
        <v>375.65990977608692</v>
      </c>
      <c r="F42" s="2424">
        <f t="shared" si="191"/>
        <v>214.12518283971252</v>
      </c>
      <c r="G42" s="4007"/>
      <c r="H42" s="2425">
        <v>1</v>
      </c>
      <c r="I42" s="2425">
        <v>0.02</v>
      </c>
      <c r="J42" s="2425">
        <v>0.13</v>
      </c>
      <c r="K42" s="2425">
        <v>-0.04</v>
      </c>
      <c r="L42" s="2431">
        <v>0.46</v>
      </c>
      <c r="N42" s="2426">
        <f t="shared" si="182"/>
        <v>2.0000000000000001E-4</v>
      </c>
      <c r="O42" s="2411">
        <f t="shared" si="182"/>
        <v>1.2999999999999999E-3</v>
      </c>
      <c r="P42" s="2411">
        <f t="shared" si="182"/>
        <v>-4.0000000000000002E-4</v>
      </c>
      <c r="Q42" s="2411">
        <f t="shared" si="182"/>
        <v>4.5999999999999999E-3</v>
      </c>
      <c r="R42" s="2427"/>
      <c r="S42" s="2442">
        <f>B42/B43-1</f>
        <v>6.9183549807361189E-4</v>
      </c>
      <c r="T42" s="2443">
        <f>C42/C43-1</f>
        <v>0</v>
      </c>
      <c r="U42" s="2443">
        <f>E42/E43-1</f>
        <v>-9.0449527636460303E-4</v>
      </c>
      <c r="V42" s="2443">
        <f>F42/F43-1</f>
        <v>5.2825485432512753E-3</v>
      </c>
      <c r="X42" s="2411"/>
      <c r="Y42" s="2411"/>
      <c r="Z42" s="2411"/>
    </row>
    <row r="43" spans="1:34" ht="13.5" thickBot="1">
      <c r="A43" s="2423" t="s">
        <v>1138</v>
      </c>
      <c r="B43" s="2438">
        <v>275</v>
      </c>
      <c r="C43" s="2438">
        <v>232</v>
      </c>
      <c r="D43" s="2438">
        <f t="shared" si="180"/>
        <v>232</v>
      </c>
      <c r="E43" s="2438">
        <v>376</v>
      </c>
      <c r="F43" s="2439">
        <v>213</v>
      </c>
      <c r="G43" s="4005">
        <v>2011</v>
      </c>
      <c r="H43" s="2444">
        <v>4</v>
      </c>
      <c r="I43" s="2444">
        <v>-0.2</v>
      </c>
      <c r="J43" s="2444">
        <v>0.04</v>
      </c>
      <c r="K43" s="2444">
        <v>-0.34</v>
      </c>
      <c r="L43" s="2445">
        <v>0.46</v>
      </c>
      <c r="N43" s="2446">
        <f t="shared" si="182"/>
        <v>-2E-3</v>
      </c>
      <c r="O43" s="2447">
        <f t="shared" si="182"/>
        <v>4.0000000000000002E-4</v>
      </c>
      <c r="P43" s="2447">
        <f t="shared" si="182"/>
        <v>-3.4000000000000002E-3</v>
      </c>
      <c r="Q43" s="2447">
        <f t="shared" si="182"/>
        <v>4.5999999999999999E-3</v>
      </c>
      <c r="R43" s="2427"/>
      <c r="S43" s="2440"/>
      <c r="T43" s="2441"/>
      <c r="U43" s="2441"/>
      <c r="V43" s="2441"/>
      <c r="X43" s="2441"/>
      <c r="Y43" s="2441"/>
      <c r="Z43" s="2441"/>
    </row>
    <row r="44" spans="1:34">
      <c r="A44" s="2423" t="s">
        <v>1139</v>
      </c>
      <c r="B44" s="2424">
        <f t="shared" ref="B44:C46" si="192">B43/(1+N43)</f>
        <v>275.55110220440883</v>
      </c>
      <c r="C44" s="2424">
        <f t="shared" si="192"/>
        <v>231.90723710515795</v>
      </c>
      <c r="D44" s="2424">
        <f t="shared" si="180"/>
        <v>231.90723710515795</v>
      </c>
      <c r="E44" s="2424">
        <f t="shared" ref="E44:F46" si="193">E43/(1+P43)</f>
        <v>377.28276138872161</v>
      </c>
      <c r="F44" s="2424">
        <f t="shared" si="193"/>
        <v>212.02468644236512</v>
      </c>
      <c r="G44" s="4006">
        <v>2011</v>
      </c>
      <c r="H44" s="2449">
        <v>3</v>
      </c>
      <c r="I44" s="2449">
        <v>0.13</v>
      </c>
      <c r="J44" s="2449">
        <v>0.75</v>
      </c>
      <c r="K44" s="2449">
        <v>-0.08</v>
      </c>
      <c r="L44" s="2450">
        <v>0.53</v>
      </c>
      <c r="N44" s="2426">
        <f t="shared" si="182"/>
        <v>1.2999999999999999E-3</v>
      </c>
      <c r="O44" s="2451">
        <f t="shared" si="182"/>
        <v>7.4999999999999997E-3</v>
      </c>
      <c r="P44" s="2451">
        <f t="shared" si="182"/>
        <v>-8.0000000000000004E-4</v>
      </c>
      <c r="Q44" s="2451">
        <f t="shared" si="182"/>
        <v>5.3E-3</v>
      </c>
      <c r="R44" s="2427"/>
      <c r="S44" s="2426"/>
      <c r="T44" s="2411"/>
      <c r="U44" s="2411"/>
      <c r="V44" s="2411"/>
    </row>
    <row r="45" spans="1:34">
      <c r="A45" s="2423" t="s">
        <v>1140</v>
      </c>
      <c r="B45" s="2424">
        <f t="shared" si="192"/>
        <v>275.19335084830601</v>
      </c>
      <c r="C45" s="2424">
        <f t="shared" si="192"/>
        <v>230.18088050139744</v>
      </c>
      <c r="D45" s="2424">
        <f t="shared" si="180"/>
        <v>230.18088050139744</v>
      </c>
      <c r="E45" s="2424">
        <f t="shared" si="193"/>
        <v>377.58482925212331</v>
      </c>
      <c r="F45" s="2424">
        <f t="shared" si="193"/>
        <v>210.90687997847917</v>
      </c>
      <c r="G45" s="4006">
        <v>2011</v>
      </c>
      <c r="H45" s="2436">
        <v>2</v>
      </c>
      <c r="I45" s="2436">
        <v>-0.4</v>
      </c>
      <c r="J45" s="2436">
        <v>0.17</v>
      </c>
      <c r="K45" s="2436">
        <v>-0.57999999999999996</v>
      </c>
      <c r="L45" s="2437">
        <v>-0.2</v>
      </c>
      <c r="N45" s="2426">
        <f t="shared" si="182"/>
        <v>-4.0000000000000001E-3</v>
      </c>
      <c r="O45" s="2451">
        <f t="shared" si="182"/>
        <v>1.7000000000000001E-3</v>
      </c>
      <c r="P45" s="2451">
        <f t="shared" si="182"/>
        <v>-5.7999999999999996E-3</v>
      </c>
      <c r="Q45" s="2451">
        <f t="shared" si="182"/>
        <v>-2E-3</v>
      </c>
      <c r="R45" s="2427"/>
      <c r="S45" s="2426"/>
      <c r="T45" s="2411"/>
      <c r="U45" s="2411"/>
      <c r="V45" s="2411"/>
    </row>
    <row r="46" spans="1:34" ht="13.5" thickBot="1">
      <c r="A46" s="2423" t="s">
        <v>1141</v>
      </c>
      <c r="B46" s="2424">
        <f t="shared" si="192"/>
        <v>276.29854502841971</v>
      </c>
      <c r="C46" s="2424">
        <f t="shared" si="192"/>
        <v>229.79023709833027</v>
      </c>
      <c r="D46" s="2424">
        <f t="shared" si="180"/>
        <v>229.79023709833027</v>
      </c>
      <c r="E46" s="2424">
        <f t="shared" si="193"/>
        <v>379.78759731655936</v>
      </c>
      <c r="F46" s="2424">
        <f t="shared" si="193"/>
        <v>211.32953905659235</v>
      </c>
      <c r="G46" s="4007">
        <v>2011</v>
      </c>
      <c r="H46" s="2425">
        <v>1</v>
      </c>
      <c r="I46" s="2425">
        <v>2.65</v>
      </c>
      <c r="J46" s="2425">
        <v>3.76</v>
      </c>
      <c r="K46" s="2425">
        <v>1.89</v>
      </c>
      <c r="L46" s="2431">
        <v>7.95</v>
      </c>
      <c r="N46" s="2442">
        <f t="shared" si="182"/>
        <v>2.6499999999999999E-2</v>
      </c>
      <c r="O46" s="2443">
        <f t="shared" si="182"/>
        <v>3.7599999999999995E-2</v>
      </c>
      <c r="P46" s="2443">
        <f t="shared" si="182"/>
        <v>1.89E-2</v>
      </c>
      <c r="Q46" s="2443">
        <f t="shared" si="182"/>
        <v>7.9500000000000001E-2</v>
      </c>
      <c r="R46" s="2427"/>
      <c r="S46" s="2442">
        <f>B46/B47-1</f>
        <v>2.713213765211786E-2</v>
      </c>
      <c r="T46" s="2443">
        <f>C46/C47-1</f>
        <v>3.9774828499231862E-2</v>
      </c>
      <c r="U46" s="2443">
        <f>E46/E47-1</f>
        <v>1.8197311840641772E-2</v>
      </c>
      <c r="V46" s="2443">
        <f>F46/F47-1</f>
        <v>7.8211933962205826E-2</v>
      </c>
      <c r="X46" s="2411"/>
      <c r="Y46" s="2411"/>
      <c r="Z46" s="2411"/>
    </row>
    <row r="47" spans="1:34" ht="13.5" thickBot="1">
      <c r="A47" s="2423" t="s">
        <v>1142</v>
      </c>
      <c r="B47" s="2438">
        <v>269</v>
      </c>
      <c r="C47" s="2438">
        <v>221</v>
      </c>
      <c r="D47" s="2438">
        <f t="shared" si="180"/>
        <v>221</v>
      </c>
      <c r="E47" s="2438">
        <v>373</v>
      </c>
      <c r="F47" s="2439">
        <v>196</v>
      </c>
      <c r="G47" s="4005">
        <v>2010</v>
      </c>
      <c r="H47" s="2444">
        <v>4</v>
      </c>
      <c r="I47" s="2444">
        <v>5.72</v>
      </c>
      <c r="J47" s="2444">
        <v>6.57</v>
      </c>
      <c r="K47" s="2444">
        <v>5.72</v>
      </c>
      <c r="L47" s="2445">
        <v>2.72</v>
      </c>
      <c r="N47" s="2426">
        <f t="shared" si="182"/>
        <v>5.7200000000000001E-2</v>
      </c>
      <c r="O47" s="2411">
        <f t="shared" si="182"/>
        <v>6.5700000000000008E-2</v>
      </c>
      <c r="P47" s="2411">
        <f t="shared" si="182"/>
        <v>5.7200000000000001E-2</v>
      </c>
      <c r="Q47" s="2411">
        <f t="shared" si="182"/>
        <v>2.7200000000000002E-2</v>
      </c>
      <c r="R47" s="2427"/>
      <c r="S47" s="2440"/>
      <c r="T47" s="2441"/>
      <c r="U47" s="2441"/>
      <c r="V47" s="2441"/>
      <c r="X47" s="2441"/>
      <c r="Y47" s="2441"/>
      <c r="Z47" s="2441"/>
    </row>
    <row r="48" spans="1:34">
      <c r="A48" s="2423" t="s">
        <v>1143</v>
      </c>
      <c r="B48" s="2424">
        <f t="shared" ref="B48:C50" si="194">B47/(1+N47)</f>
        <v>254.44570563753314</v>
      </c>
      <c r="C48" s="2424">
        <f t="shared" si="194"/>
        <v>207.37543398705074</v>
      </c>
      <c r="D48" s="2424">
        <f t="shared" si="180"/>
        <v>207.37543398705074</v>
      </c>
      <c r="E48" s="2424">
        <f t="shared" ref="E48:F50" si="195">E47/(1+P47)</f>
        <v>352.81876655315932</v>
      </c>
      <c r="F48" s="2424">
        <f t="shared" si="195"/>
        <v>190.809968847352</v>
      </c>
      <c r="G48" s="4006">
        <v>2010</v>
      </c>
      <c r="H48" s="2449">
        <v>3</v>
      </c>
      <c r="I48" s="2449">
        <v>4.7300000000000004</v>
      </c>
      <c r="J48" s="2449">
        <v>3.9</v>
      </c>
      <c r="K48" s="2449">
        <v>5.03</v>
      </c>
      <c r="L48" s="2450">
        <v>4.21</v>
      </c>
      <c r="N48" s="2426">
        <f t="shared" si="182"/>
        <v>4.7300000000000002E-2</v>
      </c>
      <c r="O48" s="2411">
        <f t="shared" si="182"/>
        <v>3.9E-2</v>
      </c>
      <c r="P48" s="2411">
        <f t="shared" si="182"/>
        <v>5.0300000000000004E-2</v>
      </c>
      <c r="Q48" s="2411">
        <f t="shared" si="182"/>
        <v>4.2099999999999999E-2</v>
      </c>
      <c r="R48" s="2427"/>
      <c r="S48" s="2426"/>
      <c r="T48" s="2411"/>
      <c r="U48" s="2411"/>
      <c r="V48" s="2411"/>
    </row>
    <row r="49" spans="1:26">
      <c r="A49" s="2423" t="s">
        <v>1144</v>
      </c>
      <c r="B49" s="2424">
        <f t="shared" si="194"/>
        <v>242.95398227588385</v>
      </c>
      <c r="C49" s="2424">
        <f t="shared" si="194"/>
        <v>199.59137053614126</v>
      </c>
      <c r="D49" s="2424">
        <f t="shared" si="180"/>
        <v>199.59137053614126</v>
      </c>
      <c r="E49" s="2424">
        <f t="shared" si="195"/>
        <v>335.92189522342125</v>
      </c>
      <c r="F49" s="2424">
        <f t="shared" si="195"/>
        <v>183.10139991109489</v>
      </c>
      <c r="G49" s="4006">
        <v>2010</v>
      </c>
      <c r="H49" s="2436">
        <v>2</v>
      </c>
      <c r="I49" s="2436">
        <v>4.6900000000000004</v>
      </c>
      <c r="J49" s="2436">
        <v>3.55</v>
      </c>
      <c r="K49" s="2436">
        <v>5.07</v>
      </c>
      <c r="L49" s="2437">
        <v>4.2300000000000004</v>
      </c>
      <c r="N49" s="2426">
        <f t="shared" si="182"/>
        <v>4.6900000000000004E-2</v>
      </c>
      <c r="O49" s="2411">
        <f t="shared" si="182"/>
        <v>3.5499999999999997E-2</v>
      </c>
      <c r="P49" s="2411">
        <f t="shared" si="182"/>
        <v>5.0700000000000002E-2</v>
      </c>
      <c r="Q49" s="2411">
        <f t="shared" si="182"/>
        <v>4.2300000000000004E-2</v>
      </c>
      <c r="R49" s="2427"/>
      <c r="S49" s="2426"/>
      <c r="T49" s="2411"/>
      <c r="U49" s="2411"/>
      <c r="V49" s="2411"/>
    </row>
    <row r="50" spans="1:26" ht="13.5" thickBot="1">
      <c r="A50" s="2423" t="s">
        <v>1145</v>
      </c>
      <c r="B50" s="2424">
        <f t="shared" si="194"/>
        <v>232.06990378821649</v>
      </c>
      <c r="C50" s="2424">
        <f t="shared" si="194"/>
        <v>192.74878854286936</v>
      </c>
      <c r="D50" s="2424">
        <f t="shared" si="180"/>
        <v>192.74878854286936</v>
      </c>
      <c r="E50" s="2424">
        <f t="shared" si="195"/>
        <v>319.71247284992984</v>
      </c>
      <c r="F50" s="2424">
        <f t="shared" si="195"/>
        <v>175.67053622862409</v>
      </c>
      <c r="G50" s="4007">
        <v>2010</v>
      </c>
      <c r="H50" s="2425">
        <v>1</v>
      </c>
      <c r="I50" s="2425">
        <v>5.4</v>
      </c>
      <c r="J50" s="2425">
        <v>3.2</v>
      </c>
      <c r="K50" s="2425">
        <v>6.16</v>
      </c>
      <c r="L50" s="2431">
        <v>4.51</v>
      </c>
      <c r="N50" s="2426">
        <f t="shared" si="182"/>
        <v>5.4000000000000006E-2</v>
      </c>
      <c r="O50" s="2411">
        <f t="shared" si="182"/>
        <v>3.2000000000000001E-2</v>
      </c>
      <c r="P50" s="2411">
        <f t="shared" si="182"/>
        <v>6.1600000000000002E-2</v>
      </c>
      <c r="Q50" s="2411">
        <f t="shared" si="182"/>
        <v>4.5100000000000001E-2</v>
      </c>
      <c r="R50" s="2427"/>
      <c r="S50" s="2442">
        <f>B50/B51-1</f>
        <v>5.4863199037347599E-2</v>
      </c>
      <c r="T50" s="2443">
        <f>C50/C51-1</f>
        <v>3.0742184721226584E-2</v>
      </c>
      <c r="U50" s="2443">
        <f>E50/E51-1</f>
        <v>6.2167683886810154E-2</v>
      </c>
      <c r="V50" s="2443">
        <f>F50/F51-1</f>
        <v>4.5657953741810031E-2</v>
      </c>
      <c r="X50" s="2411"/>
      <c r="Y50" s="2411"/>
      <c r="Z50" s="2411"/>
    </row>
    <row r="51" spans="1:26" ht="13.5" thickBot="1">
      <c r="A51" s="2423" t="s">
        <v>1146</v>
      </c>
      <c r="B51" s="2438">
        <v>220</v>
      </c>
      <c r="C51" s="2438">
        <v>187</v>
      </c>
      <c r="D51" s="2438">
        <f t="shared" si="180"/>
        <v>187</v>
      </c>
      <c r="E51" s="2438">
        <v>301</v>
      </c>
      <c r="F51" s="2439">
        <v>168</v>
      </c>
      <c r="G51" s="4005">
        <v>2009</v>
      </c>
      <c r="H51" s="2444">
        <v>4</v>
      </c>
      <c r="I51" s="2444">
        <v>2.2999999999999998</v>
      </c>
      <c r="J51" s="2444">
        <v>1.04</v>
      </c>
      <c r="K51" s="2444">
        <v>2.84</v>
      </c>
      <c r="L51" s="2445">
        <v>0.67</v>
      </c>
      <c r="N51" s="2446">
        <f t="shared" si="182"/>
        <v>2.3E-2</v>
      </c>
      <c r="O51" s="2447">
        <f t="shared" si="182"/>
        <v>1.04E-2</v>
      </c>
      <c r="P51" s="2447">
        <f t="shared" si="182"/>
        <v>2.8399999999999998E-2</v>
      </c>
      <c r="Q51" s="2447">
        <f t="shared" si="182"/>
        <v>6.7000000000000002E-3</v>
      </c>
      <c r="R51" s="2427"/>
      <c r="S51" s="2440"/>
      <c r="T51" s="2441"/>
      <c r="U51" s="2441"/>
      <c r="V51" s="2441"/>
      <c r="X51" s="2441"/>
      <c r="Y51" s="2441"/>
      <c r="Z51" s="2441"/>
    </row>
    <row r="52" spans="1:26">
      <c r="A52" s="2423" t="s">
        <v>1147</v>
      </c>
      <c r="B52" s="2424">
        <f t="shared" ref="B52:C54" si="196">B51/(1+N51)</f>
        <v>215.05376344086022</v>
      </c>
      <c r="C52" s="2424">
        <f t="shared" si="196"/>
        <v>185.0752177355503</v>
      </c>
      <c r="D52" s="2424">
        <f t="shared" si="180"/>
        <v>185.0752177355503</v>
      </c>
      <c r="E52" s="2424">
        <f t="shared" ref="E52:F54" si="197">E51/(1+P51)</f>
        <v>292.68767016725008</v>
      </c>
      <c r="F52" s="2424">
        <f t="shared" si="197"/>
        <v>166.88189132810174</v>
      </c>
      <c r="G52" s="4006">
        <v>2009</v>
      </c>
      <c r="H52" s="2449">
        <v>3</v>
      </c>
      <c r="I52" s="2449">
        <v>2.1</v>
      </c>
      <c r="J52" s="2449">
        <v>1.86</v>
      </c>
      <c r="K52" s="2449">
        <v>2.29</v>
      </c>
      <c r="L52" s="2450">
        <v>0.85</v>
      </c>
      <c r="N52" s="2426">
        <f t="shared" si="182"/>
        <v>2.1000000000000001E-2</v>
      </c>
      <c r="O52" s="2451">
        <f t="shared" si="182"/>
        <v>1.8600000000000002E-2</v>
      </c>
      <c r="P52" s="2451">
        <f t="shared" si="182"/>
        <v>2.29E-2</v>
      </c>
      <c r="Q52" s="2451">
        <f t="shared" si="182"/>
        <v>8.5000000000000006E-3</v>
      </c>
      <c r="R52" s="2427"/>
      <c r="S52" s="2426"/>
      <c r="T52" s="2411"/>
      <c r="U52" s="2411"/>
      <c r="V52" s="2411"/>
    </row>
    <row r="53" spans="1:26">
      <c r="A53" s="2423" t="s">
        <v>1148</v>
      </c>
      <c r="B53" s="2424">
        <f t="shared" si="196"/>
        <v>210.630522469011</v>
      </c>
      <c r="C53" s="2424">
        <f t="shared" si="196"/>
        <v>181.69567812247232</v>
      </c>
      <c r="D53" s="2424">
        <f t="shared" si="180"/>
        <v>181.69567812247232</v>
      </c>
      <c r="E53" s="2424">
        <f t="shared" si="197"/>
        <v>286.13517466736738</v>
      </c>
      <c r="F53" s="2424">
        <f t="shared" si="197"/>
        <v>165.47535084591149</v>
      </c>
      <c r="G53" s="4006">
        <v>2009</v>
      </c>
      <c r="H53" s="2436">
        <v>2</v>
      </c>
      <c r="I53" s="2436">
        <v>0.86</v>
      </c>
      <c r="J53" s="2436">
        <v>-1.1299999999999999</v>
      </c>
      <c r="K53" s="2436">
        <v>1.79</v>
      </c>
      <c r="L53" s="2437">
        <v>-2.0699999999999998</v>
      </c>
      <c r="N53" s="2426">
        <f t="shared" si="182"/>
        <v>8.6E-3</v>
      </c>
      <c r="O53" s="2451">
        <f t="shared" si="182"/>
        <v>-1.1299999999999999E-2</v>
      </c>
      <c r="P53" s="2451">
        <f t="shared" si="182"/>
        <v>1.7899999999999999E-2</v>
      </c>
      <c r="Q53" s="2451">
        <f t="shared" si="182"/>
        <v>-2.07E-2</v>
      </c>
      <c r="R53" s="2427"/>
      <c r="S53" s="2426"/>
      <c r="T53" s="2411"/>
      <c r="U53" s="2411"/>
      <c r="V53" s="2411"/>
    </row>
    <row r="54" spans="1:26">
      <c r="A54" s="2423" t="s">
        <v>1149</v>
      </c>
      <c r="B54" s="2424">
        <f t="shared" si="196"/>
        <v>208.83454537875372</v>
      </c>
      <c r="C54" s="2424">
        <f t="shared" si="196"/>
        <v>183.77230517090351</v>
      </c>
      <c r="D54" s="2424">
        <f t="shared" si="180"/>
        <v>183.77230517090351</v>
      </c>
      <c r="E54" s="2424">
        <f t="shared" si="197"/>
        <v>281.10342338870947</v>
      </c>
      <c r="F54" s="2424">
        <f t="shared" si="197"/>
        <v>168.97309388942256</v>
      </c>
      <c r="G54" s="4007">
        <v>2009</v>
      </c>
      <c r="H54" s="2425">
        <v>1</v>
      </c>
      <c r="I54" s="2425">
        <v>-2.64</v>
      </c>
      <c r="J54" s="2425">
        <v>-2.5299999999999998</v>
      </c>
      <c r="K54" s="2425">
        <v>-3.02</v>
      </c>
      <c r="L54" s="2431">
        <v>1.52</v>
      </c>
      <c r="N54" s="2442">
        <f t="shared" si="182"/>
        <v>-2.64E-2</v>
      </c>
      <c r="O54" s="2443">
        <f t="shared" si="182"/>
        <v>-2.53E-2</v>
      </c>
      <c r="P54" s="2443">
        <f t="shared" si="182"/>
        <v>-3.0200000000000001E-2</v>
      </c>
      <c r="Q54" s="2443">
        <f t="shared" si="182"/>
        <v>1.52E-2</v>
      </c>
      <c r="R54" s="2427"/>
      <c r="S54" s="2442">
        <f>B54/B55-1</f>
        <v>-2.4137638417038754E-2</v>
      </c>
      <c r="T54" s="2443">
        <f>C54/C55-1</f>
        <v>-2.248773845264096E-2</v>
      </c>
      <c r="U54" s="2443">
        <f>E54/E55-1</f>
        <v>-2.7323794502735366E-2</v>
      </c>
      <c r="V54" s="2443">
        <f>F54/F55-1</f>
        <v>1.7910204153148035E-2</v>
      </c>
      <c r="X54" s="2411"/>
      <c r="Y54" s="2411"/>
      <c r="Z54" s="2411"/>
    </row>
    <row r="55" spans="1:26" ht="13.5" thickBot="1">
      <c r="A55" s="2423" t="s">
        <v>1150</v>
      </c>
      <c r="B55" s="2473">
        <v>214</v>
      </c>
      <c r="C55" s="2473">
        <v>188</v>
      </c>
      <c r="D55" s="2473">
        <f t="shared" si="180"/>
        <v>188</v>
      </c>
      <c r="E55" s="2473">
        <v>289</v>
      </c>
      <c r="F55" s="2474">
        <v>166</v>
      </c>
      <c r="G55" s="4005">
        <v>2008</v>
      </c>
      <c r="H55" s="2444">
        <v>4</v>
      </c>
      <c r="I55" s="2444">
        <v>1.73</v>
      </c>
      <c r="J55" s="2444">
        <v>0.03</v>
      </c>
      <c r="K55" s="2444">
        <v>2.59</v>
      </c>
      <c r="L55" s="2445">
        <v>-1.66</v>
      </c>
      <c r="N55" s="2426">
        <f t="shared" si="182"/>
        <v>1.7299999999999999E-2</v>
      </c>
      <c r="O55" s="2411">
        <f t="shared" si="182"/>
        <v>2.9999999999999997E-4</v>
      </c>
      <c r="P55" s="2411">
        <f t="shared" si="182"/>
        <v>2.5899999999999999E-2</v>
      </c>
      <c r="Q55" s="2411">
        <f t="shared" si="182"/>
        <v>-1.66E-2</v>
      </c>
      <c r="R55" s="2427"/>
      <c r="S55" s="2440"/>
      <c r="T55" s="2441"/>
      <c r="U55" s="2441"/>
      <c r="V55" s="2441"/>
      <c r="X55" s="2441"/>
      <c r="Y55" s="2441"/>
      <c r="Z55" s="2441"/>
    </row>
    <row r="56" spans="1:26">
      <c r="A56" s="2423" t="s">
        <v>1151</v>
      </c>
      <c r="B56" s="2424">
        <f t="shared" ref="B56:C58" si="198">B55/(1+N55)</f>
        <v>210.36075887152265</v>
      </c>
      <c r="C56" s="2424">
        <f t="shared" si="198"/>
        <v>187.94361691492554</v>
      </c>
      <c r="D56" s="2424">
        <f t="shared" si="180"/>
        <v>187.94361691492554</v>
      </c>
      <c r="E56" s="2424">
        <f t="shared" ref="E56:F58" si="199">E55/(1+P55)</f>
        <v>281.70386977288234</v>
      </c>
      <c r="F56" s="2424">
        <f t="shared" si="199"/>
        <v>168.80211511083994</v>
      </c>
      <c r="G56" s="4006">
        <v>2008</v>
      </c>
      <c r="H56" s="2449">
        <v>3</v>
      </c>
      <c r="I56" s="2449">
        <v>1.96</v>
      </c>
      <c r="J56" s="2449">
        <v>2.36</v>
      </c>
      <c r="K56" s="2449">
        <v>1.82</v>
      </c>
      <c r="L56" s="2450">
        <v>2.2200000000000002</v>
      </c>
      <c r="N56" s="2426">
        <f t="shared" si="182"/>
        <v>1.9599999999999999E-2</v>
      </c>
      <c r="O56" s="2411">
        <f t="shared" si="182"/>
        <v>2.3599999999999999E-2</v>
      </c>
      <c r="P56" s="2411">
        <f t="shared" si="182"/>
        <v>1.8200000000000001E-2</v>
      </c>
      <c r="Q56" s="2411">
        <f t="shared" si="182"/>
        <v>2.2200000000000001E-2</v>
      </c>
      <c r="R56" s="2427"/>
      <c r="S56" s="2426"/>
      <c r="T56" s="2411"/>
      <c r="U56" s="2411"/>
      <c r="V56" s="2411"/>
    </row>
    <row r="57" spans="1:26">
      <c r="A57" s="2423" t="s">
        <v>1152</v>
      </c>
      <c r="B57" s="2424">
        <f t="shared" si="198"/>
        <v>206.31694671589116</v>
      </c>
      <c r="C57" s="2424">
        <f t="shared" si="198"/>
        <v>183.61041121036101</v>
      </c>
      <c r="D57" s="2424">
        <f t="shared" si="180"/>
        <v>183.61041121036101</v>
      </c>
      <c r="E57" s="2424">
        <f t="shared" si="199"/>
        <v>276.66850301795557</v>
      </c>
      <c r="F57" s="2424">
        <f t="shared" si="199"/>
        <v>165.1360938278614</v>
      </c>
      <c r="G57" s="4006">
        <v>2008</v>
      </c>
      <c r="H57" s="2436">
        <v>2</v>
      </c>
      <c r="I57" s="2436">
        <v>4.93</v>
      </c>
      <c r="J57" s="2436">
        <v>7.38</v>
      </c>
      <c r="K57" s="2436">
        <v>3.98</v>
      </c>
      <c r="L57" s="2437">
        <v>6.86</v>
      </c>
      <c r="N57" s="2426">
        <f t="shared" si="182"/>
        <v>4.9299999999999997E-2</v>
      </c>
      <c r="O57" s="2411">
        <f t="shared" si="182"/>
        <v>7.3800000000000004E-2</v>
      </c>
      <c r="P57" s="2411">
        <f t="shared" si="182"/>
        <v>3.9800000000000002E-2</v>
      </c>
      <c r="Q57" s="2411">
        <f t="shared" si="182"/>
        <v>6.8600000000000008E-2</v>
      </c>
      <c r="R57" s="2427"/>
      <c r="S57" s="2426"/>
      <c r="T57" s="2411"/>
      <c r="U57" s="2411"/>
      <c r="V57" s="2411"/>
    </row>
    <row r="58" spans="1:26" s="2479" customFormat="1" ht="13.5" thickBot="1">
      <c r="A58" s="2423" t="s">
        <v>1153</v>
      </c>
      <c r="B58" s="2476">
        <f t="shared" si="198"/>
        <v>196.62341248059772</v>
      </c>
      <c r="C58" s="2476">
        <f t="shared" si="198"/>
        <v>170.99125648199012</v>
      </c>
      <c r="D58" s="2476">
        <f t="shared" si="180"/>
        <v>170.99125648199012</v>
      </c>
      <c r="E58" s="2476">
        <f t="shared" si="199"/>
        <v>266.07857570490052</v>
      </c>
      <c r="F58" s="2476">
        <f t="shared" si="199"/>
        <v>154.53499328828505</v>
      </c>
      <c r="G58" s="4007">
        <v>2008</v>
      </c>
      <c r="H58" s="2477">
        <v>1</v>
      </c>
      <c r="I58" s="2477">
        <v>4.1399999999999997</v>
      </c>
      <c r="J58" s="2477">
        <v>3.45</v>
      </c>
      <c r="K58" s="2477">
        <v>4.95</v>
      </c>
      <c r="L58" s="2478">
        <v>4.82</v>
      </c>
      <c r="N58" s="2480">
        <f t="shared" si="182"/>
        <v>4.1399999999999999E-2</v>
      </c>
      <c r="O58" s="2481">
        <f t="shared" si="182"/>
        <v>3.4500000000000003E-2</v>
      </c>
      <c r="P58" s="2481">
        <f t="shared" si="182"/>
        <v>4.9500000000000002E-2</v>
      </c>
      <c r="Q58" s="2481">
        <f t="shared" si="182"/>
        <v>4.82E-2</v>
      </c>
      <c r="R58" s="2482"/>
      <c r="S58" s="2480">
        <f>B58/B59-1</f>
        <v>4.5869215322328349E-2</v>
      </c>
      <c r="T58" s="2481">
        <f>C58/C59-1</f>
        <v>3.6310645345394743E-2</v>
      </c>
      <c r="U58" s="2481">
        <f>E58/E59-1</f>
        <v>4.7553447657088688E-2</v>
      </c>
      <c r="V58" s="2481">
        <f>F58/F59-1</f>
        <v>4.4155360055980086E-2</v>
      </c>
      <c r="X58" s="2481"/>
      <c r="Y58" s="2481"/>
      <c r="Z58" s="2481"/>
    </row>
    <row r="59" spans="1:26" ht="13.5" thickBot="1">
      <c r="A59" s="2423" t="s">
        <v>1154</v>
      </c>
      <c r="B59" s="2438">
        <v>188</v>
      </c>
      <c r="C59" s="2438">
        <v>165</v>
      </c>
      <c r="D59" s="2438">
        <f t="shared" si="180"/>
        <v>165</v>
      </c>
      <c r="E59" s="2438">
        <v>254</v>
      </c>
      <c r="F59" s="2439">
        <v>148</v>
      </c>
      <c r="G59" s="4005">
        <v>2007</v>
      </c>
      <c r="H59" s="2483">
        <v>4</v>
      </c>
      <c r="I59" s="2483">
        <v>5.51</v>
      </c>
      <c r="J59" s="2483">
        <v>4.8899999999999997</v>
      </c>
      <c r="K59" s="2483">
        <v>6.43</v>
      </c>
      <c r="L59" s="2484">
        <v>5.36</v>
      </c>
      <c r="N59" s="2485">
        <f t="shared" ref="N59:O62" si="200">B59/B60-1</f>
        <v>4.1339718365245526E-2</v>
      </c>
      <c r="O59" s="2486">
        <f t="shared" si="200"/>
        <v>4.0324492593776018E-2</v>
      </c>
      <c r="P59" s="2486">
        <f t="shared" ref="P59:Q62" si="201">E59/E60-1</f>
        <v>6.1625555347990968E-2</v>
      </c>
      <c r="Q59" s="2486">
        <f t="shared" si="201"/>
        <v>4.6757569250590603E-2</v>
      </c>
      <c r="R59" s="2427"/>
      <c r="S59" s="2440"/>
      <c r="T59" s="2441"/>
      <c r="U59" s="2441"/>
      <c r="V59" s="2441"/>
      <c r="X59" s="2441"/>
      <c r="Y59" s="2441"/>
      <c r="Z59" s="2441"/>
    </row>
    <row r="60" spans="1:26">
      <c r="A60" s="2423" t="s">
        <v>1155</v>
      </c>
      <c r="B60" s="2424">
        <f t="shared" ref="B60:C62" si="202">B61+(B$59-B$63)*I60/SUM(I$59:I$62)</f>
        <v>180.5366651097618</v>
      </c>
      <c r="C60" s="2424">
        <f t="shared" si="202"/>
        <v>158.60435967302453</v>
      </c>
      <c r="D60" s="2424">
        <f t="shared" si="180"/>
        <v>158.60435967302453</v>
      </c>
      <c r="E60" s="2424">
        <f t="shared" ref="E60:F62" si="203">E61+(E$59-E$63)*K60/SUM(K$59:K$62)</f>
        <v>239.25573260785075</v>
      </c>
      <c r="F60" s="2424">
        <f t="shared" si="203"/>
        <v>141.38899430740037</v>
      </c>
      <c r="G60" s="4006">
        <v>2007</v>
      </c>
      <c r="H60" s="2449">
        <v>3</v>
      </c>
      <c r="I60" s="2449">
        <v>8.65</v>
      </c>
      <c r="J60" s="2449">
        <v>8.06</v>
      </c>
      <c r="K60" s="2449">
        <v>9.94</v>
      </c>
      <c r="L60" s="2450">
        <v>5.8</v>
      </c>
      <c r="N60" s="2485">
        <f t="shared" si="200"/>
        <v>6.940217571740015E-2</v>
      </c>
      <c r="O60" s="2486">
        <f t="shared" si="200"/>
        <v>7.1197482471153428E-2</v>
      </c>
      <c r="P60" s="2486">
        <f t="shared" si="201"/>
        <v>0.10529679922579582</v>
      </c>
      <c r="Q60" s="2486">
        <f t="shared" si="201"/>
        <v>5.3292245059512133E-2</v>
      </c>
      <c r="R60" s="2427"/>
      <c r="S60" s="2426"/>
      <c r="T60" s="2411"/>
      <c r="U60" s="2411"/>
      <c r="V60" s="2411"/>
      <c r="X60" s="2487"/>
      <c r="Y60" s="2487"/>
      <c r="Z60" s="2487"/>
    </row>
    <row r="61" spans="1:26">
      <c r="A61" s="2423" t="s">
        <v>1156</v>
      </c>
      <c r="B61" s="2424">
        <f t="shared" si="202"/>
        <v>168.82017748715555</v>
      </c>
      <c r="C61" s="2424">
        <f t="shared" si="202"/>
        <v>148.06267029972753</v>
      </c>
      <c r="D61" s="2424">
        <f t="shared" si="180"/>
        <v>148.06267029972753</v>
      </c>
      <c r="E61" s="2424">
        <f t="shared" si="203"/>
        <v>216.46288379323747</v>
      </c>
      <c r="F61" s="2424">
        <f t="shared" si="203"/>
        <v>134.23529411764704</v>
      </c>
      <c r="G61" s="4006">
        <v>2007</v>
      </c>
      <c r="H61" s="2436">
        <v>2</v>
      </c>
      <c r="I61" s="2436">
        <v>3.67</v>
      </c>
      <c r="J61" s="2436">
        <v>2.3199999999999998</v>
      </c>
      <c r="K61" s="2436">
        <v>5.0199999999999996</v>
      </c>
      <c r="L61" s="2437">
        <v>6.71</v>
      </c>
      <c r="N61" s="2485">
        <f t="shared" si="200"/>
        <v>3.0339138143848032E-2</v>
      </c>
      <c r="O61" s="2486">
        <f t="shared" si="200"/>
        <v>2.0922341588790472E-2</v>
      </c>
      <c r="P61" s="2486">
        <f t="shared" si="201"/>
        <v>5.6164796592717003E-2</v>
      </c>
      <c r="Q61" s="2486">
        <f t="shared" si="201"/>
        <v>6.5704536723887319E-2</v>
      </c>
      <c r="R61" s="2427"/>
      <c r="S61" s="2426"/>
      <c r="T61" s="2411"/>
      <c r="U61" s="2411"/>
      <c r="V61" s="2411"/>
      <c r="X61" s="2487"/>
      <c r="Y61" s="2487"/>
      <c r="Z61" s="2487"/>
    </row>
    <row r="62" spans="1:26">
      <c r="A62" s="2423" t="s">
        <v>1157</v>
      </c>
      <c r="B62" s="2424">
        <f t="shared" si="202"/>
        <v>163.84913591779542</v>
      </c>
      <c r="C62" s="2424">
        <f t="shared" si="202"/>
        <v>145.0283378746594</v>
      </c>
      <c r="D62" s="2424">
        <f t="shared" si="180"/>
        <v>145.0283378746594</v>
      </c>
      <c r="E62" s="2424">
        <f t="shared" si="203"/>
        <v>204.95180722891567</v>
      </c>
      <c r="F62" s="2424">
        <f t="shared" si="203"/>
        <v>125.95920303605313</v>
      </c>
      <c r="G62" s="4007">
        <v>2007</v>
      </c>
      <c r="H62" s="2425">
        <v>1</v>
      </c>
      <c r="I62" s="2425">
        <v>3.58</v>
      </c>
      <c r="J62" s="2425">
        <v>3.08</v>
      </c>
      <c r="K62" s="2425">
        <v>4.34</v>
      </c>
      <c r="L62" s="2431">
        <v>3.21</v>
      </c>
      <c r="N62" s="2488">
        <f t="shared" si="200"/>
        <v>3.0497710174814063E-2</v>
      </c>
      <c r="O62" s="2489">
        <f t="shared" si="200"/>
        <v>2.8569772160704998E-2</v>
      </c>
      <c r="P62" s="2489">
        <f t="shared" si="201"/>
        <v>5.1034908866234296E-2</v>
      </c>
      <c r="Q62" s="2489">
        <f t="shared" si="201"/>
        <v>3.245248390207478E-2</v>
      </c>
      <c r="R62" s="2427"/>
      <c r="S62" s="2442">
        <f>B62/B63-1</f>
        <v>3.0497710174814063E-2</v>
      </c>
      <c r="T62" s="2443">
        <f>C62/C63-1</f>
        <v>2.8569772160704998E-2</v>
      </c>
      <c r="U62" s="2443">
        <f>E62/E63-1</f>
        <v>5.1034908866234296E-2</v>
      </c>
      <c r="V62" s="2443">
        <f>F62/F63-1</f>
        <v>3.245248390207478E-2</v>
      </c>
      <c r="X62" s="2487"/>
      <c r="Y62" s="2487"/>
      <c r="Z62" s="2487"/>
    </row>
    <row r="63" spans="1:26" ht="13.5" thickBot="1">
      <c r="A63" s="2423" t="s">
        <v>1158</v>
      </c>
      <c r="B63" s="2452">
        <v>159</v>
      </c>
      <c r="C63" s="2452">
        <v>141</v>
      </c>
      <c r="D63" s="2452">
        <f t="shared" si="180"/>
        <v>141</v>
      </c>
      <c r="E63" s="2452">
        <v>195</v>
      </c>
      <c r="F63" s="2453">
        <v>122</v>
      </c>
      <c r="G63" s="4005">
        <v>2006</v>
      </c>
      <c r="H63" s="2444">
        <v>4</v>
      </c>
      <c r="I63" s="2444">
        <v>3.79</v>
      </c>
      <c r="J63" s="2444">
        <v>2.21</v>
      </c>
      <c r="K63" s="2444">
        <v>5.65</v>
      </c>
      <c r="L63" s="2445">
        <v>5.41</v>
      </c>
      <c r="N63" s="2485">
        <f t="shared" ref="N63:O66" si="204">I63/SUM(I$63:I$66)*(B$63/B$67-1)</f>
        <v>7.245466462748526E-2</v>
      </c>
      <c r="O63" s="2486">
        <f t="shared" si="204"/>
        <v>2.3237230038062766E-2</v>
      </c>
      <c r="P63" s="2486">
        <f t="shared" ref="P63:Q66" si="205">K63/SUM(K$63:K$66)*(E$63/E$67-1)</f>
        <v>0.16146893866323722</v>
      </c>
      <c r="Q63" s="2486">
        <f t="shared" si="205"/>
        <v>5.0755230321793784E-2</v>
      </c>
      <c r="R63" s="2427"/>
      <c r="S63" s="2440"/>
      <c r="T63" s="2441"/>
      <c r="U63" s="2441"/>
      <c r="V63" s="2441"/>
      <c r="X63" s="2487"/>
      <c r="Y63" s="2487"/>
      <c r="Z63" s="2487"/>
    </row>
    <row r="64" spans="1:26">
      <c r="A64" s="2423" t="s">
        <v>1159</v>
      </c>
      <c r="B64" s="2424">
        <f t="shared" ref="B64:C66" si="206">B65+(B$63-B$67)*I64/SUM(I$63:I$66)</f>
        <v>149.00125628140702</v>
      </c>
      <c r="C64" s="2424">
        <f t="shared" si="206"/>
        <v>137.95592286501378</v>
      </c>
      <c r="D64" s="2424">
        <f t="shared" si="180"/>
        <v>137.95592286501378</v>
      </c>
      <c r="E64" s="2424">
        <f t="shared" ref="E64:F66" si="207">E65+(E$63-E$67)*K64/SUM(K$63:K$66)</f>
        <v>169.97231450719823</v>
      </c>
      <c r="F64" s="2424">
        <f t="shared" si="207"/>
        <v>116.21390374331551</v>
      </c>
      <c r="G64" s="4006">
        <v>2006</v>
      </c>
      <c r="H64" s="2449">
        <v>3</v>
      </c>
      <c r="I64" s="2449">
        <v>0.92</v>
      </c>
      <c r="J64" s="2449">
        <v>1.08</v>
      </c>
      <c r="K64" s="2449">
        <v>0.73</v>
      </c>
      <c r="L64" s="2450">
        <v>1.08</v>
      </c>
      <c r="N64" s="2485">
        <f t="shared" si="204"/>
        <v>1.7587939698492462E-2</v>
      </c>
      <c r="O64" s="2486">
        <f t="shared" si="204"/>
        <v>1.1355750425840628E-2</v>
      </c>
      <c r="P64" s="2486">
        <f t="shared" si="205"/>
        <v>2.0862358446754544E-2</v>
      </c>
      <c r="Q64" s="2486">
        <f t="shared" si="205"/>
        <v>1.0132282578103011E-2</v>
      </c>
      <c r="R64" s="2427"/>
      <c r="S64" s="2426"/>
      <c r="T64" s="2411"/>
      <c r="U64" s="2411"/>
      <c r="V64" s="2411"/>
      <c r="X64" s="2487"/>
      <c r="Y64" s="2487"/>
      <c r="Z64" s="2487"/>
    </row>
    <row r="65" spans="1:26">
      <c r="A65" s="2423" t="s">
        <v>1160</v>
      </c>
      <c r="B65" s="2424">
        <f t="shared" si="206"/>
        <v>146.57412060301507</v>
      </c>
      <c r="C65" s="2424">
        <f t="shared" si="206"/>
        <v>136.46831955922866</v>
      </c>
      <c r="D65" s="2424">
        <f t="shared" si="180"/>
        <v>136.46831955922866</v>
      </c>
      <c r="E65" s="2424">
        <f t="shared" si="207"/>
        <v>166.73864894795128</v>
      </c>
      <c r="F65" s="2424">
        <f t="shared" si="207"/>
        <v>115.05882352941177</v>
      </c>
      <c r="G65" s="4006">
        <v>2006</v>
      </c>
      <c r="H65" s="2436">
        <v>2</v>
      </c>
      <c r="I65" s="2436">
        <v>0.96</v>
      </c>
      <c r="J65" s="2436">
        <v>0.25</v>
      </c>
      <c r="K65" s="2436">
        <v>1.9</v>
      </c>
      <c r="L65" s="2437">
        <v>0.95</v>
      </c>
      <c r="N65" s="2485">
        <f t="shared" si="204"/>
        <v>1.8352632728861701E-2</v>
      </c>
      <c r="O65" s="2486">
        <f t="shared" si="204"/>
        <v>2.6286459319075526E-3</v>
      </c>
      <c r="P65" s="2486">
        <f t="shared" si="205"/>
        <v>5.4299289107991269E-2</v>
      </c>
      <c r="Q65" s="2486">
        <f t="shared" si="205"/>
        <v>8.9126559714794995E-3</v>
      </c>
      <c r="R65" s="2427"/>
      <c r="S65" s="2426"/>
      <c r="T65" s="2411"/>
      <c r="U65" s="2411"/>
      <c r="V65" s="2411"/>
      <c r="X65" s="2487"/>
      <c r="Y65" s="2487"/>
      <c r="Z65" s="2487"/>
    </row>
    <row r="66" spans="1:26">
      <c r="A66" s="2423" t="s">
        <v>1161</v>
      </c>
      <c r="B66" s="2424">
        <f t="shared" si="206"/>
        <v>144.04145728643215</v>
      </c>
      <c r="C66" s="2424">
        <f t="shared" si="206"/>
        <v>136.12396694214877</v>
      </c>
      <c r="D66" s="2424">
        <f t="shared" si="180"/>
        <v>136.12396694214877</v>
      </c>
      <c r="E66" s="2424">
        <f t="shared" si="207"/>
        <v>158.32225913621264</v>
      </c>
      <c r="F66" s="2424">
        <f t="shared" si="207"/>
        <v>114.04278074866311</v>
      </c>
      <c r="G66" s="4007">
        <v>2006</v>
      </c>
      <c r="H66" s="2425">
        <v>1</v>
      </c>
      <c r="I66" s="2425">
        <v>2.29</v>
      </c>
      <c r="J66" s="2425">
        <v>3.72</v>
      </c>
      <c r="K66" s="2425">
        <v>0.75</v>
      </c>
      <c r="L66" s="2431">
        <v>0.04</v>
      </c>
      <c r="N66" s="2488">
        <f t="shared" si="204"/>
        <v>4.3778675988638847E-2</v>
      </c>
      <c r="O66" s="2489">
        <f t="shared" si="204"/>
        <v>3.9114251466784385E-2</v>
      </c>
      <c r="P66" s="2489">
        <f t="shared" si="205"/>
        <v>2.1433929911049188E-2</v>
      </c>
      <c r="Q66" s="2489">
        <f t="shared" si="205"/>
        <v>3.7526972511492629E-4</v>
      </c>
      <c r="R66" s="2427"/>
      <c r="S66" s="2442">
        <f>B66/B67-1</f>
        <v>4.3778675988638716E-2</v>
      </c>
      <c r="T66" s="2443">
        <f>C66/C67-1</f>
        <v>3.91142514667846E-2</v>
      </c>
      <c r="U66" s="2443">
        <f>E66/E67-1</f>
        <v>2.143392991104931E-2</v>
      </c>
      <c r="V66" s="2443">
        <f>F66/F67-1</f>
        <v>3.7526972511492396E-4</v>
      </c>
      <c r="X66" s="2487"/>
      <c r="Y66" s="2487"/>
      <c r="Z66" s="2487"/>
    </row>
    <row r="67" spans="1:26" ht="13.5" thickBot="1">
      <c r="A67" s="2423" t="s">
        <v>1162</v>
      </c>
      <c r="B67" s="2452">
        <v>138</v>
      </c>
      <c r="C67" s="2452">
        <v>131</v>
      </c>
      <c r="D67" s="2452">
        <f t="shared" si="180"/>
        <v>131</v>
      </c>
      <c r="E67" s="2452">
        <v>155</v>
      </c>
      <c r="F67" s="2453">
        <v>114</v>
      </c>
      <c r="G67" s="4005">
        <v>2005</v>
      </c>
      <c r="H67" s="2444">
        <v>4</v>
      </c>
      <c r="I67" s="2444">
        <v>3.29</v>
      </c>
      <c r="J67" s="2444">
        <v>1.44</v>
      </c>
      <c r="K67" s="2444">
        <v>0.66</v>
      </c>
      <c r="L67" s="2445">
        <v>7.78</v>
      </c>
      <c r="N67" s="2485">
        <f t="shared" ref="N67:O70" si="208">I67/SUM(I$67:I$70)*(B$67/B$71-1)</f>
        <v>9.9404603216919935E-2</v>
      </c>
      <c r="O67" s="2486">
        <f t="shared" si="208"/>
        <v>4.7636550760861554E-2</v>
      </c>
      <c r="P67" s="2486">
        <f t="shared" ref="P67:Q70" si="209">K67/SUM(K$67:K$70)*(E$67/E$71-1)</f>
        <v>8.3756345177664976E-2</v>
      </c>
      <c r="Q67" s="2486">
        <f t="shared" si="209"/>
        <v>5.2148766661559584E-2</v>
      </c>
      <c r="R67" s="2427"/>
      <c r="S67" s="2440"/>
      <c r="T67" s="2441"/>
      <c r="U67" s="2441"/>
      <c r="V67" s="2441"/>
      <c r="X67" s="2487"/>
      <c r="Y67" s="2487"/>
      <c r="Z67" s="2487"/>
    </row>
    <row r="68" spans="1:26">
      <c r="A68" s="2423" t="s">
        <v>1163</v>
      </c>
      <c r="B68" s="2424">
        <f t="shared" ref="B68:C70" si="210">B69+(B$67-B$71)*I68/SUM(I$67:I$70)</f>
        <v>125.9720430107527</v>
      </c>
      <c r="C68" s="2424">
        <f t="shared" si="210"/>
        <v>125.1883408071749</v>
      </c>
      <c r="D68" s="2424">
        <f t="shared" si="180"/>
        <v>125.1883408071749</v>
      </c>
      <c r="E68" s="2424">
        <f t="shared" ref="E68:F70" si="211">E69+(E$67-E$71)*K68/SUM(K$67:K$70)</f>
        <v>144.61421319796952</v>
      </c>
      <c r="F68" s="2424">
        <f t="shared" si="211"/>
        <v>108.42008196721311</v>
      </c>
      <c r="G68" s="4006">
        <v>2005</v>
      </c>
      <c r="H68" s="2449">
        <v>3</v>
      </c>
      <c r="I68" s="2449">
        <v>0.46</v>
      </c>
      <c r="J68" s="2449">
        <v>0.32</v>
      </c>
      <c r="K68" s="2449">
        <v>0.42</v>
      </c>
      <c r="L68" s="2450">
        <v>0.64</v>
      </c>
      <c r="N68" s="2485">
        <f t="shared" si="208"/>
        <v>1.3898515951301874E-2</v>
      </c>
      <c r="O68" s="2486">
        <f t="shared" si="208"/>
        <v>1.0585900169080346E-2</v>
      </c>
      <c r="P68" s="2486">
        <f t="shared" si="209"/>
        <v>5.3299492385786795E-2</v>
      </c>
      <c r="Q68" s="2486">
        <f t="shared" si="209"/>
        <v>4.2898728359123568E-3</v>
      </c>
      <c r="R68" s="2427"/>
      <c r="S68" s="2426"/>
      <c r="T68" s="2411"/>
      <c r="U68" s="2411"/>
      <c r="V68" s="2411"/>
      <c r="X68" s="2487"/>
      <c r="Y68" s="2487"/>
      <c r="Z68" s="2487"/>
    </row>
    <row r="69" spans="1:26">
      <c r="A69" s="2423" t="s">
        <v>1164</v>
      </c>
      <c r="B69" s="2424">
        <f t="shared" si="210"/>
        <v>124.29032258064517</v>
      </c>
      <c r="C69" s="2424">
        <f t="shared" si="210"/>
        <v>123.8968609865471</v>
      </c>
      <c r="D69" s="2424">
        <f t="shared" si="180"/>
        <v>123.8968609865471</v>
      </c>
      <c r="E69" s="2424">
        <f t="shared" si="211"/>
        <v>138.00507614213197</v>
      </c>
      <c r="F69" s="2424">
        <f t="shared" si="211"/>
        <v>107.96106557377048</v>
      </c>
      <c r="G69" s="4006">
        <v>2005</v>
      </c>
      <c r="H69" s="2436">
        <v>2</v>
      </c>
      <c r="I69" s="2436">
        <v>0.47</v>
      </c>
      <c r="J69" s="2436">
        <v>0.1</v>
      </c>
      <c r="K69" s="2436">
        <v>0.52</v>
      </c>
      <c r="L69" s="2437">
        <v>0.79</v>
      </c>
      <c r="N69" s="2485">
        <f t="shared" si="208"/>
        <v>1.420065760241713E-2</v>
      </c>
      <c r="O69" s="2486">
        <f t="shared" si="208"/>
        <v>3.3080938028376083E-3</v>
      </c>
      <c r="P69" s="2486">
        <f t="shared" si="209"/>
        <v>6.598984771573603E-2</v>
      </c>
      <c r="Q69" s="2486">
        <f t="shared" si="209"/>
        <v>5.2953117818293153E-3</v>
      </c>
      <c r="R69" s="2427"/>
      <c r="S69" s="2426"/>
      <c r="T69" s="2411"/>
      <c r="U69" s="2411"/>
      <c r="V69" s="2411"/>
      <c r="X69" s="2487"/>
      <c r="Y69" s="2487"/>
      <c r="Z69" s="2487"/>
    </row>
    <row r="70" spans="1:26">
      <c r="A70" s="2423" t="s">
        <v>1165</v>
      </c>
      <c r="B70" s="2424">
        <f t="shared" si="210"/>
        <v>122.57204301075269</v>
      </c>
      <c r="C70" s="2424">
        <f t="shared" si="210"/>
        <v>123.4932735426009</v>
      </c>
      <c r="D70" s="2424">
        <f t="shared" si="180"/>
        <v>123.4932735426009</v>
      </c>
      <c r="E70" s="2424">
        <f t="shared" si="211"/>
        <v>129.82233502538071</v>
      </c>
      <c r="F70" s="2424">
        <f t="shared" si="211"/>
        <v>107.39446721311475</v>
      </c>
      <c r="G70" s="4007">
        <v>2005</v>
      </c>
      <c r="H70" s="2425">
        <v>1</v>
      </c>
      <c r="I70" s="2425">
        <v>0.43</v>
      </c>
      <c r="J70" s="2425">
        <v>0.37</v>
      </c>
      <c r="K70" s="2425">
        <v>0.37</v>
      </c>
      <c r="L70" s="2431">
        <v>0.55000000000000004</v>
      </c>
      <c r="N70" s="2488">
        <f t="shared" si="208"/>
        <v>1.2992090997956099E-2</v>
      </c>
      <c r="O70" s="2489">
        <f t="shared" si="208"/>
        <v>1.2239947070499151E-2</v>
      </c>
      <c r="P70" s="2489">
        <f t="shared" si="209"/>
        <v>4.6954314720812178E-2</v>
      </c>
      <c r="Q70" s="2489">
        <f t="shared" si="209"/>
        <v>3.6866094683621815E-3</v>
      </c>
      <c r="R70" s="2427"/>
      <c r="S70" s="2442">
        <f>B70/B71-1</f>
        <v>1.2992090997956174E-2</v>
      </c>
      <c r="T70" s="2443">
        <f>C70/C71-1</f>
        <v>1.2239947070499246E-2</v>
      </c>
      <c r="U70" s="2443">
        <f>E70/E71-1</f>
        <v>4.695431472081224E-2</v>
      </c>
      <c r="V70" s="2443">
        <f>F70/F71-1</f>
        <v>3.6866094683620787E-3</v>
      </c>
      <c r="X70" s="2487"/>
      <c r="Y70" s="2487"/>
      <c r="Z70" s="2487"/>
    </row>
    <row r="71" spans="1:26" ht="13.5" thickBot="1">
      <c r="A71" s="2423" t="s">
        <v>1166</v>
      </c>
      <c r="B71" s="2473">
        <v>121</v>
      </c>
      <c r="C71" s="2473">
        <v>122</v>
      </c>
      <c r="D71" s="2473">
        <f t="shared" si="180"/>
        <v>122</v>
      </c>
      <c r="E71" s="2473">
        <v>124</v>
      </c>
      <c r="F71" s="2474">
        <v>107</v>
      </c>
      <c r="G71" s="4005">
        <v>2004</v>
      </c>
      <c r="H71" s="2444">
        <v>4</v>
      </c>
      <c r="I71" s="2444">
        <v>0.33</v>
      </c>
      <c r="J71" s="2444">
        <v>0.5</v>
      </c>
      <c r="K71" s="2444">
        <v>0.5</v>
      </c>
      <c r="L71" s="2445">
        <v>0</v>
      </c>
      <c r="N71" s="2485">
        <f t="shared" ref="N71:O74" si="212">I71/SUM(I$71:I$74)*(B$71/B$75-1)</f>
        <v>1.3391770148526898E-2</v>
      </c>
      <c r="O71" s="2486">
        <f t="shared" si="212"/>
        <v>1.063264221158958E-2</v>
      </c>
      <c r="P71" s="2486">
        <f t="shared" ref="P71:Q74" si="213">K71/SUM(K$71:K$74)*(E$71/E$75-1)</f>
        <v>2.2244466688911134E-2</v>
      </c>
      <c r="Q71" s="2486">
        <f t="shared" si="213"/>
        <v>0</v>
      </c>
      <c r="R71" s="2427"/>
      <c r="S71" s="2440"/>
      <c r="T71" s="2441"/>
      <c r="U71" s="2441"/>
      <c r="V71" s="2441"/>
      <c r="X71" s="2487"/>
      <c r="Y71" s="2487"/>
      <c r="Z71" s="2487"/>
    </row>
    <row r="72" spans="1:26">
      <c r="A72" s="2423" t="s">
        <v>1167</v>
      </c>
      <c r="B72" s="2424">
        <f t="shared" ref="B72:C74" si="214">B73+(B$71-B$75)*I72/SUM(I$71:I$74)</f>
        <v>119.51351351351352</v>
      </c>
      <c r="C72" s="2424">
        <f t="shared" si="214"/>
        <v>120.7878787878788</v>
      </c>
      <c r="D72" s="2424">
        <f t="shared" si="180"/>
        <v>120.7878787878788</v>
      </c>
      <c r="E72" s="2424">
        <f t="shared" ref="E72:F74" si="215">E73+(E$71-E$75)*K72/SUM(K$71:K$74)</f>
        <v>121.5975975975976</v>
      </c>
      <c r="F72" s="2424">
        <f t="shared" si="215"/>
        <v>107</v>
      </c>
      <c r="G72" s="4006">
        <v>2004</v>
      </c>
      <c r="H72" s="2449">
        <v>3</v>
      </c>
      <c r="I72" s="2449">
        <v>0.56000000000000005</v>
      </c>
      <c r="J72" s="2449">
        <v>0.8</v>
      </c>
      <c r="K72" s="2449">
        <v>0.83</v>
      </c>
      <c r="L72" s="2450">
        <v>0.06</v>
      </c>
      <c r="N72" s="2485">
        <f t="shared" si="212"/>
        <v>2.2725428130833527E-2</v>
      </c>
      <c r="O72" s="2486">
        <f t="shared" si="212"/>
        <v>1.7012227538543329E-2</v>
      </c>
      <c r="P72" s="2486">
        <f t="shared" si="213"/>
        <v>3.6925814703592477E-2</v>
      </c>
      <c r="Q72" s="2486">
        <f t="shared" si="213"/>
        <v>2.8846153846153744E-2</v>
      </c>
      <c r="R72" s="2427"/>
      <c r="S72" s="2426"/>
      <c r="T72" s="2411"/>
      <c r="U72" s="2411"/>
      <c r="V72" s="2411"/>
      <c r="X72" s="2487"/>
      <c r="Y72" s="2487"/>
      <c r="Z72" s="2487"/>
    </row>
    <row r="73" spans="1:26">
      <c r="A73" s="2423" t="s">
        <v>1168</v>
      </c>
      <c r="B73" s="2424">
        <f t="shared" si="214"/>
        <v>116.99099099099099</v>
      </c>
      <c r="C73" s="2424">
        <f t="shared" si="214"/>
        <v>118.84848484848486</v>
      </c>
      <c r="D73" s="2424">
        <f t="shared" si="180"/>
        <v>118.84848484848486</v>
      </c>
      <c r="E73" s="2424">
        <f t="shared" si="215"/>
        <v>117.60960960960961</v>
      </c>
      <c r="F73" s="2424">
        <f t="shared" si="215"/>
        <v>104</v>
      </c>
      <c r="G73" s="4006">
        <v>2004</v>
      </c>
      <c r="H73" s="2436">
        <v>2</v>
      </c>
      <c r="I73" s="2436">
        <v>1</v>
      </c>
      <c r="J73" s="2436">
        <v>1.5</v>
      </c>
      <c r="K73" s="2436">
        <v>1.5</v>
      </c>
      <c r="L73" s="2437">
        <v>0</v>
      </c>
      <c r="N73" s="2485">
        <f t="shared" si="212"/>
        <v>4.0581121662202721E-2</v>
      </c>
      <c r="O73" s="2486">
        <f t="shared" si="212"/>
        <v>3.1897926634768738E-2</v>
      </c>
      <c r="P73" s="2486">
        <f t="shared" si="213"/>
        <v>6.6733400066733395E-2</v>
      </c>
      <c r="Q73" s="2486">
        <f t="shared" si="213"/>
        <v>0</v>
      </c>
      <c r="R73" s="2427"/>
      <c r="S73" s="2426"/>
      <c r="T73" s="2411"/>
      <c r="U73" s="2411"/>
      <c r="V73" s="2411"/>
      <c r="X73" s="2487"/>
      <c r="Y73" s="2487"/>
      <c r="Z73" s="2487"/>
    </row>
    <row r="74" spans="1:26" s="2479" customFormat="1" ht="13.5" thickBot="1">
      <c r="A74" s="2423" t="s">
        <v>1169</v>
      </c>
      <c r="B74" s="2476">
        <f t="shared" si="214"/>
        <v>112.48648648648648</v>
      </c>
      <c r="C74" s="2476">
        <f t="shared" si="214"/>
        <v>115.21212121212122</v>
      </c>
      <c r="D74" s="2476">
        <f t="shared" si="180"/>
        <v>115.21212121212122</v>
      </c>
      <c r="E74" s="2476">
        <f t="shared" si="215"/>
        <v>110.4024024024024</v>
      </c>
      <c r="F74" s="2476">
        <f t="shared" si="215"/>
        <v>104</v>
      </c>
      <c r="G74" s="4007">
        <v>2004</v>
      </c>
      <c r="H74" s="2477">
        <v>1</v>
      </c>
      <c r="I74" s="2477">
        <v>0.33</v>
      </c>
      <c r="J74" s="2477">
        <v>0.5</v>
      </c>
      <c r="K74" s="2477">
        <v>0.5</v>
      </c>
      <c r="L74" s="2478">
        <v>0</v>
      </c>
      <c r="N74" s="2490">
        <f t="shared" si="212"/>
        <v>1.3391770148526898E-2</v>
      </c>
      <c r="O74" s="2491">
        <f t="shared" si="212"/>
        <v>1.063264221158958E-2</v>
      </c>
      <c r="P74" s="2491">
        <f t="shared" si="213"/>
        <v>2.2244466688911134E-2</v>
      </c>
      <c r="Q74" s="2491">
        <f t="shared" si="213"/>
        <v>0</v>
      </c>
      <c r="R74" s="2482"/>
      <c r="S74" s="2480">
        <f>B74/B75-1</f>
        <v>1.3391770148526883E-2</v>
      </c>
      <c r="T74" s="2481">
        <f>C74/C75-1</f>
        <v>1.063264221158966E-2</v>
      </c>
      <c r="U74" s="2481">
        <f>E74/E75-1</f>
        <v>2.2244466688911224E-2</v>
      </c>
      <c r="V74" s="2481">
        <f>F74/F75-1</f>
        <v>0</v>
      </c>
      <c r="X74" s="2492"/>
      <c r="Y74" s="2492"/>
      <c r="Z74" s="2492"/>
    </row>
    <row r="75" spans="1:26" ht="13.5" thickBot="1">
      <c r="A75" s="2423" t="s">
        <v>1170</v>
      </c>
      <c r="B75" s="2493">
        <v>111</v>
      </c>
      <c r="C75" s="2493">
        <v>114</v>
      </c>
      <c r="D75" s="2493">
        <f t="shared" si="180"/>
        <v>114</v>
      </c>
      <c r="E75" s="2493">
        <v>108</v>
      </c>
      <c r="F75" s="2494">
        <v>104</v>
      </c>
      <c r="G75" s="4005">
        <v>2003</v>
      </c>
      <c r="H75" s="2483">
        <v>4</v>
      </c>
      <c r="I75" s="2495"/>
      <c r="J75" s="2495"/>
      <c r="K75" s="2495"/>
      <c r="L75" s="2495"/>
      <c r="N75" s="2496"/>
      <c r="O75" s="2495"/>
      <c r="P75" s="2495"/>
      <c r="Q75" s="2495"/>
      <c r="S75" s="2496"/>
      <c r="T75" s="2495"/>
      <c r="U75" s="2495"/>
      <c r="V75" s="2495"/>
      <c r="X75" s="2487"/>
      <c r="Y75" s="2487"/>
      <c r="Z75" s="2487"/>
    </row>
    <row r="76" spans="1:26">
      <c r="A76" s="2423" t="s">
        <v>1171</v>
      </c>
      <c r="B76" s="2497">
        <f t="shared" ref="B76:C78" si="216">B77+(B$75-B$79)/4</f>
        <v>109.75</v>
      </c>
      <c r="C76" s="2497">
        <f t="shared" si="216"/>
        <v>112.25</v>
      </c>
      <c r="D76" s="2497">
        <f t="shared" si="180"/>
        <v>112.25</v>
      </c>
      <c r="E76" s="2497">
        <f t="shared" ref="E76:F78" si="217">E77+(E$75-E$79)/4</f>
        <v>107.25</v>
      </c>
      <c r="F76" s="2497">
        <f t="shared" si="217"/>
        <v>103.5</v>
      </c>
      <c r="G76" s="4006">
        <v>2003</v>
      </c>
      <c r="H76" s="2449">
        <v>3</v>
      </c>
      <c r="I76" s="2495"/>
      <c r="J76" s="2495"/>
      <c r="K76" s="2495"/>
      <c r="L76" s="2495"/>
      <c r="X76" s="2487"/>
      <c r="Y76" s="2487"/>
      <c r="Z76" s="2487"/>
    </row>
    <row r="77" spans="1:26">
      <c r="A77" s="2423" t="s">
        <v>1172</v>
      </c>
      <c r="B77" s="2497">
        <f t="shared" si="216"/>
        <v>108.5</v>
      </c>
      <c r="C77" s="2497">
        <f t="shared" si="216"/>
        <v>110.5</v>
      </c>
      <c r="D77" s="2497">
        <f t="shared" si="180"/>
        <v>110.5</v>
      </c>
      <c r="E77" s="2497">
        <f t="shared" si="217"/>
        <v>106.5</v>
      </c>
      <c r="F77" s="2497">
        <f t="shared" si="217"/>
        <v>103</v>
      </c>
      <c r="G77" s="4006">
        <v>2003</v>
      </c>
      <c r="H77" s="2436">
        <v>2</v>
      </c>
      <c r="I77" s="2495"/>
      <c r="J77" s="2495"/>
      <c r="K77" s="2495"/>
      <c r="L77" s="2495"/>
      <c r="X77" s="2487"/>
      <c r="Y77" s="2487"/>
      <c r="Z77" s="2487"/>
    </row>
    <row r="78" spans="1:26" ht="13.5" thickBot="1">
      <c r="A78" s="2423" t="s">
        <v>1173</v>
      </c>
      <c r="B78" s="2497">
        <f t="shared" si="216"/>
        <v>107.25</v>
      </c>
      <c r="C78" s="2497">
        <f t="shared" si="216"/>
        <v>108.75</v>
      </c>
      <c r="D78" s="2497">
        <f t="shared" si="180"/>
        <v>108.75</v>
      </c>
      <c r="E78" s="2497">
        <f t="shared" si="217"/>
        <v>105.75</v>
      </c>
      <c r="F78" s="2497">
        <f t="shared" si="217"/>
        <v>102.5</v>
      </c>
      <c r="G78" s="4007">
        <v>2003</v>
      </c>
      <c r="H78" s="2498">
        <v>1</v>
      </c>
      <c r="I78" s="2495"/>
      <c r="J78" s="2495"/>
      <c r="K78" s="2495"/>
      <c r="L78" s="2495"/>
      <c r="S78" s="2426"/>
      <c r="T78" s="2411"/>
      <c r="U78" s="2411"/>
      <c r="X78" s="2487"/>
      <c r="Y78" s="2487"/>
      <c r="Z78" s="2487"/>
    </row>
    <row r="79" spans="1:26" ht="13.5" thickBot="1">
      <c r="A79" s="2423" t="s">
        <v>1174</v>
      </c>
      <c r="B79" s="2499">
        <v>106</v>
      </c>
      <c r="C79" s="2499">
        <v>107</v>
      </c>
      <c r="D79" s="2499">
        <f t="shared" si="180"/>
        <v>107</v>
      </c>
      <c r="E79" s="2499">
        <v>105</v>
      </c>
      <c r="F79" s="2500">
        <v>102</v>
      </c>
      <c r="G79" s="4005">
        <v>2002</v>
      </c>
      <c r="H79" s="2444">
        <v>4</v>
      </c>
      <c r="I79" s="2495"/>
      <c r="J79" s="2495"/>
      <c r="K79" s="2495"/>
      <c r="L79" s="2495"/>
      <c r="N79" s="2496"/>
      <c r="O79" s="2495"/>
      <c r="P79" s="2495"/>
      <c r="Q79" s="2495"/>
      <c r="S79" s="2496"/>
      <c r="T79" s="2495"/>
      <c r="U79" s="2495"/>
      <c r="V79" s="2495"/>
      <c r="X79" s="2487"/>
      <c r="Y79" s="2487"/>
      <c r="Z79" s="2487"/>
    </row>
    <row r="80" spans="1:26">
      <c r="A80" s="2423" t="s">
        <v>1175</v>
      </c>
      <c r="B80" s="2497">
        <f t="shared" ref="B80:C82" si="218">B81+(B$79-B$83)/4</f>
        <v>105</v>
      </c>
      <c r="C80" s="2497">
        <f t="shared" si="218"/>
        <v>106</v>
      </c>
      <c r="D80" s="2497">
        <f t="shared" si="180"/>
        <v>106</v>
      </c>
      <c r="E80" s="2497">
        <f t="shared" ref="E80:F82" si="219">E81+(E$79-E$83)/4</f>
        <v>104.5</v>
      </c>
      <c r="F80" s="2497">
        <f t="shared" si="219"/>
        <v>101.5</v>
      </c>
      <c r="G80" s="4006">
        <v>2002</v>
      </c>
      <c r="H80" s="2449">
        <v>3</v>
      </c>
      <c r="I80" s="2495"/>
      <c r="J80" s="2495"/>
      <c r="K80" s="2495"/>
      <c r="L80" s="2495"/>
      <c r="X80" s="2487"/>
      <c r="Y80" s="2487"/>
      <c r="Z80" s="2487"/>
    </row>
    <row r="81" spans="1:26">
      <c r="A81" s="2423" t="s">
        <v>1176</v>
      </c>
      <c r="B81" s="2497">
        <f t="shared" si="218"/>
        <v>104</v>
      </c>
      <c r="C81" s="2497">
        <f t="shared" si="218"/>
        <v>105</v>
      </c>
      <c r="D81" s="2497">
        <f t="shared" si="180"/>
        <v>105</v>
      </c>
      <c r="E81" s="2497">
        <f t="shared" si="219"/>
        <v>104</v>
      </c>
      <c r="F81" s="2497">
        <f t="shared" si="219"/>
        <v>101</v>
      </c>
      <c r="G81" s="4006">
        <v>2002</v>
      </c>
      <c r="H81" s="2436">
        <v>2</v>
      </c>
      <c r="I81" s="2495"/>
      <c r="J81" s="2495"/>
      <c r="K81" s="2495"/>
      <c r="L81" s="2495"/>
      <c r="X81" s="2487"/>
      <c r="Y81" s="2487"/>
      <c r="Z81" s="2487"/>
    </row>
    <row r="82" spans="1:26" s="2460" customFormat="1" ht="13.5" thickBot="1">
      <c r="A82" s="2456" t="s">
        <v>1177</v>
      </c>
      <c r="B82" s="2463">
        <f t="shared" si="218"/>
        <v>103</v>
      </c>
      <c r="C82" s="2463">
        <f t="shared" si="218"/>
        <v>104</v>
      </c>
      <c r="D82" s="2463">
        <f t="shared" si="180"/>
        <v>104</v>
      </c>
      <c r="E82" s="2463">
        <f t="shared" si="219"/>
        <v>103.5</v>
      </c>
      <c r="F82" s="2463">
        <f t="shared" si="219"/>
        <v>100.5</v>
      </c>
      <c r="G82" s="4007">
        <v>2002</v>
      </c>
      <c r="H82" s="2501">
        <v>1</v>
      </c>
      <c r="I82" s="2502"/>
      <c r="J82" s="2502"/>
      <c r="K82" s="2502"/>
      <c r="L82" s="2502"/>
      <c r="N82" s="2503"/>
      <c r="S82" s="2503"/>
      <c r="X82" s="2504"/>
      <c r="Y82" s="2504"/>
      <c r="Z82" s="2504"/>
    </row>
    <row r="83" spans="1:26" ht="13.5" thickBot="1">
      <c r="B83" s="2505">
        <v>102</v>
      </c>
      <c r="C83" s="2506">
        <v>103</v>
      </c>
      <c r="D83" s="2506">
        <f t="shared" si="180"/>
        <v>103</v>
      </c>
      <c r="E83" s="2506">
        <v>103</v>
      </c>
      <c r="F83" s="2507">
        <v>100</v>
      </c>
      <c r="I83" s="2495"/>
      <c r="J83" s="2495"/>
      <c r="K83" s="2495"/>
      <c r="L83" s="2495"/>
      <c r="N83" s="2496"/>
      <c r="O83" s="2495"/>
      <c r="P83" s="2495"/>
      <c r="Q83" s="2495"/>
      <c r="S83" s="2496"/>
      <c r="T83" s="2495"/>
      <c r="U83" s="2495"/>
      <c r="V83" s="2495"/>
      <c r="X83" s="2441"/>
      <c r="Y83" s="2441"/>
      <c r="Z83" s="2441"/>
    </row>
    <row r="85" spans="1:26" s="2509" customFormat="1">
      <c r="A85" s="2508" t="s">
        <v>1178</v>
      </c>
      <c r="G85" s="2510"/>
      <c r="N85" s="2510"/>
      <c r="S85" s="2510"/>
    </row>
    <row r="86" spans="1:26" s="2509" customFormat="1">
      <c r="A86" s="2509" t="s">
        <v>1179</v>
      </c>
      <c r="G86" s="2510"/>
      <c r="N86" s="2510"/>
      <c r="S86" s="2510"/>
    </row>
    <row r="87" spans="1:26" s="2509" customFormat="1">
      <c r="A87" s="2509" t="s">
        <v>1180</v>
      </c>
      <c r="G87" s="2510"/>
      <c r="I87" s="2511"/>
      <c r="J87" s="2511"/>
      <c r="K87" s="2511"/>
      <c r="L87" s="2511"/>
      <c r="N87" s="2512"/>
      <c r="O87" s="2511"/>
      <c r="P87" s="2511"/>
      <c r="Q87" s="2511"/>
      <c r="S87" s="2512"/>
      <c r="T87" s="2511"/>
      <c r="U87" s="2511"/>
      <c r="V87" s="2511"/>
    </row>
    <row r="88" spans="1:26" s="2509" customFormat="1">
      <c r="A88" s="2509" t="s">
        <v>1181</v>
      </c>
      <c r="G88" s="2510"/>
      <c r="N88" s="2510"/>
      <c r="S88" s="2510"/>
    </row>
    <row r="95" spans="1:26" ht="13.5" thickBot="1"/>
    <row r="96" spans="1:26">
      <c r="G96" s="2410"/>
      <c r="S96" s="2513" t="s">
        <v>1182</v>
      </c>
      <c r="T96" s="2514" t="s">
        <v>1183</v>
      </c>
      <c r="U96" s="2514" t="s">
        <v>1184</v>
      </c>
      <c r="V96" s="2514" t="s">
        <v>1185</v>
      </c>
    </row>
    <row r="97" spans="7:22">
      <c r="G97" s="2410"/>
      <c r="N97" s="2440"/>
      <c r="O97" s="2441"/>
      <c r="P97" s="2441"/>
      <c r="Q97" s="2441"/>
      <c r="S97" s="2515">
        <v>2006</v>
      </c>
      <c r="T97" s="2516">
        <v>15.1</v>
      </c>
      <c r="U97" s="2516">
        <v>7.43</v>
      </c>
      <c r="V97" s="2516">
        <v>26.26</v>
      </c>
    </row>
    <row r="98" spans="7:22">
      <c r="G98" s="2410"/>
      <c r="N98" s="2440"/>
      <c r="O98" s="2441"/>
      <c r="P98" s="2441"/>
      <c r="Q98" s="2441"/>
      <c r="S98" s="2517">
        <v>2005</v>
      </c>
      <c r="T98" s="2518">
        <v>13.9</v>
      </c>
      <c r="U98" s="2518">
        <v>7.49</v>
      </c>
      <c r="V98" s="2518">
        <v>24.92</v>
      </c>
    </row>
    <row r="99" spans="7:22">
      <c r="G99" s="2410"/>
      <c r="N99" s="2440"/>
      <c r="O99" s="2441"/>
      <c r="P99" s="2441"/>
      <c r="Q99" s="2441"/>
      <c r="S99" s="2515">
        <v>2004</v>
      </c>
      <c r="T99" s="2516">
        <v>9.48</v>
      </c>
      <c r="U99" s="2516">
        <v>7.2</v>
      </c>
      <c r="V99" s="2516">
        <v>14.68</v>
      </c>
    </row>
    <row r="100" spans="7:22">
      <c r="G100" s="2410"/>
      <c r="N100" s="2440"/>
      <c r="O100" s="2441"/>
      <c r="P100" s="2441"/>
      <c r="Q100" s="2441"/>
      <c r="S100" s="2517">
        <v>2003</v>
      </c>
      <c r="T100" s="2518">
        <v>4.5</v>
      </c>
      <c r="U100" s="2518">
        <v>6.12</v>
      </c>
      <c r="V100" s="2518">
        <v>2.34</v>
      </c>
    </row>
    <row r="101" spans="7:22" ht="13.5" thickBot="1">
      <c r="G101" s="2410"/>
      <c r="N101" s="2440"/>
      <c r="O101" s="2441"/>
      <c r="P101" s="2441"/>
      <c r="Q101" s="2441"/>
      <c r="S101" s="2519">
        <v>2002</v>
      </c>
      <c r="T101" s="2520">
        <v>3.59</v>
      </c>
      <c r="U101" s="2520">
        <v>4.54</v>
      </c>
      <c r="V101" s="2520">
        <v>2.5499999999999998</v>
      </c>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row r="117" spans="7:19">
      <c r="G117" s="2410"/>
      <c r="N117" s="2440"/>
      <c r="O117" s="2441"/>
      <c r="P117" s="2441"/>
      <c r="Q117" s="2441"/>
      <c r="S117" s="2410"/>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3">
    <tabColor rgb="FF92D050"/>
  </sheetPr>
  <dimension ref="A1:AS524"/>
  <sheetViews>
    <sheetView zoomScale="90" zoomScaleNormal="90" workbookViewId="0">
      <pane ySplit="24" topLeftCell="A515" activePane="bottomLeft" state="frozen"/>
      <selection activeCell="D30" activeCellId="1" sqref="H5 D30"/>
      <selection pane="bottomLeft" activeCell="D30" activeCellId="1" sqref="H5 D30"/>
    </sheetView>
  </sheetViews>
  <sheetFormatPr defaultColWidth="9" defaultRowHeight="12.75"/>
  <cols>
    <col min="1" max="1" width="11.5" style="135" customWidth="1"/>
    <col min="2" max="2" width="9.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2825</v>
      </c>
      <c r="C1" s="4019" t="s">
        <v>2826</v>
      </c>
      <c r="D1" s="4020"/>
      <c r="E1" s="4020"/>
      <c r="F1" s="4020"/>
      <c r="G1" s="4020"/>
      <c r="H1" s="4020"/>
      <c r="I1" s="4020"/>
      <c r="J1" s="4020"/>
      <c r="K1" s="4020"/>
      <c r="L1" s="4020"/>
      <c r="M1" s="4020"/>
      <c r="N1" s="4020"/>
      <c r="O1" s="4020"/>
      <c r="P1" s="4020"/>
      <c r="Q1" s="4020"/>
      <c r="R1" s="4020"/>
      <c r="S1" s="4021"/>
      <c r="T1" s="1114" t="s">
        <v>2827</v>
      </c>
    </row>
    <row r="2" spans="1:45" s="663" customFormat="1">
      <c r="A2" s="1115"/>
      <c r="B2" s="659" t="s">
        <v>2828</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7"/>
      <c r="G4" s="1477"/>
      <c r="H4" s="1477"/>
      <c r="I4" s="1477"/>
      <c r="J4" s="1477"/>
      <c r="K4" s="1477"/>
      <c r="L4" s="1477"/>
      <c r="M4" s="1478"/>
      <c r="N4" s="1478"/>
      <c r="O4" s="1477"/>
      <c r="P4" s="1477"/>
      <c r="Q4" s="1477"/>
      <c r="R4" s="1477"/>
      <c r="S4" s="1479"/>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6" t="s">
        <v>2829</v>
      </c>
      <c r="C5" s="1126"/>
      <c r="D5" s="1127"/>
      <c r="E5" s="1127"/>
      <c r="F5" s="1480"/>
      <c r="G5" s="1480"/>
      <c r="H5" s="1480"/>
      <c r="I5" s="1480"/>
      <c r="J5" s="1480"/>
      <c r="K5" s="1480"/>
      <c r="L5" s="1481"/>
      <c r="M5" s="1482"/>
      <c r="N5" s="1482"/>
      <c r="O5" s="1480"/>
      <c r="P5" s="1480"/>
      <c r="Q5" s="1480"/>
      <c r="R5" s="1480"/>
      <c r="S5" s="1483"/>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7" t="s">
        <v>2830</v>
      </c>
      <c r="C7" s="1035"/>
      <c r="D7" s="1029"/>
      <c r="E7" s="1029"/>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7" t="s">
        <v>2831</v>
      </c>
      <c r="C9" s="1035"/>
      <c r="D9" s="1029"/>
      <c r="E9" s="1029"/>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6" t="s">
        <v>2832</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6" t="s">
        <v>2833</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6" t="s">
        <v>2834</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2835</v>
      </c>
      <c r="B17" s="2365" t="s">
        <v>2836</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6" t="s">
        <v>2837</v>
      </c>
      <c r="E19" s="1524"/>
      <c r="F19" s="1524"/>
      <c r="G19" s="1524"/>
      <c r="H19" s="1190"/>
      <c r="I19" s="164"/>
      <c r="J19" s="164"/>
      <c r="K19" s="164"/>
      <c r="L19" s="164"/>
      <c r="M19" s="164"/>
      <c r="N19" s="164"/>
      <c r="O19" s="164"/>
      <c r="P19" s="164"/>
      <c r="Q19" s="164"/>
      <c r="R19" s="727"/>
      <c r="S19" s="134"/>
    </row>
    <row r="20" spans="1:45" ht="16.5" thickBot="1">
      <c r="A20" s="671" t="s">
        <v>2838</v>
      </c>
      <c r="B20" s="300" t="e">
        <f ca="1">IF(D20="——",S22,S22-F20)</f>
        <v>#REF!</v>
      </c>
      <c r="C20" s="164"/>
      <c r="D20" s="2367"/>
      <c r="E20" s="1525"/>
      <c r="F20" s="1114" t="e">
        <f ca="1">SUMIF(INDIRECT("'"&amp;H20&amp;"'"&amp;"!A:A"),"承租人权益价值",INDIRECT("'"&amp;H20&amp;"'"&amp;"!c:c"))</f>
        <v>#REF!</v>
      </c>
      <c r="G20" s="1114" t="s">
        <v>2839</v>
      </c>
      <c r="H20" s="2368"/>
      <c r="I20" s="164"/>
      <c r="J20" s="164"/>
      <c r="K20" s="164"/>
      <c r="L20" s="164"/>
      <c r="M20" s="164"/>
      <c r="N20" s="164"/>
      <c r="O20" s="164"/>
      <c r="P20" s="164"/>
      <c r="Q20" s="164"/>
      <c r="R20" s="727"/>
      <c r="S20" s="134"/>
    </row>
    <row r="21" spans="1:45" ht="15.75">
      <c r="A21" s="671" t="s">
        <v>2840</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2841</v>
      </c>
      <c r="B22" s="24">
        <f>SUM(B24:B10000)</f>
        <v>100</v>
      </c>
      <c r="C22" s="4016" t="s">
        <v>33</v>
      </c>
      <c r="D22" s="4017"/>
      <c r="E22" s="4017"/>
      <c r="F22" s="4017"/>
      <c r="G22" s="4017"/>
      <c r="H22" s="4017"/>
      <c r="I22" s="4017"/>
      <c r="J22" s="4017"/>
      <c r="K22" s="4017"/>
      <c r="L22" s="4017"/>
      <c r="M22" s="4017"/>
      <c r="N22" s="4017"/>
      <c r="O22" s="4017"/>
      <c r="P22" s="4017"/>
      <c r="Q22" s="4018"/>
      <c r="R22" s="672">
        <f>ROUND(S22*10000/B22,0)</f>
        <v>10000</v>
      </c>
      <c r="S22" s="24">
        <f>SUM(S24:S10000)</f>
        <v>100</v>
      </c>
    </row>
    <row r="23" spans="1:45" s="12" customFormat="1" ht="24">
      <c r="A23" s="11" t="s">
        <v>2842</v>
      </c>
      <c r="B23" s="11" t="s">
        <v>2843</v>
      </c>
      <c r="C23" s="11" t="s">
        <v>2844</v>
      </c>
      <c r="D23" s="11" t="str">
        <f>B5</f>
        <v>修正项2</v>
      </c>
      <c r="E23" s="11" t="s">
        <v>2844</v>
      </c>
      <c r="F23" s="11" t="str">
        <f>B7</f>
        <v>修正项3</v>
      </c>
      <c r="G23" s="11" t="s">
        <v>2844</v>
      </c>
      <c r="H23" s="11" t="str">
        <f>B9</f>
        <v>修正项4</v>
      </c>
      <c r="I23" s="11" t="s">
        <v>2844</v>
      </c>
      <c r="J23" s="11" t="str">
        <f>B11</f>
        <v>修正项5</v>
      </c>
      <c r="K23" s="11" t="s">
        <v>2844</v>
      </c>
      <c r="L23" s="11" t="str">
        <f>B13</f>
        <v>修正项6</v>
      </c>
      <c r="M23" s="11" t="s">
        <v>2844</v>
      </c>
      <c r="N23" s="11" t="str">
        <f>B15</f>
        <v>修正项7</v>
      </c>
      <c r="O23" s="11" t="s">
        <v>2844</v>
      </c>
      <c r="P23" s="11" t="str">
        <f>B17</f>
        <v>楼层</v>
      </c>
      <c r="Q23" s="11" t="s">
        <v>2844</v>
      </c>
      <c r="R23" s="673" t="s">
        <v>2845</v>
      </c>
      <c r="S23" s="11" t="s">
        <v>2846</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2847</v>
      </c>
      <c r="B24" s="674">
        <v>100</v>
      </c>
      <c r="C24" s="3041">
        <v>1</v>
      </c>
      <c r="D24" s="3042"/>
      <c r="E24" s="3041">
        <v>1</v>
      </c>
      <c r="F24" s="3042"/>
      <c r="G24" s="3041">
        <v>1</v>
      </c>
      <c r="H24" s="3042"/>
      <c r="I24" s="3041">
        <v>1</v>
      </c>
      <c r="J24" s="3042"/>
      <c r="K24" s="3041">
        <v>1</v>
      </c>
      <c r="L24" s="3042"/>
      <c r="M24" s="3041">
        <v>1</v>
      </c>
      <c r="N24" s="3042"/>
      <c r="O24" s="3041">
        <v>1</v>
      </c>
      <c r="P24" s="3042"/>
      <c r="Q24" s="304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8" priority="1" operator="notEqual">
      <formula>1</formula>
    </cfRule>
  </conditionalFormatting>
  <dataValidations count="9">
    <dataValidation type="list" allowBlank="1" showInputMessage="1" showErrorMessage="1" sqref="D24:D524" xr:uid="{00000000-0002-0000-2700-000000000000}">
      <formula1>一修多修正项2</formula1>
    </dataValidation>
    <dataValidation type="list" allowBlank="1" showInputMessage="1" showErrorMessage="1" sqref="F24:F524" xr:uid="{00000000-0002-0000-2700-000001000000}">
      <formula1>一修多修正项3</formula1>
    </dataValidation>
    <dataValidation type="list" allowBlank="1" showInputMessage="1" showErrorMessage="1" sqref="H24:H524" xr:uid="{00000000-0002-0000-2700-000002000000}">
      <formula1>一修多修正项4</formula1>
    </dataValidation>
    <dataValidation type="list" allowBlank="1" showInputMessage="1" showErrorMessage="1" sqref="J24:J524" xr:uid="{00000000-0002-0000-2700-000003000000}">
      <formula1>一修多修正项5</formula1>
    </dataValidation>
    <dataValidation type="list" allowBlank="1" showInputMessage="1" showErrorMessage="1" sqref="L24:L524" xr:uid="{00000000-0002-0000-2700-000004000000}">
      <formula1>一修多修正项6</formula1>
    </dataValidation>
    <dataValidation type="list" allowBlank="1" showInputMessage="1" showErrorMessage="1" sqref="N24:N524" xr:uid="{00000000-0002-0000-2700-000005000000}">
      <formula1>一修多修正项7</formula1>
    </dataValidation>
    <dataValidation type="list" allowBlank="1" showInputMessage="1" showErrorMessage="1" sqref="P24:P524" xr:uid="{00000000-0002-0000-2700-000006000000}">
      <formula1>一修多修正项8</formula1>
    </dataValidation>
    <dataValidation type="list" allowBlank="1" showInputMessage="1" showErrorMessage="1" sqref="D20" xr:uid="{00000000-0002-0000-2700-000007000000}">
      <formula1>"需扣减承租人权益,——"</formula1>
    </dataValidation>
    <dataValidation type="list" allowBlank="1" showInputMessage="1" showErrorMessage="1" sqref="H20" xr:uid="{00000000-0002-0000-2700-00000800000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125" style="257" customWidth="1"/>
    <col min="3" max="3" width="12.125" style="257" customWidth="1"/>
    <col min="4" max="5" width="1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26867</v>
      </c>
      <c r="C2" s="2" t="s">
        <v>133</v>
      </c>
      <c r="D2" s="205"/>
      <c r="E2" s="205"/>
      <c r="F2" s="205"/>
      <c r="G2" s="205"/>
    </row>
    <row r="3" spans="1:7" s="206" customFormat="1" ht="18" customHeight="1" thickBot="1">
      <c r="A3" s="209" t="s">
        <v>85</v>
      </c>
      <c r="B3" s="210">
        <f ca="1">ROUND(B2*10000/'数据-汇总表'!E3,0)</f>
        <v>1356440</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0</v>
      </c>
      <c r="F9" s="227"/>
      <c r="G9" s="232"/>
    </row>
    <row r="10" spans="1:7" s="220" customFormat="1" ht="13.5" customHeight="1">
      <c r="A10" s="887" t="s">
        <v>801</v>
      </c>
      <c r="B10" s="230" t="s">
        <v>94</v>
      </c>
      <c r="C10" s="231">
        <f>ROUND(D10*E10/10000,0)</f>
        <v>3</v>
      </c>
      <c r="D10" s="954">
        <f>'数据-汇总表'!E6</f>
        <v>198.07</v>
      </c>
      <c r="E10" s="231">
        <f>'数据-取费表'!B28</f>
        <v>140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4</v>
      </c>
      <c r="D19" s="958">
        <f>'数据-汇总表'!E3</f>
        <v>198.07</v>
      </c>
      <c r="E19" s="217">
        <f>'数据-取费表'!B31</f>
        <v>200</v>
      </c>
      <c r="F19" s="237"/>
      <c r="G19" s="1" t="s">
        <v>1042</v>
      </c>
    </row>
    <row r="20" spans="1:7" s="220" customFormat="1" ht="13.5" customHeight="1">
      <c r="A20" s="885" t="s">
        <v>1025</v>
      </c>
      <c r="B20" s="216" t="s">
        <v>104</v>
      </c>
      <c r="C20" s="238">
        <f>ROUND((C5+C19)*F20,0)</f>
        <v>1031</v>
      </c>
      <c r="D20" s="238"/>
      <c r="E20" s="238"/>
      <c r="F20" s="239">
        <f>'数据-取费表'!B37</f>
        <v>0.05</v>
      </c>
      <c r="G20" s="1199" t="s">
        <v>1036</v>
      </c>
    </row>
    <row r="21" spans="1:7" s="220" customFormat="1" ht="13.5" customHeight="1">
      <c r="A21" s="885" t="s">
        <v>1027</v>
      </c>
      <c r="B21" s="216" t="s">
        <v>105</v>
      </c>
      <c r="C21" s="241">
        <f>F21</f>
        <v>0.05</v>
      </c>
      <c r="D21" s="242" t="s">
        <v>126</v>
      </c>
      <c r="E21" s="238"/>
      <c r="F21" s="239">
        <f>'数据-取费表'!B38</f>
        <v>0.05</v>
      </c>
      <c r="G21" s="240" t="s">
        <v>106</v>
      </c>
    </row>
    <row r="22" spans="1:7" s="220" customFormat="1" ht="13.5" customHeight="1">
      <c r="A22" s="885" t="s">
        <v>786</v>
      </c>
      <c r="B22" s="216" t="s">
        <v>107</v>
      </c>
      <c r="C22" s="1264">
        <f ca="1">ROUND(SUM(C23:C25),0)</f>
        <v>1232</v>
      </c>
      <c r="D22" s="241">
        <f ca="1">C26</f>
        <v>1.4E-3</v>
      </c>
      <c r="E22" s="242" t="s">
        <v>126</v>
      </c>
      <c r="F22" s="243">
        <f ca="1">'数据-取费表'!B40</f>
        <v>3.85E-2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1202</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0</v>
      </c>
      <c r="D24" s="244"/>
      <c r="E24" s="244"/>
      <c r="F24" s="245"/>
      <c r="G24" s="246" t="s">
        <v>109</v>
      </c>
    </row>
    <row r="25" spans="1:7" s="220" customFormat="1" ht="24">
      <c r="A25" s="888" t="s">
        <v>793</v>
      </c>
      <c r="B25" s="221" t="s">
        <v>1026</v>
      </c>
      <c r="C25" s="1265">
        <f ca="1">ROUND(IF('数据-取费表'!B22&lt;=1,C20*F22*'数据-取费表'!B23/2,C20*(POWER((1+F22),'数据-取费表'!B23/2)-1)),0)</f>
        <v>30</v>
      </c>
      <c r="D25" s="244"/>
      <c r="E25" s="247"/>
      <c r="F25" s="245"/>
      <c r="G25" s="248" t="s">
        <v>110</v>
      </c>
    </row>
    <row r="26" spans="1:7" s="220" customFormat="1">
      <c r="A26" s="888" t="s">
        <v>795</v>
      </c>
      <c r="B26" s="221" t="s">
        <v>1028</v>
      </c>
      <c r="C26" s="244">
        <f ca="1">ROUND(IF('数据-取费表'!B22&lt;=1,F21*F22*'数据-取费表'!B23/2,F21*(POWER((1+F22),'数据-取费表'!B23/2)-1)),4)</f>
        <v>1.4E-3</v>
      </c>
      <c r="D26" s="244"/>
      <c r="E26" s="247"/>
      <c r="F26" s="245"/>
      <c r="G26" s="249"/>
    </row>
    <row r="27" spans="1:7" s="220" customFormat="1" ht="24.75">
      <c r="A27" s="885" t="s">
        <v>787</v>
      </c>
      <c r="B27" s="250" t="s">
        <v>112</v>
      </c>
      <c r="C27" s="251">
        <f>C28</f>
        <v>1082</v>
      </c>
      <c r="D27" s="241">
        <f>C29</f>
        <v>2.5000000000000001E-3</v>
      </c>
      <c r="E27" s="242" t="s">
        <v>126</v>
      </c>
      <c r="F27" s="252">
        <f>'数据-取费表'!Q16</f>
        <v>0.05</v>
      </c>
      <c r="G27" s="253" t="s">
        <v>1037</v>
      </c>
    </row>
    <row r="28" spans="1:7" s="220" customFormat="1" ht="13.5" customHeight="1">
      <c r="A28" s="888" t="s">
        <v>794</v>
      </c>
      <c r="B28" s="254" t="s">
        <v>1030</v>
      </c>
      <c r="C28" s="255">
        <f>ROUND((C5+C19+C20)*F27*'数据-取费表'!B21/'数据-取费表'!B20,0)</f>
        <v>1082</v>
      </c>
      <c r="D28" s="241"/>
      <c r="E28" s="242"/>
      <c r="F28" s="252"/>
      <c r="G28" s="253"/>
    </row>
    <row r="29" spans="1:7" s="220" customFormat="1" ht="13.5" customHeight="1">
      <c r="A29" s="888" t="s">
        <v>792</v>
      </c>
      <c r="B29" s="254" t="s">
        <v>1031</v>
      </c>
      <c r="C29" s="244">
        <f>ROUND(C21*F27*'数据-取费表'!B21/'数据-取费表'!B20,4)</f>
        <v>2.5000000000000001E-3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26808</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57</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50</v>
      </c>
      <c r="D34" s="223"/>
      <c r="E34" s="226"/>
      <c r="F34" s="263">
        <f>IF('数据-取费表'!B24=0,1,'数据-取费表'!N16)</f>
        <v>1</v>
      </c>
      <c r="G34" s="225" t="s">
        <v>116</v>
      </c>
    </row>
    <row r="35" spans="1:7" ht="13.5" customHeight="1">
      <c r="A35" s="888" t="s">
        <v>796</v>
      </c>
      <c r="B35" s="221" t="s">
        <v>60</v>
      </c>
      <c r="C35" s="226">
        <f>ROUND(C34*F35,0)</f>
        <v>3</v>
      </c>
      <c r="D35" s="226"/>
      <c r="E35" s="226"/>
      <c r="F35" s="265">
        <f>'数据-取费表'!B33</f>
        <v>0.05</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3</v>
      </c>
      <c r="D37" s="223">
        <f>'数据-汇总表'!E3</f>
        <v>198.07</v>
      </c>
      <c r="E37" s="255">
        <f>'数据-取费表'!B35</f>
        <v>140</v>
      </c>
      <c r="F37" s="265"/>
      <c r="G37" s="267" t="s">
        <v>119</v>
      </c>
    </row>
    <row r="38" spans="1:7" ht="13.5" customHeight="1">
      <c r="A38" s="888" t="s">
        <v>799</v>
      </c>
      <c r="B38" s="221" t="s">
        <v>63</v>
      </c>
      <c r="C38" s="226">
        <f>ROUND(C34*F38,0)</f>
        <v>1</v>
      </c>
      <c r="D38" s="226"/>
      <c r="E38" s="226"/>
      <c r="F38" s="265">
        <f>'数据-取费表'!B36</f>
        <v>1.4999999999999999E-2</v>
      </c>
      <c r="G38" s="225" t="s">
        <v>117</v>
      </c>
    </row>
    <row r="39" spans="1:7" s="220" customFormat="1" ht="13.5" customHeight="1">
      <c r="A39" s="885" t="s">
        <v>783</v>
      </c>
      <c r="B39" s="216" t="s">
        <v>104</v>
      </c>
      <c r="C39" s="238">
        <f>ROUND(C33*F20,0)</f>
        <v>3</v>
      </c>
      <c r="D39" s="238"/>
      <c r="E39" s="238"/>
      <c r="F39" s="239"/>
      <c r="G39" s="1199" t="s">
        <v>1039</v>
      </c>
    </row>
    <row r="40" spans="1:7" s="220" customFormat="1" ht="13.5" customHeight="1">
      <c r="A40" s="885" t="s">
        <v>784</v>
      </c>
      <c r="B40" s="216" t="s">
        <v>105</v>
      </c>
      <c r="C40" s="268">
        <f>F21</f>
        <v>0.05</v>
      </c>
      <c r="D40" s="242" t="s">
        <v>129</v>
      </c>
      <c r="E40" s="238"/>
      <c r="F40" s="239"/>
      <c r="G40" s="240" t="s">
        <v>120</v>
      </c>
    </row>
    <row r="41" spans="1:7" s="220" customFormat="1" ht="13.5" customHeight="1">
      <c r="A41" s="885" t="s">
        <v>785</v>
      </c>
      <c r="B41" s="216" t="s">
        <v>107</v>
      </c>
      <c r="C41" s="238">
        <f ca="1">ROUND(SUM(C42:C43),0)</f>
        <v>1</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v>
      </c>
      <c r="D42" s="244"/>
      <c r="E42" s="244"/>
      <c r="F42" s="245"/>
      <c r="G42" s="3876" t="s">
        <v>121</v>
      </c>
    </row>
    <row r="43" spans="1:7" ht="13.5" customHeight="1">
      <c r="A43" s="888" t="s">
        <v>792</v>
      </c>
      <c r="B43" s="221" t="s">
        <v>1032</v>
      </c>
      <c r="C43" s="244">
        <f ca="1">ROUND(IF('数据-取费表'!B22&lt;=1,C39*F22*'数据-取费表'!B21/2,C39*(POWER((1+F22),'数据-取费表'!B21/2)-1)),0)</f>
        <v>0</v>
      </c>
      <c r="D43" s="244"/>
      <c r="E43" s="244"/>
      <c r="F43" s="245"/>
      <c r="G43" s="3877"/>
    </row>
    <row r="44" spans="1:7" ht="13.5" customHeight="1">
      <c r="A44" s="888" t="s">
        <v>793</v>
      </c>
      <c r="B44" s="221" t="s">
        <v>1034</v>
      </c>
      <c r="C44" s="244">
        <f ca="1">ROUND(IF('数据-取费表'!B22&lt;=1,C40*F22*'数据-取费表'!B21/2,C40*(POWER((1+F22),'数据-取费表'!B21/2)-1)),4)</f>
        <v>1E-3</v>
      </c>
      <c r="D44" s="244"/>
      <c r="E44" s="244"/>
      <c r="F44" s="245"/>
      <c r="G44" s="3878"/>
    </row>
    <row r="45" spans="1:7" s="220" customFormat="1" ht="13.5" customHeight="1">
      <c r="A45" s="885" t="s">
        <v>786</v>
      </c>
      <c r="B45" s="250" t="s">
        <v>112</v>
      </c>
      <c r="C45" s="251">
        <f>C46</f>
        <v>3</v>
      </c>
      <c r="D45" s="241">
        <f>C47</f>
        <v>2.5000000000000001E-3</v>
      </c>
      <c r="E45" s="242" t="s">
        <v>129</v>
      </c>
      <c r="F45" s="252"/>
      <c r="G45" s="253" t="s">
        <v>1040</v>
      </c>
    </row>
    <row r="46" spans="1:7" s="220" customFormat="1" ht="13.5" customHeight="1">
      <c r="A46" s="888" t="s">
        <v>794</v>
      </c>
      <c r="B46" s="254" t="s">
        <v>1033</v>
      </c>
      <c r="C46" s="255">
        <f>ROUND((C33+C39)*F27,0)</f>
        <v>3</v>
      </c>
      <c r="D46" s="269"/>
      <c r="E46" s="242"/>
      <c r="F46" s="252"/>
      <c r="G46" s="253"/>
    </row>
    <row r="47" spans="1:7" s="220" customFormat="1" ht="13.5" customHeight="1">
      <c r="A47" s="888" t="s">
        <v>792</v>
      </c>
      <c r="B47" s="254" t="s">
        <v>1035</v>
      </c>
      <c r="C47" s="244">
        <f>ROUND(C40*F27,4)</f>
        <v>2.5000000000000001E-3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72</v>
      </c>
      <c r="D49" s="238"/>
      <c r="E49" s="238"/>
      <c r="F49" s="270"/>
      <c r="G49" s="240" t="s">
        <v>1041</v>
      </c>
    </row>
    <row r="50" spans="1:7" s="264" customFormat="1" ht="24">
      <c r="A50" s="885" t="s">
        <v>789</v>
      </c>
      <c r="B50" s="216" t="s">
        <v>124</v>
      </c>
      <c r="C50" s="238"/>
      <c r="D50" s="238"/>
      <c r="E50" s="238"/>
      <c r="F50" s="270">
        <f>IF('数据-取费表'!B24=0,'数据-取费表'!N16,1)</f>
        <v>0.82</v>
      </c>
      <c r="G50" s="253" t="s">
        <v>125</v>
      </c>
    </row>
    <row r="51" spans="1:7" ht="16.5" customHeight="1">
      <c r="A51" s="885" t="s">
        <v>790</v>
      </c>
      <c r="B51" s="216" t="s">
        <v>132</v>
      </c>
      <c r="C51" s="238">
        <f ca="1">ROUND(C49*F50,0)</f>
        <v>59</v>
      </c>
      <c r="D51" s="238"/>
      <c r="E51" s="238"/>
      <c r="F51" s="270"/>
      <c r="G51" s="240" t="s">
        <v>64</v>
      </c>
    </row>
    <row r="52" spans="1:7" s="214" customFormat="1" ht="16.5" thickBot="1">
      <c r="A52" s="271" t="s">
        <v>65</v>
      </c>
      <c r="B52" s="272"/>
      <c r="C52" s="273">
        <f ca="1">C31+C51</f>
        <v>26867</v>
      </c>
      <c r="D52" s="272"/>
      <c r="E52" s="272"/>
      <c r="F52" s="272"/>
      <c r="G52" s="274"/>
    </row>
    <row r="55" spans="1:7" ht="15">
      <c r="B55" s="276" t="s">
        <v>66</v>
      </c>
      <c r="C55" s="277"/>
    </row>
    <row r="56" spans="1:7">
      <c r="B56" s="279" t="s">
        <v>67</v>
      </c>
      <c r="C56" s="280">
        <f ca="1">ROUND(C51/C52,3)</f>
        <v>2E-3</v>
      </c>
    </row>
    <row r="57" spans="1:7">
      <c r="B57" s="279" t="s">
        <v>68</v>
      </c>
      <c r="C57" s="281">
        <f ca="1">1-C56</f>
        <v>0.998</v>
      </c>
    </row>
  </sheetData>
  <mergeCells count="1">
    <mergeCell ref="G42:G44"/>
  </mergeCells>
  <phoneticPr fontId="18" type="noConversion"/>
  <dataValidations count="2">
    <dataValidation type="list" allowBlank="1" showInputMessage="1" showErrorMessage="1" sqref="G19" xr:uid="{00000000-0002-0000-2800-000000000000}">
      <formula1>"已包含在土地取得成本中,未包含在土地取得成本中"</formula1>
    </dataValidation>
    <dataValidation type="list" allowBlank="1" showInputMessage="1" showErrorMessage="1" sqref="G8" xr:uid="{00000000-0002-0000-28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344"/>
  <sheetViews>
    <sheetView workbookViewId="0">
      <selection activeCell="G224" sqref="G224"/>
    </sheetView>
  </sheetViews>
  <sheetFormatPr defaultColWidth="9" defaultRowHeight="13.5"/>
  <cols>
    <col min="1" max="1" width="12.625" style="794" customWidth="1"/>
    <col min="2" max="5" width="10.125" style="752" customWidth="1"/>
    <col min="6" max="6" width="9" style="752"/>
    <col min="7" max="8" width="9" style="767"/>
    <col min="9" max="16384" width="9" style="752"/>
  </cols>
  <sheetData>
    <row r="1" spans="1:19">
      <c r="A1" s="4022" t="s">
        <v>156</v>
      </c>
      <c r="B1" s="4022"/>
      <c r="C1" s="4022"/>
      <c r="D1" s="4022"/>
      <c r="E1" s="4022"/>
      <c r="F1" s="4022"/>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4023" t="s">
        <v>169</v>
      </c>
      <c r="B2" s="4023"/>
      <c r="C2" s="4023"/>
      <c r="D2" s="4023"/>
      <c r="E2" s="4023"/>
      <c r="F2" s="4023"/>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4024"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4025"/>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344"/>
  <sheetViews>
    <sheetView workbookViewId="0">
      <selection activeCell="F6" sqref="F6"/>
    </sheetView>
  </sheetViews>
  <sheetFormatPr defaultColWidth="8.875" defaultRowHeight="13.5"/>
  <cols>
    <col min="1" max="1" width="12.625" style="794" customWidth="1"/>
    <col min="2" max="2" width="10.125" style="752" customWidth="1"/>
  </cols>
  <sheetData>
    <row r="1" spans="1:6">
      <c r="A1" s="4022" t="s">
        <v>839</v>
      </c>
      <c r="B1" s="4022"/>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24.75" thickBot="1">
      <c r="A72" s="779" t="s">
        <v>137</v>
      </c>
      <c r="B72" s="773" t="s">
        <v>853</v>
      </c>
      <c r="C72" s="991"/>
      <c r="D72" s="991"/>
      <c r="E72" s="991"/>
      <c r="F72" s="979">
        <v>0.05</v>
      </c>
    </row>
    <row r="73" spans="1:6" ht="24.75" thickBot="1">
      <c r="A73" s="779" t="s">
        <v>137</v>
      </c>
      <c r="B73" s="773" t="s">
        <v>854</v>
      </c>
      <c r="C73" s="991"/>
      <c r="D73" s="991"/>
      <c r="E73" s="991"/>
      <c r="F73" s="979">
        <v>0.05</v>
      </c>
    </row>
    <row r="74" spans="1:6" ht="24.75" thickBot="1">
      <c r="A74" s="779" t="s">
        <v>137</v>
      </c>
      <c r="B74" s="773" t="s">
        <v>855</v>
      </c>
      <c r="C74" s="991"/>
      <c r="D74" s="991"/>
      <c r="E74" s="991"/>
      <c r="F74" s="979">
        <v>0.05</v>
      </c>
    </row>
    <row r="75" spans="1:6" ht="24.7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24.7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24.7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W68"/>
  <sheetViews>
    <sheetView workbookViewId="0">
      <selection activeCell="D30" activeCellId="1" sqref="H5 D30"/>
    </sheetView>
  </sheetViews>
  <sheetFormatPr defaultColWidth="8.875" defaultRowHeight="13.5"/>
  <cols>
    <col min="1" max="1" width="4.875" style="1410" customWidth="1"/>
    <col min="2" max="2" width="13.1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125" style="1416" customWidth="1"/>
    <col min="9" max="9" width="9" style="1416"/>
    <col min="10" max="10" width="9.375" style="1416" bestFit="1" customWidth="1"/>
    <col min="11" max="11" width="4" style="1410" customWidth="1"/>
    <col min="12" max="12" width="5.125" style="1416" customWidth="1"/>
    <col min="13" max="13" width="13.625" style="1416" customWidth="1"/>
    <col min="14" max="256" width="9" style="1416"/>
    <col min="257" max="257" width="4.875" style="1407" customWidth="1"/>
    <col min="258" max="258" width="13.1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625" style="1407" customWidth="1"/>
    <col min="270" max="512" width="9" style="1407"/>
    <col min="513" max="513" width="4.875" style="1407" customWidth="1"/>
    <col min="514" max="514" width="13.1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625" style="1407" customWidth="1"/>
    <col min="526" max="768" width="9" style="1407"/>
    <col min="769" max="769" width="4.875" style="1407" customWidth="1"/>
    <col min="770" max="770" width="13.1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625" style="1407" customWidth="1"/>
    <col min="782" max="1024" width="9" style="1407"/>
    <col min="1025" max="1025" width="4.875" style="1407" customWidth="1"/>
    <col min="1026" max="1026" width="13.1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625" style="1407" customWidth="1"/>
    <col min="1038" max="1280" width="9" style="1407"/>
    <col min="1281" max="1281" width="4.875" style="1407" customWidth="1"/>
    <col min="1282" max="1282" width="13.1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625" style="1407" customWidth="1"/>
    <col min="1294" max="1536" width="9" style="1407"/>
    <col min="1537" max="1537" width="4.875" style="1407" customWidth="1"/>
    <col min="1538" max="1538" width="13.1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625" style="1407" customWidth="1"/>
    <col min="1550" max="1792" width="9" style="1407"/>
    <col min="1793" max="1793" width="4.875" style="1407" customWidth="1"/>
    <col min="1794" max="1794" width="13.1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625" style="1407" customWidth="1"/>
    <col min="1806" max="2048" width="9" style="1407"/>
    <col min="2049" max="2049" width="4.875" style="1407" customWidth="1"/>
    <col min="2050" max="2050" width="13.1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625" style="1407" customWidth="1"/>
    <col min="2062" max="2304" width="9" style="1407"/>
    <col min="2305" max="2305" width="4.875" style="1407" customWidth="1"/>
    <col min="2306" max="2306" width="13.1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625" style="1407" customWidth="1"/>
    <col min="2318" max="2560" width="9" style="1407"/>
    <col min="2561" max="2561" width="4.875" style="1407" customWidth="1"/>
    <col min="2562" max="2562" width="13.1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625" style="1407" customWidth="1"/>
    <col min="2574" max="2816" width="9" style="1407"/>
    <col min="2817" max="2817" width="4.875" style="1407" customWidth="1"/>
    <col min="2818" max="2818" width="13.1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625" style="1407" customWidth="1"/>
    <col min="2830" max="3072" width="9" style="1407"/>
    <col min="3073" max="3073" width="4.875" style="1407" customWidth="1"/>
    <col min="3074" max="3074" width="13.1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625" style="1407" customWidth="1"/>
    <col min="3086" max="3328" width="9" style="1407"/>
    <col min="3329" max="3329" width="4.875" style="1407" customWidth="1"/>
    <col min="3330" max="3330" width="13.1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625" style="1407" customWidth="1"/>
    <col min="3342" max="3584" width="9" style="1407"/>
    <col min="3585" max="3585" width="4.875" style="1407" customWidth="1"/>
    <col min="3586" max="3586" width="13.1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625" style="1407" customWidth="1"/>
    <col min="3598" max="3840" width="9" style="1407"/>
    <col min="3841" max="3841" width="4.875" style="1407" customWidth="1"/>
    <col min="3842" max="3842" width="13.1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625" style="1407" customWidth="1"/>
    <col min="3854" max="4096" width="9" style="1407"/>
    <col min="4097" max="4097" width="4.875" style="1407" customWidth="1"/>
    <col min="4098" max="4098" width="13.1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625" style="1407" customWidth="1"/>
    <col min="4110" max="4352" width="9" style="1407"/>
    <col min="4353" max="4353" width="4.875" style="1407" customWidth="1"/>
    <col min="4354" max="4354" width="13.1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625" style="1407" customWidth="1"/>
    <col min="4366" max="4608" width="9" style="1407"/>
    <col min="4609" max="4609" width="4.875" style="1407" customWidth="1"/>
    <col min="4610" max="4610" width="13.1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625" style="1407" customWidth="1"/>
    <col min="4622" max="4864" width="9" style="1407"/>
    <col min="4865" max="4865" width="4.875" style="1407" customWidth="1"/>
    <col min="4866" max="4866" width="13.1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625" style="1407" customWidth="1"/>
    <col min="4878" max="5120" width="9" style="1407"/>
    <col min="5121" max="5121" width="4.875" style="1407" customWidth="1"/>
    <col min="5122" max="5122" width="13.1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625" style="1407" customWidth="1"/>
    <col min="5134" max="5376" width="9" style="1407"/>
    <col min="5377" max="5377" width="4.875" style="1407" customWidth="1"/>
    <col min="5378" max="5378" width="13.1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625" style="1407" customWidth="1"/>
    <col min="5390" max="5632" width="9" style="1407"/>
    <col min="5633" max="5633" width="4.875" style="1407" customWidth="1"/>
    <col min="5634" max="5634" width="13.1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625" style="1407" customWidth="1"/>
    <col min="5646" max="5888" width="9" style="1407"/>
    <col min="5889" max="5889" width="4.875" style="1407" customWidth="1"/>
    <col min="5890" max="5890" width="13.1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625" style="1407" customWidth="1"/>
    <col min="5902" max="6144" width="9" style="1407"/>
    <col min="6145" max="6145" width="4.875" style="1407" customWidth="1"/>
    <col min="6146" max="6146" width="13.1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625" style="1407" customWidth="1"/>
    <col min="6158" max="6400" width="9" style="1407"/>
    <col min="6401" max="6401" width="4.875" style="1407" customWidth="1"/>
    <col min="6402" max="6402" width="13.1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625" style="1407" customWidth="1"/>
    <col min="6414" max="6656" width="9" style="1407"/>
    <col min="6657" max="6657" width="4.875" style="1407" customWidth="1"/>
    <col min="6658" max="6658" width="13.1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625" style="1407" customWidth="1"/>
    <col min="6670" max="6912" width="9" style="1407"/>
    <col min="6913" max="6913" width="4.875" style="1407" customWidth="1"/>
    <col min="6914" max="6914" width="13.1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625" style="1407" customWidth="1"/>
    <col min="6926" max="7168" width="9" style="1407"/>
    <col min="7169" max="7169" width="4.875" style="1407" customWidth="1"/>
    <col min="7170" max="7170" width="13.1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625" style="1407" customWidth="1"/>
    <col min="7182" max="7424" width="9" style="1407"/>
    <col min="7425" max="7425" width="4.875" style="1407" customWidth="1"/>
    <col min="7426" max="7426" width="13.1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625" style="1407" customWidth="1"/>
    <col min="7438" max="7680" width="9" style="1407"/>
    <col min="7681" max="7681" width="4.875" style="1407" customWidth="1"/>
    <col min="7682" max="7682" width="13.1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625" style="1407" customWidth="1"/>
    <col min="7694" max="7936" width="9" style="1407"/>
    <col min="7937" max="7937" width="4.875" style="1407" customWidth="1"/>
    <col min="7938" max="7938" width="13.1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625" style="1407" customWidth="1"/>
    <col min="7950" max="8192" width="9" style="1407"/>
    <col min="8193" max="8193" width="4.875" style="1407" customWidth="1"/>
    <col min="8194" max="8194" width="13.1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625" style="1407" customWidth="1"/>
    <col min="8206" max="8448" width="9" style="1407"/>
    <col min="8449" max="8449" width="4.875" style="1407" customWidth="1"/>
    <col min="8450" max="8450" width="13.1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625" style="1407" customWidth="1"/>
    <col min="8462" max="8704" width="9" style="1407"/>
    <col min="8705" max="8705" width="4.875" style="1407" customWidth="1"/>
    <col min="8706" max="8706" width="13.1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625" style="1407" customWidth="1"/>
    <col min="8718" max="8960" width="9" style="1407"/>
    <col min="8961" max="8961" width="4.875" style="1407" customWidth="1"/>
    <col min="8962" max="8962" width="13.1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625" style="1407" customWidth="1"/>
    <col min="8974" max="9216" width="9" style="1407"/>
    <col min="9217" max="9217" width="4.875" style="1407" customWidth="1"/>
    <col min="9218" max="9218" width="13.1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625" style="1407" customWidth="1"/>
    <col min="9230" max="9472" width="9" style="1407"/>
    <col min="9473" max="9473" width="4.875" style="1407" customWidth="1"/>
    <col min="9474" max="9474" width="13.1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625" style="1407" customWidth="1"/>
    <col min="9486" max="9728" width="9" style="1407"/>
    <col min="9729" max="9729" width="4.875" style="1407" customWidth="1"/>
    <col min="9730" max="9730" width="13.1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625" style="1407" customWidth="1"/>
    <col min="9742" max="9984" width="9" style="1407"/>
    <col min="9985" max="9985" width="4.875" style="1407" customWidth="1"/>
    <col min="9986" max="9986" width="13.1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625" style="1407" customWidth="1"/>
    <col min="9998" max="10240" width="9" style="1407"/>
    <col min="10241" max="10241" width="4.875" style="1407" customWidth="1"/>
    <col min="10242" max="10242" width="13.1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625" style="1407" customWidth="1"/>
    <col min="10254" max="10496" width="9" style="1407"/>
    <col min="10497" max="10497" width="4.875" style="1407" customWidth="1"/>
    <col min="10498" max="10498" width="13.1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625" style="1407" customWidth="1"/>
    <col min="10510" max="10752" width="9" style="1407"/>
    <col min="10753" max="10753" width="4.875" style="1407" customWidth="1"/>
    <col min="10754" max="10754" width="13.1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625" style="1407" customWidth="1"/>
    <col min="10766" max="11008" width="9" style="1407"/>
    <col min="11009" max="11009" width="4.875" style="1407" customWidth="1"/>
    <col min="11010" max="11010" width="13.1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625" style="1407" customWidth="1"/>
    <col min="11022" max="11264" width="9" style="1407"/>
    <col min="11265" max="11265" width="4.875" style="1407" customWidth="1"/>
    <col min="11266" max="11266" width="13.1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625" style="1407" customWidth="1"/>
    <col min="11278" max="11520" width="9" style="1407"/>
    <col min="11521" max="11521" width="4.875" style="1407" customWidth="1"/>
    <col min="11522" max="11522" width="13.1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625" style="1407" customWidth="1"/>
    <col min="11534" max="11776" width="9" style="1407"/>
    <col min="11777" max="11777" width="4.875" style="1407" customWidth="1"/>
    <col min="11778" max="11778" width="13.1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625" style="1407" customWidth="1"/>
    <col min="11790" max="12032" width="9" style="1407"/>
    <col min="12033" max="12033" width="4.875" style="1407" customWidth="1"/>
    <col min="12034" max="12034" width="13.1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625" style="1407" customWidth="1"/>
    <col min="12046" max="12288" width="9" style="1407"/>
    <col min="12289" max="12289" width="4.875" style="1407" customWidth="1"/>
    <col min="12290" max="12290" width="13.1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625" style="1407" customWidth="1"/>
    <col min="12302" max="12544" width="9" style="1407"/>
    <col min="12545" max="12545" width="4.875" style="1407" customWidth="1"/>
    <col min="12546" max="12546" width="13.1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625" style="1407" customWidth="1"/>
    <col min="12558" max="12800" width="9" style="1407"/>
    <col min="12801" max="12801" width="4.875" style="1407" customWidth="1"/>
    <col min="12802" max="12802" width="13.1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625" style="1407" customWidth="1"/>
    <col min="12814" max="13056" width="9" style="1407"/>
    <col min="13057" max="13057" width="4.875" style="1407" customWidth="1"/>
    <col min="13058" max="13058" width="13.1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625" style="1407" customWidth="1"/>
    <col min="13070" max="13312" width="9" style="1407"/>
    <col min="13313" max="13313" width="4.875" style="1407" customWidth="1"/>
    <col min="13314" max="13314" width="13.1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625" style="1407" customWidth="1"/>
    <col min="13326" max="13568" width="9" style="1407"/>
    <col min="13569" max="13569" width="4.875" style="1407" customWidth="1"/>
    <col min="13570" max="13570" width="13.1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625" style="1407" customWidth="1"/>
    <col min="13582" max="13824" width="9" style="1407"/>
    <col min="13825" max="13825" width="4.875" style="1407" customWidth="1"/>
    <col min="13826" max="13826" width="13.1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625" style="1407" customWidth="1"/>
    <col min="13838" max="14080" width="9" style="1407"/>
    <col min="14081" max="14081" width="4.875" style="1407" customWidth="1"/>
    <col min="14082" max="14082" width="13.1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625" style="1407" customWidth="1"/>
    <col min="14094" max="14336" width="9" style="1407"/>
    <col min="14337" max="14337" width="4.875" style="1407" customWidth="1"/>
    <col min="14338" max="14338" width="13.1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625" style="1407" customWidth="1"/>
    <col min="14350" max="14592" width="9" style="1407"/>
    <col min="14593" max="14593" width="4.875" style="1407" customWidth="1"/>
    <col min="14594" max="14594" width="13.1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625" style="1407" customWidth="1"/>
    <col min="14606" max="14848" width="9" style="1407"/>
    <col min="14849" max="14849" width="4.875" style="1407" customWidth="1"/>
    <col min="14850" max="14850" width="13.1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625" style="1407" customWidth="1"/>
    <col min="14862" max="15104" width="9" style="1407"/>
    <col min="15105" max="15105" width="4.875" style="1407" customWidth="1"/>
    <col min="15106" max="15106" width="13.1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625" style="1407" customWidth="1"/>
    <col min="15118" max="15360" width="9" style="1407"/>
    <col min="15361" max="15361" width="4.875" style="1407" customWidth="1"/>
    <col min="15362" max="15362" width="13.1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625" style="1407" customWidth="1"/>
    <col min="15374" max="15616" width="9" style="1407"/>
    <col min="15617" max="15617" width="4.875" style="1407" customWidth="1"/>
    <col min="15618" max="15618" width="13.1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625" style="1407" customWidth="1"/>
    <col min="15630" max="15872" width="9" style="1407"/>
    <col min="15873" max="15873" width="4.875" style="1407" customWidth="1"/>
    <col min="15874" max="15874" width="13.1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625" style="1407" customWidth="1"/>
    <col min="15886" max="16128" width="9" style="1407"/>
    <col min="16129" max="16129" width="4.875" style="1407" customWidth="1"/>
    <col min="16130" max="16130" width="13.1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625" style="1407" customWidth="1"/>
    <col min="16142" max="16384" width="9" style="1407"/>
  </cols>
  <sheetData>
    <row r="1" spans="1:257" s="1469" customFormat="1" ht="14.25" thickBot="1">
      <c r="A1" s="1463"/>
      <c r="B1" s="1470" t="s">
        <v>1267</v>
      </c>
      <c r="C1" s="1464">
        <f>项目基本情况!D3</f>
        <v>44357</v>
      </c>
      <c r="D1" s="1470" t="s">
        <v>1268</v>
      </c>
      <c r="E1" s="1465">
        <f>'数据-取费表'!B22</f>
        <v>1.5</v>
      </c>
      <c r="F1" s="1470" t="s">
        <v>1269</v>
      </c>
      <c r="G1" s="1466">
        <f ca="1">INDIRECT("d"&amp;$K$1)/100</f>
        <v>3.85E-2</v>
      </c>
      <c r="H1" s="1470" t="s">
        <v>1299</v>
      </c>
      <c r="I1" s="1466">
        <f ca="1">F4/100</f>
        <v>1.4999999999999999E-2</v>
      </c>
      <c r="J1" s="1471">
        <f>IF(C1&gt;C13,0,MATCH(C1,C$13:C$105,-1))+IF(SUMIF(C13:C105,C1,D13:D105)=0,13,12)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3.85</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3.85</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3.85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3.85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4.6500000000000004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3052">
        <v>43941</v>
      </c>
      <c r="D13" s="3053">
        <v>3.85</v>
      </c>
      <c r="E13" s="3053">
        <v>3.85</v>
      </c>
      <c r="F13" s="3053">
        <v>3.85</v>
      </c>
      <c r="G13" s="3053">
        <v>3.85</v>
      </c>
      <c r="H13" s="3053">
        <v>4.6500000000000004</v>
      </c>
      <c r="I13" s="1454"/>
      <c r="J13" s="1454"/>
      <c r="K13" s="1452"/>
      <c r="L13" s="1453" t="s">
        <v>1297</v>
      </c>
      <c r="M13" s="1455">
        <v>42301</v>
      </c>
      <c r="N13" s="1454">
        <v>0.35</v>
      </c>
      <c r="O13" s="1454">
        <v>1.1000000000000001</v>
      </c>
      <c r="P13" s="1454">
        <v>1.3</v>
      </c>
      <c r="Q13" s="1454">
        <v>1.5</v>
      </c>
      <c r="R13" s="1454">
        <v>2.1</v>
      </c>
      <c r="S13" s="1454">
        <v>2.75</v>
      </c>
      <c r="T13" s="1454"/>
      <c r="U13" s="1454"/>
      <c r="V13" s="1454"/>
      <c r="W13" s="1454"/>
      <c r="X13" s="1454"/>
      <c r="Y13" s="1454"/>
      <c r="Z13" s="1454"/>
      <c r="AA13" s="1456"/>
      <c r="AB13" s="1456"/>
      <c r="AC13" s="1456"/>
      <c r="AD13" s="1456"/>
      <c r="AE13" s="1456"/>
      <c r="AF13" s="1456"/>
      <c r="AG13" s="1456"/>
      <c r="AH13" s="1456"/>
      <c r="AI13" s="1456"/>
      <c r="AJ13" s="1456"/>
      <c r="AK13" s="1456"/>
      <c r="AL13" s="1456"/>
      <c r="AM13" s="1456"/>
      <c r="AN13" s="1456"/>
      <c r="AO13" s="1456"/>
      <c r="AP13" s="1456"/>
      <c r="AQ13" s="1456"/>
      <c r="AR13" s="1456"/>
      <c r="AS13" s="1456"/>
      <c r="AT13" s="1456"/>
      <c r="AU13" s="1456"/>
      <c r="AV13" s="1456"/>
      <c r="AW13" s="1456"/>
      <c r="AX13" s="1456"/>
      <c r="AY13" s="1456"/>
      <c r="AZ13" s="1456"/>
      <c r="BA13" s="1456"/>
      <c r="BB13" s="1456"/>
      <c r="BC13" s="1456"/>
      <c r="BD13" s="1456"/>
      <c r="BE13" s="1456"/>
      <c r="BF13" s="1456"/>
      <c r="BG13" s="1456"/>
      <c r="BH13" s="1456"/>
      <c r="BI13" s="1456"/>
      <c r="BJ13" s="1456"/>
      <c r="BK13" s="1456"/>
      <c r="BL13" s="1456"/>
      <c r="BM13" s="1456"/>
      <c r="BN13" s="1456"/>
      <c r="BO13" s="1456"/>
      <c r="BP13" s="1456"/>
      <c r="BQ13" s="1456"/>
      <c r="BR13" s="1456"/>
      <c r="BS13" s="1456"/>
      <c r="BT13" s="1456"/>
      <c r="BU13" s="1456"/>
      <c r="BV13" s="1456"/>
      <c r="BW13" s="1456"/>
      <c r="BX13" s="1456"/>
      <c r="BY13" s="1456"/>
      <c r="BZ13" s="1456"/>
      <c r="CA13" s="1456"/>
      <c r="CB13" s="1456"/>
      <c r="CC13" s="1456"/>
      <c r="CD13" s="1456"/>
      <c r="CE13" s="1456"/>
      <c r="CF13" s="1456"/>
      <c r="CG13" s="1456"/>
      <c r="CH13" s="1456"/>
      <c r="CI13" s="1456"/>
      <c r="CJ13" s="1456"/>
      <c r="CK13" s="1456"/>
      <c r="CL13" s="1456"/>
      <c r="CM13" s="1456"/>
      <c r="CN13" s="1456"/>
      <c r="CO13" s="1456"/>
      <c r="CP13" s="1456"/>
      <c r="CQ13" s="1456"/>
      <c r="CR13" s="1456"/>
      <c r="CS13" s="1456"/>
      <c r="CT13" s="1456"/>
      <c r="CU13" s="1456"/>
      <c r="CV13" s="1456"/>
      <c r="CW13" s="1456"/>
      <c r="CX13" s="1456"/>
      <c r="CY13" s="1456"/>
      <c r="CZ13" s="1456"/>
      <c r="DA13" s="1456"/>
      <c r="DB13" s="1456"/>
      <c r="DC13" s="1456"/>
      <c r="DD13" s="1456"/>
      <c r="DE13" s="1456"/>
      <c r="DF13" s="1456"/>
      <c r="DG13" s="1456"/>
      <c r="DH13" s="1456"/>
      <c r="DI13" s="1456"/>
      <c r="DJ13" s="1456"/>
      <c r="DK13" s="1456"/>
      <c r="DL13" s="1456"/>
      <c r="DM13" s="1456"/>
      <c r="DN13" s="1456"/>
      <c r="DO13" s="1456"/>
      <c r="DP13" s="1456"/>
      <c r="DQ13" s="1456"/>
      <c r="DR13" s="1456"/>
      <c r="DS13" s="1456"/>
      <c r="DT13" s="1456"/>
      <c r="DU13" s="1456"/>
      <c r="DV13" s="1456"/>
      <c r="DW13" s="1456"/>
      <c r="DX13" s="1456"/>
      <c r="DY13" s="1456"/>
      <c r="DZ13" s="1456"/>
      <c r="EA13" s="1456"/>
      <c r="EB13" s="1456"/>
      <c r="EC13" s="1456"/>
      <c r="ED13" s="1456"/>
      <c r="EE13" s="1456"/>
      <c r="EF13" s="1456"/>
      <c r="EG13" s="1456"/>
      <c r="EH13" s="1456"/>
      <c r="EI13" s="1456"/>
      <c r="EJ13" s="1456"/>
      <c r="EK13" s="1456"/>
      <c r="EL13" s="1456"/>
      <c r="EM13" s="1456"/>
      <c r="EN13" s="1456"/>
      <c r="EO13" s="1456"/>
      <c r="EP13" s="1456"/>
      <c r="EQ13" s="1456"/>
      <c r="ER13" s="1456"/>
      <c r="ES13" s="1456"/>
      <c r="ET13" s="1456"/>
      <c r="EU13" s="1456"/>
      <c r="EV13" s="1456"/>
      <c r="EW13" s="1456"/>
      <c r="EX13" s="1456"/>
      <c r="EY13" s="1456"/>
      <c r="EZ13" s="1456"/>
      <c r="FA13" s="1456"/>
      <c r="FB13" s="1456"/>
      <c r="FC13" s="1456"/>
      <c r="FD13" s="1456"/>
      <c r="FE13" s="1456"/>
      <c r="FF13" s="1456"/>
      <c r="FG13" s="1456"/>
      <c r="FH13" s="1456"/>
      <c r="FI13" s="1456"/>
      <c r="FJ13" s="1456"/>
      <c r="FK13" s="1456"/>
      <c r="FL13" s="1456"/>
      <c r="FM13" s="1456"/>
      <c r="FN13" s="1456"/>
      <c r="FO13" s="1456"/>
      <c r="FP13" s="1456"/>
      <c r="FQ13" s="1456"/>
      <c r="FR13" s="1456"/>
      <c r="FS13" s="1456"/>
      <c r="FT13" s="1456"/>
      <c r="FU13" s="1456"/>
      <c r="FV13" s="1456"/>
      <c r="FW13" s="1456"/>
      <c r="FX13" s="1456"/>
      <c r="FY13" s="1456"/>
      <c r="FZ13" s="1456"/>
      <c r="GA13" s="1456"/>
      <c r="GB13" s="1456"/>
      <c r="GC13" s="1456"/>
      <c r="GD13" s="1456"/>
      <c r="GE13" s="1456"/>
      <c r="GF13" s="1456"/>
      <c r="GG13" s="1456"/>
      <c r="GH13" s="1456"/>
      <c r="GI13" s="1456"/>
      <c r="GJ13" s="1456"/>
      <c r="GK13" s="1456"/>
      <c r="GL13" s="1456"/>
      <c r="GM13" s="1456"/>
      <c r="GN13" s="1456"/>
      <c r="GO13" s="1456"/>
      <c r="GP13" s="1456"/>
      <c r="GQ13" s="1456"/>
      <c r="GR13" s="1456"/>
      <c r="GS13" s="1456"/>
      <c r="GT13" s="1456"/>
      <c r="GU13" s="1456"/>
      <c r="GV13" s="1456"/>
      <c r="GW13" s="1456"/>
      <c r="GX13" s="1456"/>
      <c r="GY13" s="1456"/>
      <c r="GZ13" s="1456"/>
      <c r="HA13" s="1456"/>
      <c r="HB13" s="1456"/>
      <c r="HC13" s="1456"/>
      <c r="HD13" s="1456"/>
      <c r="HE13" s="1456"/>
      <c r="HF13" s="1456"/>
      <c r="HG13" s="1456"/>
      <c r="HH13" s="1456"/>
      <c r="HI13" s="1456"/>
      <c r="HJ13" s="1456"/>
      <c r="HK13" s="1456"/>
      <c r="HL13" s="1456"/>
      <c r="HM13" s="1456"/>
      <c r="HN13" s="1456"/>
      <c r="HO13" s="1456"/>
      <c r="HP13" s="1456"/>
      <c r="HQ13" s="1456"/>
      <c r="HR13" s="1456"/>
      <c r="HS13" s="1456"/>
      <c r="HT13" s="1456"/>
      <c r="HU13" s="1456"/>
      <c r="HV13" s="1456"/>
      <c r="HW13" s="1456"/>
      <c r="HX13" s="1456"/>
      <c r="HY13" s="1456"/>
      <c r="HZ13" s="1456"/>
      <c r="IA13" s="1456"/>
      <c r="IB13" s="1456"/>
      <c r="IC13" s="1456"/>
      <c r="ID13" s="1456"/>
      <c r="IE13" s="1456"/>
      <c r="IF13" s="1456"/>
      <c r="IG13" s="1456"/>
      <c r="IH13" s="1456"/>
      <c r="II13" s="1456"/>
      <c r="IJ13" s="1456"/>
      <c r="IK13" s="1456"/>
      <c r="IL13" s="1456"/>
      <c r="IM13" s="1456"/>
      <c r="IN13" s="1456"/>
      <c r="IO13" s="1456"/>
      <c r="IP13" s="1456"/>
      <c r="IQ13" s="1456"/>
      <c r="IR13" s="1456"/>
      <c r="IS13" s="1456"/>
      <c r="IT13" s="1456"/>
      <c r="IU13" s="1456"/>
      <c r="IV13" s="1456"/>
      <c r="IW13" s="1457"/>
    </row>
    <row r="14" spans="1:257" ht="14.25">
      <c r="A14" s="1452"/>
      <c r="B14" s="3048"/>
      <c r="C14" s="3049">
        <v>43881</v>
      </c>
      <c r="D14" s="3048">
        <v>4.05</v>
      </c>
      <c r="E14" s="3048">
        <v>4.05</v>
      </c>
      <c r="F14" s="3048">
        <v>4.05</v>
      </c>
      <c r="G14" s="3048">
        <v>4.05</v>
      </c>
      <c r="H14" s="3048">
        <v>4.75</v>
      </c>
      <c r="I14" s="3048"/>
      <c r="J14" s="3048"/>
      <c r="L14" s="1458"/>
      <c r="M14" s="1459">
        <v>42242</v>
      </c>
      <c r="N14" s="1458">
        <v>0.35</v>
      </c>
      <c r="O14" s="1458">
        <v>1.35</v>
      </c>
      <c r="P14" s="1458">
        <v>1.55</v>
      </c>
      <c r="Q14" s="1458">
        <v>1.75</v>
      </c>
      <c r="R14" s="1458">
        <v>2.35</v>
      </c>
      <c r="S14" s="1458">
        <v>3</v>
      </c>
      <c r="T14" s="1458"/>
      <c r="U14" s="1458"/>
      <c r="V14" s="1458"/>
      <c r="W14" s="1458"/>
      <c r="X14" s="1458"/>
      <c r="Y14" s="1458"/>
      <c r="Z14" s="1458"/>
    </row>
    <row r="15" spans="1:257" ht="14.25">
      <c r="A15" s="1452"/>
      <c r="B15" s="3048"/>
      <c r="C15" s="3049">
        <v>43789</v>
      </c>
      <c r="D15" s="3048">
        <v>4.1500000000000004</v>
      </c>
      <c r="E15" s="3048">
        <v>4.1500000000000004</v>
      </c>
      <c r="F15" s="3048">
        <v>4.1500000000000004</v>
      </c>
      <c r="G15" s="3048">
        <v>4.1500000000000004</v>
      </c>
      <c r="H15" s="3048">
        <v>4.8</v>
      </c>
      <c r="I15" s="3048"/>
      <c r="J15" s="3048"/>
      <c r="L15" s="1458"/>
      <c r="M15" s="1459">
        <v>42183</v>
      </c>
      <c r="N15" s="1458">
        <v>0.35</v>
      </c>
      <c r="O15" s="1458">
        <v>1.6</v>
      </c>
      <c r="P15" s="1458">
        <v>1.8</v>
      </c>
      <c r="Q15" s="1458">
        <v>2</v>
      </c>
      <c r="R15" s="1458">
        <v>2.6</v>
      </c>
      <c r="S15" s="1458">
        <v>3.25</v>
      </c>
      <c r="T15" s="1458"/>
      <c r="U15" s="1458"/>
      <c r="V15" s="1458"/>
      <c r="W15" s="1458"/>
      <c r="X15" s="1458"/>
      <c r="Y15" s="1458"/>
      <c r="Z15" s="1458"/>
    </row>
    <row r="16" spans="1:257" ht="14.25">
      <c r="A16" s="1452"/>
      <c r="B16" s="3048"/>
      <c r="C16" s="3049">
        <v>43728</v>
      </c>
      <c r="D16" s="3048">
        <v>4.2</v>
      </c>
      <c r="E16" s="3048">
        <v>4.2</v>
      </c>
      <c r="F16" s="3048">
        <v>4.2</v>
      </c>
      <c r="G16" s="3048">
        <v>4.2</v>
      </c>
      <c r="H16" s="3048">
        <v>4.8499999999999996</v>
      </c>
      <c r="I16" s="3048"/>
      <c r="J16" s="3048"/>
      <c r="L16" s="1458"/>
      <c r="M16" s="1459">
        <v>42135</v>
      </c>
      <c r="N16" s="1458">
        <v>0.35</v>
      </c>
      <c r="O16" s="1458">
        <v>1.85</v>
      </c>
      <c r="P16" s="1458">
        <v>2.0499999999999998</v>
      </c>
      <c r="Q16" s="1458">
        <v>2.25</v>
      </c>
      <c r="R16" s="1458">
        <v>2.85</v>
      </c>
      <c r="S16" s="1458">
        <v>3.5</v>
      </c>
      <c r="T16" s="1458"/>
      <c r="U16" s="1458"/>
      <c r="V16" s="1458"/>
      <c r="W16" s="1458"/>
      <c r="X16" s="1458"/>
      <c r="Y16" s="1458"/>
      <c r="Z16" s="1458"/>
    </row>
    <row r="17" spans="1:256" ht="14.25">
      <c r="A17" s="1452"/>
      <c r="B17" s="3047" t="s">
        <v>3061</v>
      </c>
      <c r="C17" s="3050">
        <v>43697</v>
      </c>
      <c r="D17" s="3051">
        <v>4.25</v>
      </c>
      <c r="E17" s="3051">
        <v>4.25</v>
      </c>
      <c r="F17" s="3051">
        <v>4.25</v>
      </c>
      <c r="G17" s="3051">
        <v>4.25</v>
      </c>
      <c r="H17" s="3051">
        <v>4.8499999999999996</v>
      </c>
      <c r="I17" s="3051"/>
      <c r="J17" s="3051"/>
      <c r="L17" s="1458"/>
      <c r="M17" s="1459">
        <v>42064</v>
      </c>
      <c r="N17" s="1458">
        <v>0.35</v>
      </c>
      <c r="O17" s="1458">
        <v>2.1</v>
      </c>
      <c r="P17" s="1458">
        <v>2.2999999999999998</v>
      </c>
      <c r="Q17" s="1458">
        <v>2.5</v>
      </c>
      <c r="R17" s="1458">
        <v>3.1</v>
      </c>
      <c r="S17" s="1458">
        <v>3.75</v>
      </c>
      <c r="T17" s="1458">
        <v>4.5</v>
      </c>
      <c r="U17" s="1458">
        <v>2.35</v>
      </c>
      <c r="V17" s="1458">
        <v>2.5499999999999998</v>
      </c>
      <c r="W17" s="1458">
        <v>2.75</v>
      </c>
      <c r="X17" s="1458"/>
      <c r="Y17" s="1458">
        <v>0.8</v>
      </c>
      <c r="Z17" s="1458">
        <v>1.35</v>
      </c>
    </row>
    <row r="18" spans="1:256" s="3059" customFormat="1" ht="15">
      <c r="A18" s="3054"/>
      <c r="B18" s="3055"/>
      <c r="C18" s="3056">
        <v>42301</v>
      </c>
      <c r="D18" s="3057">
        <v>4.3499999999999996</v>
      </c>
      <c r="E18" s="3057">
        <v>4.3499999999999996</v>
      </c>
      <c r="F18" s="3057">
        <v>4.75</v>
      </c>
      <c r="G18" s="3057">
        <v>4.75</v>
      </c>
      <c r="H18" s="3057">
        <v>4.9000000000000004</v>
      </c>
      <c r="I18" s="3057"/>
      <c r="J18" s="3057"/>
      <c r="K18" s="1446"/>
      <c r="L18" s="3057"/>
      <c r="M18" s="3056">
        <v>41965</v>
      </c>
      <c r="N18" s="3057">
        <v>0.35</v>
      </c>
      <c r="O18" s="3057">
        <v>2.35</v>
      </c>
      <c r="P18" s="3057">
        <v>2.5499999999999998</v>
      </c>
      <c r="Q18" s="3057">
        <v>2.75</v>
      </c>
      <c r="R18" s="3057">
        <v>3.35</v>
      </c>
      <c r="S18" s="3057">
        <v>4</v>
      </c>
      <c r="T18" s="3057">
        <v>4.75</v>
      </c>
      <c r="U18" s="3058">
        <v>2.35</v>
      </c>
      <c r="V18" s="3058">
        <v>2.5499999999999998</v>
      </c>
      <c r="W18" s="3058">
        <v>2.75</v>
      </c>
      <c r="X18" s="3057"/>
      <c r="Y18" s="3058">
        <v>0.8</v>
      </c>
      <c r="Z18" s="3058">
        <v>1.35</v>
      </c>
      <c r="AA18" s="1451"/>
      <c r="AB18" s="1451"/>
      <c r="AC18" s="1451"/>
      <c r="AD18" s="1451"/>
      <c r="AE18" s="1451"/>
      <c r="AF18" s="1451"/>
      <c r="AG18" s="1451"/>
      <c r="AH18" s="1451"/>
      <c r="AI18" s="1451"/>
      <c r="AJ18" s="1451"/>
      <c r="AK18" s="1451"/>
      <c r="AL18" s="1451"/>
      <c r="AM18" s="1451"/>
      <c r="AN18" s="1451"/>
      <c r="AO18" s="1451"/>
      <c r="AP18" s="1451"/>
      <c r="AQ18" s="1451"/>
      <c r="AR18" s="1451"/>
      <c r="AS18" s="1451"/>
      <c r="AT18" s="1451"/>
      <c r="AU18" s="1451"/>
      <c r="AV18" s="1451"/>
      <c r="AW18" s="1451"/>
      <c r="AX18" s="1451"/>
      <c r="AY18" s="1451"/>
      <c r="AZ18" s="1451"/>
      <c r="BA18" s="1451"/>
      <c r="BB18" s="1451"/>
      <c r="BC18" s="1451"/>
      <c r="BD18" s="1451"/>
      <c r="BE18" s="1451"/>
      <c r="BF18" s="1451"/>
      <c r="BG18" s="1451"/>
      <c r="BH18" s="1451"/>
      <c r="BI18" s="1451"/>
      <c r="BJ18" s="1451"/>
      <c r="BK18" s="1451"/>
      <c r="BL18" s="1451"/>
      <c r="BM18" s="1451"/>
      <c r="BN18" s="1451"/>
      <c r="BO18" s="1451"/>
      <c r="BP18" s="1451"/>
      <c r="BQ18" s="1451"/>
      <c r="BR18" s="1451"/>
      <c r="BS18" s="1451"/>
      <c r="BT18" s="1451"/>
      <c r="BU18" s="1451"/>
      <c r="BV18" s="1451"/>
      <c r="BW18" s="1451"/>
      <c r="BX18" s="1451"/>
      <c r="BY18" s="1451"/>
      <c r="BZ18" s="1451"/>
      <c r="CA18" s="1451"/>
      <c r="CB18" s="1451"/>
      <c r="CC18" s="1451"/>
      <c r="CD18" s="1451"/>
      <c r="CE18" s="1451"/>
      <c r="CF18" s="1451"/>
      <c r="CG18" s="1451"/>
      <c r="CH18" s="1451"/>
      <c r="CI18" s="1451"/>
      <c r="CJ18" s="1451"/>
      <c r="CK18" s="1451"/>
      <c r="CL18" s="1451"/>
      <c r="CM18" s="1451"/>
      <c r="CN18" s="1451"/>
      <c r="CO18" s="1451"/>
      <c r="CP18" s="1451"/>
      <c r="CQ18" s="1451"/>
      <c r="CR18" s="1451"/>
      <c r="CS18" s="1451"/>
      <c r="CT18" s="1451"/>
      <c r="CU18" s="1451"/>
      <c r="CV18" s="1451"/>
      <c r="CW18" s="1451"/>
      <c r="CX18" s="1451"/>
      <c r="CY18" s="1451"/>
      <c r="CZ18" s="1451"/>
      <c r="DA18" s="1451"/>
      <c r="DB18" s="1451"/>
      <c r="DC18" s="1451"/>
      <c r="DD18" s="1451"/>
      <c r="DE18" s="1451"/>
      <c r="DF18" s="1451"/>
      <c r="DG18" s="1451"/>
      <c r="DH18" s="1451"/>
      <c r="DI18" s="1451"/>
      <c r="DJ18" s="1451"/>
      <c r="DK18" s="1451"/>
      <c r="DL18" s="1451"/>
      <c r="DM18" s="1451"/>
      <c r="DN18" s="1451"/>
      <c r="DO18" s="1451"/>
      <c r="DP18" s="1451"/>
      <c r="DQ18" s="1451"/>
      <c r="DR18" s="1451"/>
      <c r="DS18" s="1451"/>
      <c r="DT18" s="1451"/>
      <c r="DU18" s="1451"/>
      <c r="DV18" s="1451"/>
      <c r="DW18" s="1451"/>
      <c r="DX18" s="1451"/>
      <c r="DY18" s="1451"/>
      <c r="DZ18" s="1451"/>
      <c r="EA18" s="1451"/>
      <c r="EB18" s="1451"/>
      <c r="EC18" s="1451"/>
      <c r="ED18" s="1451"/>
      <c r="EE18" s="1451"/>
      <c r="EF18" s="1451"/>
      <c r="EG18" s="1451"/>
      <c r="EH18" s="1451"/>
      <c r="EI18" s="1451"/>
      <c r="EJ18" s="1451"/>
      <c r="EK18" s="1451"/>
      <c r="EL18" s="1451"/>
      <c r="EM18" s="1451"/>
      <c r="EN18" s="1451"/>
      <c r="EO18" s="1451"/>
      <c r="EP18" s="1451"/>
      <c r="EQ18" s="1451"/>
      <c r="ER18" s="1451"/>
      <c r="ES18" s="1451"/>
      <c r="ET18" s="1451"/>
      <c r="EU18" s="1451"/>
      <c r="EV18" s="1451"/>
      <c r="EW18" s="1451"/>
      <c r="EX18" s="1451"/>
      <c r="EY18" s="1451"/>
      <c r="EZ18" s="1451"/>
      <c r="FA18" s="1451"/>
      <c r="FB18" s="1451"/>
      <c r="FC18" s="1451"/>
      <c r="FD18" s="1451"/>
      <c r="FE18" s="1451"/>
      <c r="FF18" s="1451"/>
      <c r="FG18" s="1451"/>
      <c r="FH18" s="1451"/>
      <c r="FI18" s="1451"/>
      <c r="FJ18" s="1451"/>
      <c r="FK18" s="1451"/>
      <c r="FL18" s="1451"/>
      <c r="FM18" s="1451"/>
      <c r="FN18" s="1451"/>
      <c r="FO18" s="1451"/>
      <c r="FP18" s="1451"/>
      <c r="FQ18" s="1451"/>
      <c r="FR18" s="1451"/>
      <c r="FS18" s="1451"/>
      <c r="FT18" s="1451"/>
      <c r="FU18" s="1451"/>
      <c r="FV18" s="1451"/>
      <c r="FW18" s="1451"/>
      <c r="FX18" s="1451"/>
      <c r="FY18" s="1451"/>
      <c r="FZ18" s="1451"/>
      <c r="GA18" s="1451"/>
      <c r="GB18" s="1451"/>
      <c r="GC18" s="1451"/>
      <c r="GD18" s="1451"/>
      <c r="GE18" s="1451"/>
      <c r="GF18" s="1451"/>
      <c r="GG18" s="1451"/>
      <c r="GH18" s="1451"/>
      <c r="GI18" s="1451"/>
      <c r="GJ18" s="1451"/>
      <c r="GK18" s="1451"/>
      <c r="GL18" s="1451"/>
      <c r="GM18" s="1451"/>
      <c r="GN18" s="1451"/>
      <c r="GO18" s="1451"/>
      <c r="GP18" s="1451"/>
      <c r="GQ18" s="1451"/>
      <c r="GR18" s="1451"/>
      <c r="GS18" s="1451"/>
      <c r="GT18" s="1451"/>
      <c r="GU18" s="1451"/>
      <c r="GV18" s="1451"/>
      <c r="GW18" s="1451"/>
      <c r="GX18" s="1451"/>
      <c r="GY18" s="1451"/>
      <c r="GZ18" s="1451"/>
      <c r="HA18" s="1451"/>
      <c r="HB18" s="1451"/>
      <c r="HC18" s="1451"/>
      <c r="HD18" s="1451"/>
      <c r="HE18" s="1451"/>
      <c r="HF18" s="1451"/>
      <c r="HG18" s="1451"/>
      <c r="HH18" s="1451"/>
      <c r="HI18" s="1451"/>
      <c r="HJ18" s="1451"/>
      <c r="HK18" s="1451"/>
      <c r="HL18" s="1451"/>
      <c r="HM18" s="1451"/>
      <c r="HN18" s="1451"/>
      <c r="HO18" s="1451"/>
      <c r="HP18" s="1451"/>
      <c r="HQ18" s="1451"/>
      <c r="HR18" s="1451"/>
      <c r="HS18" s="1451"/>
      <c r="HT18" s="1451"/>
      <c r="HU18" s="1451"/>
      <c r="HV18" s="1451"/>
      <c r="HW18" s="1451"/>
      <c r="HX18" s="1451"/>
      <c r="HY18" s="1451"/>
      <c r="HZ18" s="1451"/>
      <c r="IA18" s="1451"/>
      <c r="IB18" s="1451"/>
      <c r="IC18" s="1451"/>
      <c r="ID18" s="1451"/>
      <c r="IE18" s="1451"/>
      <c r="IF18" s="1451"/>
      <c r="IG18" s="1451"/>
      <c r="IH18" s="1451"/>
      <c r="II18" s="1451"/>
      <c r="IJ18" s="1451"/>
      <c r="IK18" s="1451"/>
      <c r="IL18" s="1451"/>
      <c r="IM18" s="1451"/>
      <c r="IN18" s="1451"/>
      <c r="IO18" s="1451"/>
      <c r="IP18" s="1451"/>
      <c r="IQ18" s="1451"/>
      <c r="IR18" s="1451"/>
      <c r="IS18" s="1451"/>
      <c r="IT18" s="1451"/>
      <c r="IU18" s="1451"/>
      <c r="IV18" s="1451"/>
    </row>
    <row r="19" spans="1:256">
      <c r="B19" s="1458"/>
      <c r="C19" s="1459">
        <v>42242</v>
      </c>
      <c r="D19" s="1458">
        <v>4.5999999999999996</v>
      </c>
      <c r="E19" s="1458">
        <v>4.5999999999999996</v>
      </c>
      <c r="F19" s="1458">
        <v>5</v>
      </c>
      <c r="G19" s="1458">
        <v>5</v>
      </c>
      <c r="H19" s="1458">
        <v>5.15</v>
      </c>
      <c r="I19" s="1458">
        <v>2.75</v>
      </c>
      <c r="J19" s="1458">
        <v>3.25</v>
      </c>
      <c r="L19" s="1458"/>
      <c r="M19" s="1459">
        <v>41096</v>
      </c>
      <c r="N19" s="1458">
        <v>0.35</v>
      </c>
      <c r="O19" s="1458">
        <v>2.6</v>
      </c>
      <c r="P19" s="1458">
        <v>2.8</v>
      </c>
      <c r="Q19" s="1458">
        <v>3</v>
      </c>
      <c r="R19" s="1458">
        <v>3.75</v>
      </c>
      <c r="S19" s="1458">
        <v>4.25</v>
      </c>
      <c r="T19" s="1458">
        <v>4.75</v>
      </c>
      <c r="U19" s="1458">
        <v>2.85</v>
      </c>
      <c r="V19" s="1458">
        <v>2.9</v>
      </c>
      <c r="W19" s="1458">
        <v>3</v>
      </c>
      <c r="X19" s="1458">
        <v>1.1499999999999999</v>
      </c>
      <c r="Y19" s="1458">
        <v>0.8</v>
      </c>
      <c r="Z19" s="1458">
        <v>1.35</v>
      </c>
    </row>
    <row r="20" spans="1:256">
      <c r="B20" s="1458"/>
      <c r="C20" s="1459">
        <v>42183</v>
      </c>
      <c r="D20" s="1458">
        <v>4.8499999999999996</v>
      </c>
      <c r="E20" s="1458">
        <v>4.8499999999999996</v>
      </c>
      <c r="F20" s="1458">
        <v>5.25</v>
      </c>
      <c r="G20" s="1458">
        <v>5.25</v>
      </c>
      <c r="H20" s="1458">
        <v>5.4</v>
      </c>
      <c r="I20" s="1458">
        <v>3</v>
      </c>
      <c r="J20" s="1458">
        <v>3.5</v>
      </c>
      <c r="L20" s="1458"/>
      <c r="M20" s="1459">
        <v>41068</v>
      </c>
      <c r="N20" s="1458">
        <v>0.4</v>
      </c>
      <c r="O20" s="1458">
        <v>2.85</v>
      </c>
      <c r="P20" s="1458">
        <v>3.05</v>
      </c>
      <c r="Q20" s="1458">
        <v>3.25</v>
      </c>
      <c r="R20" s="1458">
        <v>4.0999999999999996</v>
      </c>
      <c r="S20" s="1458">
        <v>4.6500000000000004</v>
      </c>
      <c r="T20" s="1458">
        <v>5.0999999999999996</v>
      </c>
      <c r="U20" s="1458">
        <v>3.1</v>
      </c>
      <c r="V20" s="1458">
        <v>3.15</v>
      </c>
      <c r="W20" s="1458">
        <v>3.25</v>
      </c>
      <c r="X20" s="1458">
        <v>1.31</v>
      </c>
      <c r="Y20" s="1458">
        <v>0.94</v>
      </c>
      <c r="Z20" s="1458">
        <v>1.49</v>
      </c>
    </row>
    <row r="21" spans="1:256">
      <c r="B21" s="1458"/>
      <c r="C21" s="1459">
        <v>42135</v>
      </c>
      <c r="D21" s="1458">
        <v>5.0999999999999996</v>
      </c>
      <c r="E21" s="1458">
        <v>5.0999999999999996</v>
      </c>
      <c r="F21" s="1458">
        <v>5.5</v>
      </c>
      <c r="G21" s="1458">
        <v>5.5</v>
      </c>
      <c r="H21" s="1458">
        <v>5.65</v>
      </c>
      <c r="I21" s="1458">
        <v>3.25</v>
      </c>
      <c r="J21" s="1458">
        <v>3.75</v>
      </c>
      <c r="L21" s="1458"/>
      <c r="M21" s="1459">
        <v>40731</v>
      </c>
      <c r="N21" s="1458">
        <v>0.5</v>
      </c>
      <c r="O21" s="1458">
        <v>3.1</v>
      </c>
      <c r="P21" s="1458">
        <v>3.3</v>
      </c>
      <c r="Q21" s="1458">
        <v>3.5</v>
      </c>
      <c r="R21" s="1458">
        <v>4.4000000000000004</v>
      </c>
      <c r="S21" s="1458">
        <v>5</v>
      </c>
      <c r="T21" s="1458">
        <v>5.5</v>
      </c>
      <c r="U21" s="1458">
        <v>3.1</v>
      </c>
      <c r="V21" s="1458">
        <v>3.3</v>
      </c>
      <c r="W21" s="1458">
        <v>3.5</v>
      </c>
      <c r="X21" s="1458">
        <v>1.31</v>
      </c>
      <c r="Y21" s="1458">
        <v>0.95</v>
      </c>
      <c r="Z21" s="1458">
        <v>1.49</v>
      </c>
    </row>
    <row r="22" spans="1:256">
      <c r="B22" s="1458"/>
      <c r="C22" s="1459">
        <v>42064</v>
      </c>
      <c r="D22" s="1458">
        <v>5.35</v>
      </c>
      <c r="E22" s="1458">
        <v>5.35</v>
      </c>
      <c r="F22" s="1458">
        <v>5.75</v>
      </c>
      <c r="G22" s="1458">
        <v>5.75</v>
      </c>
      <c r="H22" s="1458">
        <v>5.9</v>
      </c>
      <c r="I22" s="1458"/>
      <c r="J22" s="1458"/>
      <c r="L22" s="1458"/>
      <c r="M22" s="1459">
        <v>40639</v>
      </c>
      <c r="N22" s="1458">
        <v>0.5</v>
      </c>
      <c r="O22" s="1458">
        <v>2.85</v>
      </c>
      <c r="P22" s="1458">
        <v>3.05</v>
      </c>
      <c r="Q22" s="1458">
        <v>3.25</v>
      </c>
      <c r="R22" s="1458">
        <v>4.1500000000000004</v>
      </c>
      <c r="S22" s="1458">
        <v>4.75</v>
      </c>
      <c r="T22" s="1458">
        <v>5.25</v>
      </c>
      <c r="U22" s="1458">
        <v>2.85</v>
      </c>
      <c r="V22" s="1458">
        <v>3.05</v>
      </c>
      <c r="W22" s="1458">
        <v>3.25</v>
      </c>
      <c r="X22" s="1458">
        <v>1.31</v>
      </c>
      <c r="Y22" s="1458">
        <v>0.95</v>
      </c>
      <c r="Z22" s="1458">
        <v>1.49</v>
      </c>
    </row>
    <row r="23" spans="1:256">
      <c r="B23" s="1458"/>
      <c r="C23" s="1459">
        <v>41965</v>
      </c>
      <c r="D23" s="1458">
        <v>5.6</v>
      </c>
      <c r="E23" s="1458">
        <v>5.6</v>
      </c>
      <c r="F23" s="1458">
        <v>6</v>
      </c>
      <c r="G23" s="1458">
        <v>6</v>
      </c>
      <c r="H23" s="1458">
        <v>6.15</v>
      </c>
      <c r="I23" s="1458"/>
      <c r="J23" s="1458"/>
      <c r="L23" s="1458"/>
      <c r="M23" s="1459">
        <v>40583</v>
      </c>
      <c r="N23" s="1458">
        <v>0.4</v>
      </c>
      <c r="O23" s="1458">
        <v>2.6</v>
      </c>
      <c r="P23" s="1458">
        <v>2.8</v>
      </c>
      <c r="Q23" s="1458">
        <v>3</v>
      </c>
      <c r="R23" s="1458">
        <v>3.9</v>
      </c>
      <c r="S23" s="1458">
        <v>4.5</v>
      </c>
      <c r="T23" s="1458">
        <v>5</v>
      </c>
      <c r="U23" s="1458">
        <v>2.6</v>
      </c>
      <c r="V23" s="1458">
        <v>2.8</v>
      </c>
      <c r="W23" s="1458">
        <v>3</v>
      </c>
      <c r="X23" s="1458">
        <v>1.21</v>
      </c>
      <c r="Y23" s="1458">
        <v>0.85</v>
      </c>
      <c r="Z23" s="1458">
        <v>1.39</v>
      </c>
    </row>
    <row r="24" spans="1:256">
      <c r="B24" s="1458"/>
      <c r="C24" s="1459">
        <v>41096</v>
      </c>
      <c r="D24" s="1458">
        <v>5.6</v>
      </c>
      <c r="E24" s="1458">
        <v>6</v>
      </c>
      <c r="F24" s="1458">
        <v>6.15</v>
      </c>
      <c r="G24" s="1458">
        <v>6.4</v>
      </c>
      <c r="H24" s="1458">
        <v>6.55</v>
      </c>
      <c r="I24" s="1458">
        <v>4</v>
      </c>
      <c r="J24" s="1458">
        <v>4.5</v>
      </c>
      <c r="L24" s="1458"/>
      <c r="M24" s="1459">
        <v>40538</v>
      </c>
      <c r="N24" s="1458">
        <v>0.36</v>
      </c>
      <c r="O24" s="1458">
        <v>2.25</v>
      </c>
      <c r="P24" s="1458">
        <v>2.5</v>
      </c>
      <c r="Q24" s="1458">
        <v>2.75</v>
      </c>
      <c r="R24" s="1458">
        <v>3.55</v>
      </c>
      <c r="S24" s="1458">
        <v>4.1500000000000004</v>
      </c>
      <c r="T24" s="1458">
        <v>4.55</v>
      </c>
      <c r="U24" s="1458">
        <v>2.16</v>
      </c>
      <c r="V24" s="1458">
        <v>2.5</v>
      </c>
      <c r="W24" s="1458">
        <v>2.85</v>
      </c>
      <c r="X24" s="1458">
        <v>1.17</v>
      </c>
      <c r="Y24" s="1458">
        <v>0.81</v>
      </c>
      <c r="Z24" s="1458">
        <v>1.35</v>
      </c>
    </row>
    <row r="25" spans="1:256">
      <c r="B25" s="1458"/>
      <c r="C25" s="1459">
        <v>41068</v>
      </c>
      <c r="D25" s="1458">
        <v>5.85</v>
      </c>
      <c r="E25" s="1458">
        <v>6.31</v>
      </c>
      <c r="F25" s="1458">
        <v>6.4</v>
      </c>
      <c r="G25" s="1458">
        <v>6.65</v>
      </c>
      <c r="H25" s="1458">
        <v>6.8</v>
      </c>
      <c r="I25" s="1458">
        <v>4.2</v>
      </c>
      <c r="J25" s="1458">
        <v>4.7</v>
      </c>
      <c r="L25" s="1458"/>
      <c r="M25" s="1459">
        <v>40471</v>
      </c>
      <c r="N25" s="1458">
        <v>0.36</v>
      </c>
      <c r="O25" s="1458">
        <v>1.91</v>
      </c>
      <c r="P25" s="1458">
        <v>2.2000000000000002</v>
      </c>
      <c r="Q25" s="1458">
        <v>2.5</v>
      </c>
      <c r="R25" s="1458">
        <v>3.25</v>
      </c>
      <c r="S25" s="1458">
        <v>3.85</v>
      </c>
      <c r="T25" s="1458">
        <v>4.2</v>
      </c>
      <c r="U25" s="1458">
        <v>1.91</v>
      </c>
      <c r="V25" s="1458">
        <v>2.2000000000000002</v>
      </c>
      <c r="W25" s="1458">
        <v>2.5</v>
      </c>
      <c r="X25" s="1458">
        <v>1.17</v>
      </c>
      <c r="Y25" s="1458">
        <v>0.81</v>
      </c>
      <c r="Z25" s="1458">
        <v>1.35</v>
      </c>
    </row>
    <row r="26" spans="1:256">
      <c r="B26" s="1458"/>
      <c r="C26" s="1459">
        <v>40731</v>
      </c>
      <c r="D26" s="1458">
        <v>6.1</v>
      </c>
      <c r="E26" s="1458">
        <v>6.56</v>
      </c>
      <c r="F26" s="1458">
        <v>6.65</v>
      </c>
      <c r="G26" s="1458">
        <v>6.9</v>
      </c>
      <c r="H26" s="1458">
        <v>7.05</v>
      </c>
      <c r="I26" s="1458">
        <v>4.45</v>
      </c>
      <c r="J26" s="1458">
        <v>4.9000000000000004</v>
      </c>
      <c r="L26" s="1458"/>
      <c r="M26" s="1459">
        <v>39805</v>
      </c>
      <c r="N26" s="1458">
        <v>0.36</v>
      </c>
      <c r="O26" s="1458">
        <v>1.71</v>
      </c>
      <c r="P26" s="1458">
        <v>1.98</v>
      </c>
      <c r="Q26" s="1458">
        <v>2.25</v>
      </c>
      <c r="R26" s="1458">
        <v>2.79</v>
      </c>
      <c r="S26" s="1458">
        <v>3.33</v>
      </c>
      <c r="T26" s="1458">
        <v>3.6</v>
      </c>
      <c r="U26" s="1458">
        <v>1.71</v>
      </c>
      <c r="V26" s="1458">
        <v>1.98</v>
      </c>
      <c r="W26" s="1458">
        <v>2.25</v>
      </c>
      <c r="X26" s="1458">
        <v>1.17</v>
      </c>
      <c r="Y26" s="1458">
        <v>0.81</v>
      </c>
      <c r="Z26" s="1458">
        <v>1.35</v>
      </c>
    </row>
    <row r="27" spans="1:256">
      <c r="B27" s="1458"/>
      <c r="C27" s="1459">
        <v>40639</v>
      </c>
      <c r="D27" s="1458">
        <v>5.85</v>
      </c>
      <c r="E27" s="1458">
        <v>6.31</v>
      </c>
      <c r="F27" s="1458">
        <v>6.4</v>
      </c>
      <c r="G27" s="1458">
        <v>6.65</v>
      </c>
      <c r="H27" s="1458">
        <v>6.8</v>
      </c>
      <c r="I27" s="1458">
        <v>4.2</v>
      </c>
      <c r="J27" s="1458">
        <v>4.7</v>
      </c>
      <c r="L27" s="1458"/>
      <c r="M27" s="1459">
        <v>39779</v>
      </c>
      <c r="N27" s="1458">
        <v>0.36</v>
      </c>
      <c r="O27" s="1458">
        <v>1.98</v>
      </c>
      <c r="P27" s="1458">
        <v>2.25</v>
      </c>
      <c r="Q27" s="1458">
        <v>2.52</v>
      </c>
      <c r="R27" s="1458">
        <v>3.06</v>
      </c>
      <c r="S27" s="1458">
        <v>3.6</v>
      </c>
      <c r="T27" s="1458">
        <v>3.87</v>
      </c>
      <c r="U27" s="1458">
        <v>1.98</v>
      </c>
      <c r="V27" s="1458">
        <v>2.25</v>
      </c>
      <c r="W27" s="1458">
        <v>2.52</v>
      </c>
      <c r="X27" s="1458">
        <v>1.17</v>
      </c>
      <c r="Y27" s="1458">
        <v>0.81</v>
      </c>
      <c r="Z27" s="1458">
        <v>1.35</v>
      </c>
    </row>
    <row r="28" spans="1:256">
      <c r="B28" s="1458"/>
      <c r="C28" s="1459">
        <v>40583</v>
      </c>
      <c r="D28" s="1458">
        <v>5.6</v>
      </c>
      <c r="E28" s="1458">
        <v>6.06</v>
      </c>
      <c r="F28" s="1458">
        <v>6.1</v>
      </c>
      <c r="G28" s="1458">
        <v>6.45</v>
      </c>
      <c r="H28" s="1458">
        <v>6.6</v>
      </c>
      <c r="I28" s="1458">
        <v>4</v>
      </c>
      <c r="J28" s="1458">
        <v>4.5</v>
      </c>
      <c r="L28" s="1458"/>
      <c r="M28" s="1459">
        <v>39751</v>
      </c>
      <c r="N28" s="1458">
        <v>0.72</v>
      </c>
      <c r="O28" s="1458">
        <v>2.88</v>
      </c>
      <c r="P28" s="1458">
        <v>3.24</v>
      </c>
      <c r="Q28" s="1458">
        <v>3.6</v>
      </c>
      <c r="R28" s="1458">
        <v>4.1399999999999997</v>
      </c>
      <c r="S28" s="1458">
        <v>4.7699999999999996</v>
      </c>
      <c r="T28" s="1458">
        <v>5.13</v>
      </c>
      <c r="U28" s="1458">
        <v>2.88</v>
      </c>
      <c r="V28" s="1458">
        <v>3.24</v>
      </c>
      <c r="W28" s="1458">
        <v>3.6</v>
      </c>
      <c r="X28" s="1458">
        <v>1.53</v>
      </c>
      <c r="Y28" s="1458">
        <v>1.17</v>
      </c>
      <c r="Z28" s="1458">
        <v>1.71</v>
      </c>
    </row>
    <row r="29" spans="1:256">
      <c r="B29" s="1458"/>
      <c r="C29" s="1459">
        <v>40538</v>
      </c>
      <c r="D29" s="1458">
        <v>5.35</v>
      </c>
      <c r="E29" s="1458">
        <v>5.81</v>
      </c>
      <c r="F29" s="1458">
        <v>5.85</v>
      </c>
      <c r="G29" s="1458">
        <v>6.22</v>
      </c>
      <c r="H29" s="1458">
        <v>6.4</v>
      </c>
      <c r="I29" s="1458">
        <v>3.75</v>
      </c>
      <c r="J29" s="1458">
        <v>4.3</v>
      </c>
      <c r="L29" s="1458"/>
      <c r="M29" s="1460">
        <v>39736</v>
      </c>
      <c r="N29" s="1458">
        <v>0.72</v>
      </c>
      <c r="O29" s="1458">
        <v>3.15</v>
      </c>
      <c r="P29" s="1458">
        <v>3.51</v>
      </c>
      <c r="Q29" s="1458">
        <v>3.87</v>
      </c>
      <c r="R29" s="1458">
        <v>4.41</v>
      </c>
      <c r="S29" s="1458">
        <v>5.13</v>
      </c>
      <c r="T29" s="1458">
        <v>5.58</v>
      </c>
      <c r="U29" s="1458">
        <v>3.15</v>
      </c>
      <c r="V29" s="1458">
        <v>3.51</v>
      </c>
      <c r="W29" s="1458">
        <v>3.87</v>
      </c>
      <c r="X29" s="1458">
        <v>1.53</v>
      </c>
      <c r="Y29" s="1458">
        <v>1.17</v>
      </c>
      <c r="Z29" s="1458">
        <v>1.71</v>
      </c>
    </row>
    <row r="30" spans="1:256">
      <c r="B30" s="1458"/>
      <c r="C30" s="1459">
        <v>40471</v>
      </c>
      <c r="D30" s="1458">
        <v>5.0999999999999996</v>
      </c>
      <c r="E30" s="1458">
        <v>5.56</v>
      </c>
      <c r="F30" s="1458">
        <v>5.6</v>
      </c>
      <c r="G30" s="1458">
        <v>5.96</v>
      </c>
      <c r="H30" s="1458">
        <v>6.14</v>
      </c>
      <c r="I30" s="1458">
        <v>3.5</v>
      </c>
      <c r="J30" s="1458">
        <v>4.05</v>
      </c>
      <c r="L30" s="1458"/>
      <c r="M30" s="1459">
        <v>39730</v>
      </c>
      <c r="N30" s="1458">
        <v>0.72</v>
      </c>
      <c r="O30" s="1458">
        <v>3.15</v>
      </c>
      <c r="P30" s="1458">
        <v>3.51</v>
      </c>
      <c r="Q30" s="1458">
        <v>3.87</v>
      </c>
      <c r="R30" s="1458">
        <v>4.41</v>
      </c>
      <c r="S30" s="1458">
        <v>5.13</v>
      </c>
      <c r="T30" s="1458">
        <v>5.58</v>
      </c>
      <c r="U30" s="1458">
        <v>3.15</v>
      </c>
      <c r="V30" s="1458">
        <v>3.51</v>
      </c>
      <c r="W30" s="1458">
        <v>3.87</v>
      </c>
      <c r="X30" s="1458">
        <v>1.53</v>
      </c>
      <c r="Y30" s="1458">
        <v>1.17</v>
      </c>
      <c r="Z30" s="1458">
        <v>1.71</v>
      </c>
    </row>
    <row r="31" spans="1:256">
      <c r="B31" s="1458"/>
      <c r="C31" s="1459">
        <v>39805</v>
      </c>
      <c r="D31" s="1458">
        <v>4.8600000000000003</v>
      </c>
      <c r="E31" s="1458">
        <v>5.31</v>
      </c>
      <c r="F31" s="1458">
        <v>5.4</v>
      </c>
      <c r="G31" s="1458">
        <v>5.76</v>
      </c>
      <c r="H31" s="1458">
        <v>5.94</v>
      </c>
      <c r="I31" s="1458">
        <v>3.33</v>
      </c>
      <c r="J31" s="1458">
        <v>3.87</v>
      </c>
      <c r="L31" s="1458"/>
      <c r="M31" s="1459">
        <v>39437</v>
      </c>
      <c r="N31" s="1458">
        <v>0.72</v>
      </c>
      <c r="O31" s="1458">
        <v>3.33</v>
      </c>
      <c r="P31" s="1458">
        <v>3.78</v>
      </c>
      <c r="Q31" s="1458">
        <v>4.1399999999999997</v>
      </c>
      <c r="R31" s="1458">
        <v>4.68</v>
      </c>
      <c r="S31" s="1458">
        <v>5.4</v>
      </c>
      <c r="T31" s="1458">
        <v>5.85</v>
      </c>
      <c r="U31" s="1458">
        <v>3.33</v>
      </c>
      <c r="V31" s="1458">
        <v>3.78</v>
      </c>
      <c r="W31" s="1458">
        <v>4.1399999999999997</v>
      </c>
      <c r="X31" s="1458">
        <v>1.53</v>
      </c>
      <c r="Y31" s="1458">
        <v>1.17</v>
      </c>
      <c r="Z31" s="1458">
        <v>1.71</v>
      </c>
    </row>
    <row r="32" spans="1:256">
      <c r="B32" s="1458"/>
      <c r="C32" s="1459">
        <v>39779</v>
      </c>
      <c r="D32" s="1458">
        <v>5.04</v>
      </c>
      <c r="E32" s="1458">
        <v>5.58</v>
      </c>
      <c r="F32" s="1458">
        <v>5.67</v>
      </c>
      <c r="G32" s="1458">
        <v>5.94</v>
      </c>
      <c r="H32" s="1458">
        <v>6.12</v>
      </c>
      <c r="I32" s="1458">
        <v>3.51</v>
      </c>
      <c r="J32" s="1458">
        <v>4.05</v>
      </c>
      <c r="L32" s="1458"/>
      <c r="M32" s="1459">
        <v>39340</v>
      </c>
      <c r="N32" s="1458">
        <v>0.81</v>
      </c>
      <c r="O32" s="1458">
        <v>2.88</v>
      </c>
      <c r="P32" s="1458">
        <v>3.42</v>
      </c>
      <c r="Q32" s="1458">
        <v>3.87</v>
      </c>
      <c r="R32" s="1458">
        <v>4.5</v>
      </c>
      <c r="S32" s="1458">
        <v>5.22</v>
      </c>
      <c r="T32" s="1458">
        <v>5.76</v>
      </c>
      <c r="U32" s="1458">
        <v>2.88</v>
      </c>
      <c r="V32" s="1458">
        <v>3.42</v>
      </c>
      <c r="W32" s="1458">
        <v>3.87</v>
      </c>
      <c r="X32" s="1458">
        <v>1.53</v>
      </c>
      <c r="Y32" s="1458">
        <v>1.17</v>
      </c>
      <c r="Z32" s="1458">
        <v>1.71</v>
      </c>
    </row>
    <row r="33" spans="2:26">
      <c r="B33" s="1458"/>
      <c r="C33" s="1459">
        <v>39751</v>
      </c>
      <c r="D33" s="1458">
        <v>6.03</v>
      </c>
      <c r="E33" s="1458">
        <v>6.66</v>
      </c>
      <c r="F33" s="1458">
        <v>6.75</v>
      </c>
      <c r="G33" s="1458">
        <v>7.02</v>
      </c>
      <c r="H33" s="1458">
        <v>7.2</v>
      </c>
      <c r="I33" s="1458">
        <v>4.05</v>
      </c>
      <c r="J33" s="1458">
        <v>4.59</v>
      </c>
      <c r="L33" s="1458"/>
      <c r="M33" s="1459">
        <v>39316</v>
      </c>
      <c r="N33" s="1458">
        <v>0.81</v>
      </c>
      <c r="O33" s="1458">
        <v>2.61</v>
      </c>
      <c r="P33" s="1458">
        <v>3.15</v>
      </c>
      <c r="Q33" s="1458">
        <v>3.6</v>
      </c>
      <c r="R33" s="1458">
        <v>4.2300000000000004</v>
      </c>
      <c r="S33" s="1458">
        <v>4.95</v>
      </c>
      <c r="T33" s="1458">
        <v>5.49</v>
      </c>
      <c r="U33" s="1458">
        <v>2.61</v>
      </c>
      <c r="V33" s="1458">
        <v>3.15</v>
      </c>
      <c r="W33" s="1458">
        <v>3.6</v>
      </c>
      <c r="X33" s="1458">
        <v>1.53</v>
      </c>
      <c r="Y33" s="1458">
        <v>1.17</v>
      </c>
      <c r="Z33" s="1458">
        <v>1.71</v>
      </c>
    </row>
    <row r="34" spans="2:26">
      <c r="B34" s="1458"/>
      <c r="C34" s="1460">
        <v>39748</v>
      </c>
      <c r="D34" s="1458">
        <v>6.12</v>
      </c>
      <c r="E34" s="1458">
        <v>6.93</v>
      </c>
      <c r="F34" s="1458">
        <v>7.02</v>
      </c>
      <c r="G34" s="1458">
        <v>7.29</v>
      </c>
      <c r="H34" s="1458">
        <v>7.47</v>
      </c>
      <c r="I34" s="1458">
        <v>4.05</v>
      </c>
      <c r="J34" s="1458">
        <v>4.59</v>
      </c>
      <c r="L34" s="1458"/>
      <c r="M34" s="1459">
        <v>39284</v>
      </c>
      <c r="N34" s="1458">
        <v>0.81</v>
      </c>
      <c r="O34" s="1458">
        <v>2.34</v>
      </c>
      <c r="P34" s="1458">
        <v>2.88</v>
      </c>
      <c r="Q34" s="1458">
        <v>3.33</v>
      </c>
      <c r="R34" s="1458">
        <v>3.96</v>
      </c>
      <c r="S34" s="1458">
        <v>4.68</v>
      </c>
      <c r="T34" s="1458">
        <v>5.22</v>
      </c>
      <c r="U34" s="1458">
        <v>2.34</v>
      </c>
      <c r="V34" s="1458">
        <v>2.88</v>
      </c>
      <c r="W34" s="1458">
        <v>3.33</v>
      </c>
      <c r="X34" s="1458">
        <v>1.53</v>
      </c>
      <c r="Y34" s="1458">
        <v>1.17</v>
      </c>
      <c r="Z34" s="1458">
        <v>1.71</v>
      </c>
    </row>
    <row r="35" spans="2:26">
      <c r="B35" s="1458"/>
      <c r="C35" s="1459">
        <v>39730</v>
      </c>
      <c r="D35" s="1458">
        <v>6.12</v>
      </c>
      <c r="E35" s="1458">
        <v>6.93</v>
      </c>
      <c r="F35" s="1458">
        <v>7.02</v>
      </c>
      <c r="G35" s="1458">
        <v>7.29</v>
      </c>
      <c r="H35" s="1458">
        <v>7.47</v>
      </c>
      <c r="I35" s="1458">
        <v>4.32</v>
      </c>
      <c r="J35" s="1458">
        <v>4.8600000000000003</v>
      </c>
      <c r="L35" s="1458"/>
      <c r="M35" s="1459">
        <v>39221</v>
      </c>
      <c r="N35" s="1458">
        <v>0.72</v>
      </c>
      <c r="O35" s="1458">
        <v>2.0699999999999998</v>
      </c>
      <c r="P35" s="1458">
        <v>2.61</v>
      </c>
      <c r="Q35" s="1458">
        <v>3.06</v>
      </c>
      <c r="R35" s="1458">
        <v>3.69</v>
      </c>
      <c r="S35" s="1458">
        <v>4.41</v>
      </c>
      <c r="T35" s="1458">
        <v>4.95</v>
      </c>
      <c r="U35" s="1458">
        <v>2.0699999999999998</v>
      </c>
      <c r="V35" s="1458">
        <v>2.61</v>
      </c>
      <c r="W35" s="1458">
        <v>3.06</v>
      </c>
      <c r="X35" s="1458">
        <v>1.44</v>
      </c>
      <c r="Y35" s="1458">
        <v>1.08</v>
      </c>
      <c r="Z35" s="1458">
        <v>1.62</v>
      </c>
    </row>
    <row r="36" spans="2:26">
      <c r="B36" s="1458"/>
      <c r="C36" s="1459">
        <v>39707</v>
      </c>
      <c r="D36" s="1458">
        <v>6.21</v>
      </c>
      <c r="E36" s="1458">
        <v>7.2</v>
      </c>
      <c r="F36" s="1458">
        <v>7.29</v>
      </c>
      <c r="G36" s="1458">
        <v>7.56</v>
      </c>
      <c r="H36" s="1458">
        <v>7.74</v>
      </c>
      <c r="I36" s="1458">
        <v>4.59</v>
      </c>
      <c r="J36" s="1458">
        <v>5.13</v>
      </c>
      <c r="L36" s="1458"/>
      <c r="M36" s="1459">
        <v>39159</v>
      </c>
      <c r="N36" s="1458">
        <v>0.72</v>
      </c>
      <c r="O36" s="1458">
        <v>1.98</v>
      </c>
      <c r="P36" s="1458">
        <v>2.4300000000000002</v>
      </c>
      <c r="Q36" s="1458">
        <v>2.79</v>
      </c>
      <c r="R36" s="1458">
        <v>3.33</v>
      </c>
      <c r="S36" s="1458">
        <v>3.96</v>
      </c>
      <c r="T36" s="1458">
        <v>4.41</v>
      </c>
      <c r="U36" s="1458">
        <v>1.98</v>
      </c>
      <c r="V36" s="1458">
        <v>2.4300000000000002</v>
      </c>
      <c r="W36" s="1458">
        <v>2.79</v>
      </c>
      <c r="X36" s="1458">
        <v>1.44</v>
      </c>
      <c r="Y36" s="1458">
        <v>1.08</v>
      </c>
      <c r="Z36" s="1458">
        <v>1.62</v>
      </c>
    </row>
    <row r="37" spans="2:26">
      <c r="B37" s="1458"/>
      <c r="C37" s="1459">
        <v>39437</v>
      </c>
      <c r="D37" s="1458">
        <v>6.57</v>
      </c>
      <c r="E37" s="1458">
        <v>7.47</v>
      </c>
      <c r="F37" s="1458">
        <v>7.56</v>
      </c>
      <c r="G37" s="1458">
        <v>7.74</v>
      </c>
      <c r="H37" s="1458">
        <v>7.83</v>
      </c>
      <c r="I37" s="1458">
        <v>4.7699999999999996</v>
      </c>
      <c r="J37" s="1458">
        <v>5.22</v>
      </c>
      <c r="L37" s="1458"/>
      <c r="M37" s="1459">
        <v>38948</v>
      </c>
      <c r="N37" s="1458">
        <v>0.72</v>
      </c>
      <c r="O37" s="1458">
        <v>1.8</v>
      </c>
      <c r="P37" s="1458">
        <v>2.25</v>
      </c>
      <c r="Q37" s="1458">
        <v>2.52</v>
      </c>
      <c r="R37" s="1458">
        <v>3.06</v>
      </c>
      <c r="S37" s="1458">
        <v>3.69</v>
      </c>
      <c r="T37" s="1458">
        <v>4.1399999999999997</v>
      </c>
      <c r="U37" s="1458">
        <v>1.8</v>
      </c>
      <c r="V37" s="1458">
        <v>2.25</v>
      </c>
      <c r="W37" s="1458">
        <v>2.52</v>
      </c>
      <c r="X37" s="1458">
        <v>1.44</v>
      </c>
      <c r="Y37" s="1458">
        <v>1.08</v>
      </c>
      <c r="Z37" s="1458">
        <v>1.62</v>
      </c>
    </row>
    <row r="38" spans="2:26">
      <c r="B38" s="1458"/>
      <c r="C38" s="1459">
        <v>39340</v>
      </c>
      <c r="D38" s="1458">
        <v>6.48</v>
      </c>
      <c r="E38" s="1458">
        <v>7.29</v>
      </c>
      <c r="F38" s="1458">
        <v>7.47</v>
      </c>
      <c r="G38" s="1458">
        <v>7.65</v>
      </c>
      <c r="H38" s="1458">
        <v>7.83</v>
      </c>
      <c r="I38" s="1458">
        <v>4.7699999999999996</v>
      </c>
      <c r="J38" s="1458">
        <v>5.22</v>
      </c>
      <c r="L38" s="1458"/>
      <c r="M38" s="1459">
        <v>38289</v>
      </c>
      <c r="N38" s="1458">
        <v>0.72</v>
      </c>
      <c r="O38" s="1458">
        <v>1.71</v>
      </c>
      <c r="P38" s="1458">
        <v>2.0699999999999998</v>
      </c>
      <c r="Q38" s="1458">
        <v>2.25</v>
      </c>
      <c r="R38" s="1458">
        <v>2.7</v>
      </c>
      <c r="S38" s="1458">
        <v>3.24</v>
      </c>
      <c r="T38" s="1458">
        <v>3.6</v>
      </c>
      <c r="U38" s="1458">
        <v>1.71</v>
      </c>
      <c r="V38" s="1458">
        <v>2.0699999999999998</v>
      </c>
      <c r="W38" s="1458">
        <v>2.25</v>
      </c>
      <c r="X38" s="1458">
        <v>1.44</v>
      </c>
      <c r="Y38" s="1458">
        <v>1.08</v>
      </c>
      <c r="Z38" s="1458">
        <v>1.62</v>
      </c>
    </row>
    <row r="39" spans="2:26">
      <c r="B39" s="1458"/>
      <c r="C39" s="1459">
        <v>39316</v>
      </c>
      <c r="D39" s="1458">
        <v>6.21</v>
      </c>
      <c r="E39" s="1458">
        <v>7.02</v>
      </c>
      <c r="F39" s="1458">
        <v>7.2</v>
      </c>
      <c r="G39" s="1458">
        <v>7.38</v>
      </c>
      <c r="H39" s="1458">
        <v>7.56</v>
      </c>
      <c r="I39" s="1458">
        <v>4.59</v>
      </c>
      <c r="J39" s="1458">
        <v>5.04</v>
      </c>
      <c r="L39" s="1458"/>
      <c r="M39" s="1459">
        <v>37308</v>
      </c>
      <c r="N39" s="1458">
        <v>0.72</v>
      </c>
      <c r="O39" s="1458">
        <v>1.71</v>
      </c>
      <c r="P39" s="1458">
        <v>1.89</v>
      </c>
      <c r="Q39" s="1458">
        <v>1.98</v>
      </c>
      <c r="R39" s="1458">
        <v>2.25</v>
      </c>
      <c r="S39" s="1458">
        <v>2.52</v>
      </c>
      <c r="T39" s="1458">
        <v>2.79</v>
      </c>
      <c r="U39" s="1458">
        <v>1.71</v>
      </c>
      <c r="V39" s="1458">
        <v>1.89</v>
      </c>
      <c r="W39" s="1458">
        <v>1.98</v>
      </c>
      <c r="X39" s="1458">
        <v>1.44</v>
      </c>
      <c r="Y39" s="1458">
        <v>1.08</v>
      </c>
      <c r="Z39" s="1458">
        <v>1.62</v>
      </c>
    </row>
    <row r="40" spans="2:26">
      <c r="B40" s="1458"/>
      <c r="C40" s="1459">
        <v>39284</v>
      </c>
      <c r="D40" s="1458">
        <v>6.03</v>
      </c>
      <c r="E40" s="1458">
        <v>6.84</v>
      </c>
      <c r="F40" s="1458">
        <v>7.02</v>
      </c>
      <c r="G40" s="1458">
        <v>7.2</v>
      </c>
      <c r="H40" s="1458">
        <v>7.38</v>
      </c>
      <c r="I40" s="1458">
        <v>4.5</v>
      </c>
      <c r="J40" s="1458">
        <v>4.95</v>
      </c>
      <c r="L40" s="1458"/>
      <c r="M40" s="1459">
        <v>36321</v>
      </c>
      <c r="N40" s="1458">
        <v>0.99</v>
      </c>
      <c r="O40" s="1458">
        <v>1.98</v>
      </c>
      <c r="P40" s="1458">
        <v>2.16</v>
      </c>
      <c r="Q40" s="1458">
        <v>2.25</v>
      </c>
      <c r="R40" s="1458">
        <v>2.4300000000000002</v>
      </c>
      <c r="S40" s="1458">
        <v>2.7</v>
      </c>
      <c r="T40" s="1458">
        <v>2.88</v>
      </c>
      <c r="U40" s="1458">
        <v>1.98</v>
      </c>
      <c r="V40" s="1458">
        <v>2.16</v>
      </c>
      <c r="W40" s="1458">
        <v>2.25</v>
      </c>
      <c r="X40" s="1458">
        <v>1.71</v>
      </c>
      <c r="Y40" s="1458">
        <v>1.35</v>
      </c>
      <c r="Z40" s="1458">
        <v>1.89</v>
      </c>
    </row>
    <row r="41" spans="2:26">
      <c r="B41" s="1458"/>
      <c r="C41" s="1459">
        <v>39221</v>
      </c>
      <c r="D41" s="1458">
        <v>5.85</v>
      </c>
      <c r="E41" s="1458">
        <v>6.57</v>
      </c>
      <c r="F41" s="1458">
        <v>6.75</v>
      </c>
      <c r="G41" s="1458">
        <v>6.93</v>
      </c>
      <c r="H41" s="1458">
        <v>7.2</v>
      </c>
      <c r="I41" s="1458">
        <v>4.41</v>
      </c>
      <c r="J41" s="1458">
        <v>4.8600000000000003</v>
      </c>
      <c r="L41" s="1458"/>
      <c r="M41" s="1459">
        <v>36136</v>
      </c>
      <c r="N41" s="1458">
        <v>1.44</v>
      </c>
      <c r="O41" s="1458">
        <v>2.79</v>
      </c>
      <c r="P41" s="1458">
        <v>3.33</v>
      </c>
      <c r="Q41" s="1458">
        <v>3.78</v>
      </c>
      <c r="R41" s="1458">
        <v>3.96</v>
      </c>
      <c r="S41" s="1458">
        <v>4.1399999999999997</v>
      </c>
      <c r="T41" s="1458">
        <v>4.5</v>
      </c>
      <c r="U41" s="1458">
        <v>3.33</v>
      </c>
      <c r="V41" s="1458">
        <v>3.78</v>
      </c>
      <c r="W41" s="1458">
        <v>4.1399999999999997</v>
      </c>
      <c r="X41" s="1458">
        <v>2.16</v>
      </c>
      <c r="Y41" s="1458">
        <v>1.8</v>
      </c>
      <c r="Z41" s="1458">
        <v>2.34</v>
      </c>
    </row>
    <row r="42" spans="2:26">
      <c r="B42" s="1458"/>
      <c r="C42" s="1459">
        <v>39159</v>
      </c>
      <c r="D42" s="1458">
        <v>5.67</v>
      </c>
      <c r="E42" s="1458">
        <v>6.39</v>
      </c>
      <c r="F42" s="1458">
        <v>6.57</v>
      </c>
      <c r="G42" s="1458">
        <v>6.75</v>
      </c>
      <c r="H42" s="1458">
        <v>7.11</v>
      </c>
      <c r="I42" s="1458">
        <v>4.32</v>
      </c>
      <c r="J42" s="1458">
        <v>4.7699999999999996</v>
      </c>
      <c r="L42" s="1458"/>
      <c r="M42" s="1459">
        <v>35977</v>
      </c>
      <c r="N42" s="1458">
        <v>1.44</v>
      </c>
      <c r="O42" s="1458">
        <v>2.79</v>
      </c>
      <c r="P42" s="1458">
        <v>3.96</v>
      </c>
      <c r="Q42" s="1458">
        <v>4.7699999999999996</v>
      </c>
      <c r="R42" s="1458">
        <v>4.8600000000000003</v>
      </c>
      <c r="S42" s="1458">
        <v>4.95</v>
      </c>
      <c r="T42" s="1458">
        <v>5.22</v>
      </c>
      <c r="U42" s="1458">
        <v>3.96</v>
      </c>
      <c r="V42" s="1458">
        <v>4.7699999999999996</v>
      </c>
      <c r="W42" s="1458">
        <v>4.95</v>
      </c>
      <c r="X42" s="1458" t="s">
        <v>1298</v>
      </c>
      <c r="Y42" s="1458" t="s">
        <v>1298</v>
      </c>
      <c r="Z42" s="1458" t="s">
        <v>1298</v>
      </c>
    </row>
    <row r="43" spans="2:26">
      <c r="B43" s="1458"/>
      <c r="C43" s="1459">
        <v>38948</v>
      </c>
      <c r="D43" s="1458">
        <v>5.58</v>
      </c>
      <c r="E43" s="1458">
        <v>6.12</v>
      </c>
      <c r="F43" s="1458">
        <v>6.3</v>
      </c>
      <c r="G43" s="1458">
        <v>6.48</v>
      </c>
      <c r="H43" s="1458">
        <v>6.84</v>
      </c>
      <c r="I43" s="1458">
        <v>4.1399999999999997</v>
      </c>
      <c r="J43" s="1458">
        <v>4.59</v>
      </c>
      <c r="L43" s="1458"/>
      <c r="M43" s="1459">
        <v>35879</v>
      </c>
      <c r="N43" s="1458">
        <v>1.71</v>
      </c>
      <c r="O43" s="1458">
        <v>2.88</v>
      </c>
      <c r="P43" s="1458">
        <v>4.1399999999999997</v>
      </c>
      <c r="Q43" s="1458">
        <v>5.22</v>
      </c>
      <c r="R43" s="1458">
        <v>5.58</v>
      </c>
      <c r="S43" s="1458">
        <v>6.21</v>
      </c>
      <c r="T43" s="1458">
        <v>6.66</v>
      </c>
      <c r="U43" s="1458">
        <v>4.1399999999999997</v>
      </c>
      <c r="V43" s="1458">
        <v>5.22</v>
      </c>
      <c r="W43" s="1458">
        <v>6.21</v>
      </c>
      <c r="X43" s="1458" t="s">
        <v>1298</v>
      </c>
      <c r="Y43" s="1458" t="s">
        <v>1298</v>
      </c>
      <c r="Z43" s="1458" t="s">
        <v>1298</v>
      </c>
    </row>
    <row r="44" spans="2:26">
      <c r="B44" s="1458"/>
      <c r="C44" s="1459">
        <v>38835</v>
      </c>
      <c r="D44" s="1458">
        <v>5.4</v>
      </c>
      <c r="E44" s="1458">
        <v>5.85</v>
      </c>
      <c r="F44" s="1458">
        <v>6.03</v>
      </c>
      <c r="G44" s="1458">
        <v>6.12</v>
      </c>
      <c r="H44" s="1458">
        <v>6.39</v>
      </c>
      <c r="I44" s="1458">
        <v>4.1399999999999997</v>
      </c>
      <c r="J44" s="1458">
        <v>4.59</v>
      </c>
      <c r="L44" s="1458"/>
      <c r="M44" s="1459">
        <v>35726</v>
      </c>
      <c r="N44" s="1458">
        <v>1.71</v>
      </c>
      <c r="O44" s="1458">
        <v>2.88</v>
      </c>
      <c r="P44" s="1458">
        <v>4.1399999999999997</v>
      </c>
      <c r="Q44" s="1458">
        <v>5.67</v>
      </c>
      <c r="R44" s="1458">
        <v>5.94</v>
      </c>
      <c r="S44" s="1458">
        <v>6.21</v>
      </c>
      <c r="T44" s="1458">
        <v>6.66</v>
      </c>
      <c r="U44" s="1458">
        <v>4.1399999999999997</v>
      </c>
      <c r="V44" s="1458">
        <v>5.67</v>
      </c>
      <c r="W44" s="1458">
        <v>6.21</v>
      </c>
      <c r="X44" s="1458" t="s">
        <v>1298</v>
      </c>
      <c r="Y44" s="1458" t="s">
        <v>1298</v>
      </c>
      <c r="Z44" s="1458" t="s">
        <v>1298</v>
      </c>
    </row>
    <row r="45" spans="2:26">
      <c r="B45" s="1458"/>
      <c r="C45" s="1459">
        <v>38428</v>
      </c>
      <c r="D45" s="1458">
        <v>5.22</v>
      </c>
      <c r="E45" s="1458">
        <v>5.58</v>
      </c>
      <c r="F45" s="1458">
        <v>5.76</v>
      </c>
      <c r="G45" s="1458">
        <v>5.85</v>
      </c>
      <c r="H45" s="1458">
        <v>6.12</v>
      </c>
      <c r="I45" s="1458">
        <v>3.96</v>
      </c>
      <c r="J45" s="1458">
        <v>4.41</v>
      </c>
      <c r="L45" s="1458"/>
      <c r="M45" s="1459">
        <v>35300</v>
      </c>
      <c r="N45" s="1458">
        <v>1.98</v>
      </c>
      <c r="O45" s="1458">
        <v>3.33</v>
      </c>
      <c r="P45" s="1458">
        <v>5.4</v>
      </c>
      <c r="Q45" s="1458">
        <v>7.47</v>
      </c>
      <c r="R45" s="1458">
        <v>7.92</v>
      </c>
      <c r="S45" s="1458">
        <v>8.2799999999999994</v>
      </c>
      <c r="T45" s="1458">
        <v>9</v>
      </c>
      <c r="U45" s="1458">
        <v>5.4</v>
      </c>
      <c r="V45" s="1458">
        <v>7.47</v>
      </c>
      <c r="W45" s="1458">
        <v>8.2799999999999994</v>
      </c>
      <c r="X45" s="1458" t="s">
        <v>1298</v>
      </c>
      <c r="Y45" s="1458" t="s">
        <v>1298</v>
      </c>
      <c r="Z45" s="1458" t="s">
        <v>1298</v>
      </c>
    </row>
    <row r="46" spans="2:26">
      <c r="B46" s="1458"/>
      <c r="C46" s="1459">
        <v>38289</v>
      </c>
      <c r="D46" s="1458">
        <v>5.22</v>
      </c>
      <c r="E46" s="1458">
        <v>5.58</v>
      </c>
      <c r="F46" s="1458">
        <v>5.76</v>
      </c>
      <c r="G46" s="1458">
        <v>5.85</v>
      </c>
      <c r="H46" s="1458">
        <v>6.12</v>
      </c>
      <c r="I46" s="1458">
        <v>3.78</v>
      </c>
      <c r="J46" s="1458">
        <v>4.2300000000000004</v>
      </c>
      <c r="L46" s="1458"/>
      <c r="M46" s="1459">
        <v>35186</v>
      </c>
      <c r="N46" s="1458">
        <v>2.97</v>
      </c>
      <c r="O46" s="1458">
        <v>4.8600000000000003</v>
      </c>
      <c r="P46" s="1458">
        <v>7.2</v>
      </c>
      <c r="Q46" s="1458">
        <v>9.18</v>
      </c>
      <c r="R46" s="1458">
        <v>9.9</v>
      </c>
      <c r="S46" s="1458">
        <v>10.8</v>
      </c>
      <c r="T46" s="1458">
        <v>12.06</v>
      </c>
      <c r="U46" s="1458">
        <v>7.2</v>
      </c>
      <c r="V46" s="1458">
        <v>9.18</v>
      </c>
      <c r="W46" s="1458">
        <v>10.8</v>
      </c>
      <c r="X46" s="1458" t="s">
        <v>1298</v>
      </c>
      <c r="Y46" s="1458" t="s">
        <v>1298</v>
      </c>
      <c r="Z46" s="1458" t="s">
        <v>1298</v>
      </c>
    </row>
    <row r="47" spans="2:26">
      <c r="B47" s="1458"/>
      <c r="C47" s="1459">
        <v>37308</v>
      </c>
      <c r="D47" s="1458">
        <v>5.04</v>
      </c>
      <c r="E47" s="1458">
        <v>5.31</v>
      </c>
      <c r="F47" s="1458">
        <v>5.49</v>
      </c>
      <c r="G47" s="1458">
        <v>5.58</v>
      </c>
      <c r="H47" s="1458">
        <v>5.76</v>
      </c>
      <c r="I47" s="1458">
        <v>3.6</v>
      </c>
      <c r="J47" s="1458">
        <v>4.05</v>
      </c>
      <c r="L47" s="1458"/>
      <c r="M47" s="1459">
        <v>34161</v>
      </c>
      <c r="N47" s="1458">
        <v>3.15</v>
      </c>
      <c r="O47" s="1458">
        <v>6.66</v>
      </c>
      <c r="P47" s="1458">
        <v>9</v>
      </c>
      <c r="Q47" s="1458">
        <v>10.98</v>
      </c>
      <c r="R47" s="1458">
        <v>11.7</v>
      </c>
      <c r="S47" s="1458">
        <v>12.24</v>
      </c>
      <c r="T47" s="1458">
        <v>13.86</v>
      </c>
      <c r="U47" s="1458">
        <v>9</v>
      </c>
      <c r="V47" s="1458">
        <v>10.98</v>
      </c>
      <c r="W47" s="1458">
        <v>12.24</v>
      </c>
      <c r="X47" s="1458" t="s">
        <v>1298</v>
      </c>
      <c r="Y47" s="1458" t="s">
        <v>1298</v>
      </c>
      <c r="Z47" s="1458" t="s">
        <v>1298</v>
      </c>
    </row>
    <row r="48" spans="2:26">
      <c r="B48" s="1458"/>
      <c r="C48" s="1459">
        <v>36321</v>
      </c>
      <c r="D48" s="1458">
        <v>5.58</v>
      </c>
      <c r="E48" s="1458">
        <v>5.85</v>
      </c>
      <c r="F48" s="1458">
        <v>5.94</v>
      </c>
      <c r="G48" s="1458">
        <v>6.03</v>
      </c>
      <c r="H48" s="1458">
        <v>6.21</v>
      </c>
      <c r="I48" s="1458">
        <v>4.1399999999999997</v>
      </c>
      <c r="J48" s="1458">
        <v>4.59</v>
      </c>
      <c r="L48" s="1458"/>
      <c r="M48" s="1459">
        <v>34104</v>
      </c>
      <c r="N48" s="1458">
        <v>2.16</v>
      </c>
      <c r="O48" s="1458">
        <v>4.8600000000000003</v>
      </c>
      <c r="P48" s="1458">
        <v>7.2</v>
      </c>
      <c r="Q48" s="1458">
        <v>9.18</v>
      </c>
      <c r="R48" s="1458">
        <v>9.9</v>
      </c>
      <c r="S48" s="1458">
        <v>10.8</v>
      </c>
      <c r="T48" s="1458">
        <v>12.06</v>
      </c>
      <c r="U48" s="1458">
        <v>7.2</v>
      </c>
      <c r="V48" s="1458">
        <v>9.18</v>
      </c>
      <c r="W48" s="1458">
        <v>10.8</v>
      </c>
      <c r="X48" s="1458" t="s">
        <v>1298</v>
      </c>
      <c r="Y48" s="1458" t="s">
        <v>1298</v>
      </c>
      <c r="Z48" s="1458" t="s">
        <v>1298</v>
      </c>
    </row>
    <row r="49" spans="2:26">
      <c r="B49" s="1458"/>
      <c r="C49" s="1459">
        <v>36136</v>
      </c>
      <c r="D49" s="1458">
        <v>6.12</v>
      </c>
      <c r="E49" s="1458">
        <v>6.39</v>
      </c>
      <c r="F49" s="1458">
        <v>6.66</v>
      </c>
      <c r="G49" s="1458">
        <v>7.2</v>
      </c>
      <c r="H49" s="1458">
        <v>7.56</v>
      </c>
      <c r="I49" s="1458">
        <v>0</v>
      </c>
      <c r="J49" s="1458">
        <v>0</v>
      </c>
      <c r="L49" s="1458"/>
      <c r="M49" s="1459">
        <v>33349</v>
      </c>
      <c r="N49" s="1458">
        <v>1.8</v>
      </c>
      <c r="O49" s="1458">
        <v>3.24</v>
      </c>
      <c r="P49" s="1458">
        <v>5.4</v>
      </c>
      <c r="Q49" s="1458">
        <v>7.56</v>
      </c>
      <c r="R49" s="1458">
        <v>7.92</v>
      </c>
      <c r="S49" s="1458">
        <v>8.2799999999999994</v>
      </c>
      <c r="T49" s="1458">
        <v>9</v>
      </c>
      <c r="U49" s="1458">
        <v>6.12</v>
      </c>
      <c r="V49" s="1458">
        <v>6.84</v>
      </c>
      <c r="W49" s="1458">
        <v>7.56</v>
      </c>
      <c r="X49" s="1458" t="s">
        <v>1298</v>
      </c>
      <c r="Y49" s="1458" t="s">
        <v>1298</v>
      </c>
      <c r="Z49" s="1458" t="s">
        <v>1298</v>
      </c>
    </row>
    <row r="50" spans="2:26">
      <c r="B50" s="1458"/>
      <c r="C50" s="1459">
        <v>35977</v>
      </c>
      <c r="D50" s="1458">
        <v>6.57</v>
      </c>
      <c r="E50" s="1458">
        <v>6.93</v>
      </c>
      <c r="F50" s="1458">
        <v>7.11</v>
      </c>
      <c r="G50" s="1458">
        <v>7.65</v>
      </c>
      <c r="H50" s="1458">
        <v>8.01</v>
      </c>
      <c r="I50" s="1458">
        <v>0</v>
      </c>
      <c r="J50" s="1458">
        <v>0</v>
      </c>
      <c r="L50" s="1458"/>
      <c r="M50" s="1459">
        <v>33106</v>
      </c>
      <c r="N50" s="1458">
        <v>2.16</v>
      </c>
      <c r="O50" s="1458">
        <v>4.32</v>
      </c>
      <c r="P50" s="1458">
        <v>6.48</v>
      </c>
      <c r="Q50" s="1458">
        <v>8.64</v>
      </c>
      <c r="R50" s="1458">
        <v>9.36</v>
      </c>
      <c r="S50" s="1458">
        <v>10.08</v>
      </c>
      <c r="T50" s="1458">
        <v>11.52</v>
      </c>
      <c r="U50" s="1458">
        <v>7.2</v>
      </c>
      <c r="V50" s="1458">
        <v>8.64</v>
      </c>
      <c r="W50" s="1458">
        <v>10.08</v>
      </c>
      <c r="X50" s="1458" t="s">
        <v>1298</v>
      </c>
      <c r="Y50" s="1458" t="s">
        <v>1298</v>
      </c>
      <c r="Z50" s="1458" t="s">
        <v>1298</v>
      </c>
    </row>
    <row r="51" spans="2:26">
      <c r="B51" s="1458"/>
      <c r="C51" s="1459">
        <v>35879</v>
      </c>
      <c r="D51" s="1458">
        <v>7.02</v>
      </c>
      <c r="E51" s="1458">
        <v>7.92</v>
      </c>
      <c r="F51" s="1458">
        <v>9</v>
      </c>
      <c r="G51" s="1458">
        <v>9.7200000000000006</v>
      </c>
      <c r="H51" s="1458">
        <v>10.35</v>
      </c>
      <c r="I51" s="1458">
        <v>0</v>
      </c>
      <c r="J51" s="1458">
        <v>0</v>
      </c>
      <c r="L51" s="1458"/>
      <c r="M51" s="1459">
        <v>32978</v>
      </c>
      <c r="N51" s="1458">
        <v>2.88</v>
      </c>
      <c r="O51" s="1458">
        <v>6.3</v>
      </c>
      <c r="P51" s="1458">
        <v>7.74</v>
      </c>
      <c r="Q51" s="1458">
        <v>10.08</v>
      </c>
      <c r="R51" s="1458">
        <v>10.98</v>
      </c>
      <c r="S51" s="1458">
        <v>11.88</v>
      </c>
      <c r="T51" s="1458">
        <v>13.68</v>
      </c>
      <c r="U51" s="1458" t="s">
        <v>1298</v>
      </c>
      <c r="V51" s="1458" t="s">
        <v>1298</v>
      </c>
      <c r="W51" s="1458" t="s">
        <v>1298</v>
      </c>
      <c r="X51" s="1458" t="s">
        <v>1298</v>
      </c>
      <c r="Y51" s="1458" t="s">
        <v>1298</v>
      </c>
      <c r="Z51" s="1458" t="s">
        <v>1298</v>
      </c>
    </row>
    <row r="52" spans="2:26">
      <c r="B52" s="1458"/>
      <c r="C52" s="1459">
        <v>35726</v>
      </c>
      <c r="D52" s="1458">
        <v>7.65</v>
      </c>
      <c r="E52" s="1458">
        <v>8.64</v>
      </c>
      <c r="F52" s="1458">
        <v>9.36</v>
      </c>
      <c r="G52" s="1458">
        <v>9.9</v>
      </c>
      <c r="H52" s="1458">
        <v>10.53</v>
      </c>
      <c r="I52" s="1458">
        <v>0</v>
      </c>
      <c r="J52" s="1458">
        <v>0</v>
      </c>
      <c r="L52" s="1458"/>
      <c r="M52" s="1459"/>
      <c r="N52" s="1458"/>
      <c r="O52" s="1458"/>
      <c r="P52" s="1458"/>
      <c r="Q52" s="1458"/>
      <c r="R52" s="1458"/>
      <c r="S52" s="1458"/>
      <c r="T52" s="1458"/>
      <c r="U52" s="1458"/>
      <c r="V52" s="1458"/>
      <c r="W52" s="1458"/>
      <c r="X52" s="1458"/>
      <c r="Y52" s="1458"/>
      <c r="Z52" s="1458"/>
    </row>
    <row r="53" spans="2:26">
      <c r="B53" s="1458"/>
      <c r="C53" s="1459">
        <v>35300</v>
      </c>
      <c r="D53" s="1458">
        <v>9.18</v>
      </c>
      <c r="E53" s="1458">
        <v>10.08</v>
      </c>
      <c r="F53" s="1458">
        <v>10.98</v>
      </c>
      <c r="G53" s="1458">
        <v>11.7</v>
      </c>
      <c r="H53" s="1458">
        <v>12.42</v>
      </c>
      <c r="I53" s="1458">
        <v>0</v>
      </c>
      <c r="J53" s="1458">
        <v>0</v>
      </c>
      <c r="L53" s="1458"/>
      <c r="M53" s="1459"/>
      <c r="N53" s="1458"/>
      <c r="O53" s="1458"/>
      <c r="P53" s="1458"/>
      <c r="Q53" s="1458"/>
      <c r="R53" s="1458"/>
      <c r="S53" s="1458"/>
      <c r="T53" s="1458"/>
      <c r="U53" s="1458"/>
      <c r="V53" s="1458"/>
      <c r="W53" s="1458"/>
      <c r="X53" s="1458"/>
      <c r="Y53" s="1458"/>
      <c r="Z53" s="1458"/>
    </row>
    <row r="54" spans="2:26">
      <c r="B54" s="1458"/>
      <c r="C54" s="1459">
        <v>35186</v>
      </c>
      <c r="D54" s="1458">
        <v>9.7200000000000006</v>
      </c>
      <c r="E54" s="1458">
        <v>10.98</v>
      </c>
      <c r="F54" s="1458">
        <v>13.14</v>
      </c>
      <c r="G54" s="1458">
        <v>14.94</v>
      </c>
      <c r="H54" s="1458">
        <v>15.12</v>
      </c>
      <c r="I54" s="1458">
        <v>0</v>
      </c>
      <c r="J54" s="1458">
        <v>0</v>
      </c>
      <c r="L54" s="1458"/>
      <c r="M54" s="1459"/>
      <c r="N54" s="1458"/>
      <c r="O54" s="1458"/>
      <c r="P54" s="1458"/>
      <c r="Q54" s="1458"/>
      <c r="R54" s="1458"/>
      <c r="S54" s="1458"/>
      <c r="T54" s="1458"/>
      <c r="U54" s="1458"/>
      <c r="V54" s="1458"/>
      <c r="W54" s="1458"/>
      <c r="X54" s="1458"/>
      <c r="Y54" s="1458"/>
      <c r="Z54" s="1458"/>
    </row>
    <row r="55" spans="2:26">
      <c r="B55" s="1458"/>
      <c r="C55" s="1459">
        <v>34881</v>
      </c>
      <c r="D55" s="1458">
        <v>10.08</v>
      </c>
      <c r="E55" s="1458">
        <v>12.06</v>
      </c>
      <c r="F55" s="1458">
        <v>13.5</v>
      </c>
      <c r="G55" s="1458">
        <v>15.12</v>
      </c>
      <c r="H55" s="1458">
        <v>15.3</v>
      </c>
      <c r="I55" s="1458">
        <v>0</v>
      </c>
      <c r="J55" s="1458">
        <v>0</v>
      </c>
      <c r="L55" s="1458"/>
      <c r="M55" s="1459"/>
      <c r="N55" s="1458"/>
      <c r="O55" s="1458"/>
      <c r="P55" s="1458"/>
      <c r="Q55" s="1458"/>
      <c r="R55" s="1458"/>
      <c r="S55" s="1458"/>
      <c r="T55" s="1458"/>
      <c r="U55" s="1458"/>
      <c r="V55" s="1458"/>
      <c r="W55" s="1458"/>
      <c r="X55" s="1458"/>
      <c r="Y55" s="1458"/>
      <c r="Z55" s="1458"/>
    </row>
    <row r="56" spans="2:26">
      <c r="B56" s="1458"/>
      <c r="C56" s="1459">
        <v>34700</v>
      </c>
      <c r="D56" s="1458">
        <v>9</v>
      </c>
      <c r="E56" s="1458">
        <v>10.98</v>
      </c>
      <c r="F56" s="1458">
        <v>12.96</v>
      </c>
      <c r="G56" s="1458">
        <v>14.58</v>
      </c>
      <c r="H56" s="1458">
        <v>14.76</v>
      </c>
      <c r="I56" s="1458">
        <v>0</v>
      </c>
      <c r="J56" s="1458">
        <v>0</v>
      </c>
      <c r="L56" s="1458"/>
      <c r="M56" s="1459"/>
      <c r="N56" s="1458"/>
      <c r="O56" s="1458"/>
      <c r="P56" s="1458"/>
      <c r="Q56" s="1458"/>
      <c r="R56" s="1458"/>
      <c r="S56" s="1458"/>
      <c r="T56" s="1458"/>
      <c r="U56" s="1458"/>
      <c r="V56" s="1458"/>
      <c r="W56" s="1458"/>
      <c r="X56" s="1458"/>
      <c r="Y56" s="1458"/>
      <c r="Z56" s="1458"/>
    </row>
    <row r="57" spans="2:26">
      <c r="B57" s="1458"/>
      <c r="C57" s="1459">
        <v>34161</v>
      </c>
      <c r="D57" s="1458">
        <v>9</v>
      </c>
      <c r="E57" s="1458">
        <v>10.98</v>
      </c>
      <c r="F57" s="1458">
        <v>12.24</v>
      </c>
      <c r="G57" s="1458">
        <v>13.86</v>
      </c>
      <c r="H57" s="1458">
        <v>14.04</v>
      </c>
      <c r="I57" s="1458">
        <v>0</v>
      </c>
      <c r="J57" s="1458">
        <v>0</v>
      </c>
      <c r="L57" s="1458"/>
      <c r="M57" s="1459"/>
      <c r="N57" s="1458"/>
      <c r="O57" s="1458"/>
      <c r="P57" s="1458"/>
      <c r="Q57" s="1458"/>
      <c r="R57" s="1458"/>
      <c r="S57" s="1458"/>
      <c r="T57" s="1458"/>
      <c r="U57" s="1458"/>
      <c r="V57" s="1458"/>
      <c r="W57" s="1458"/>
      <c r="X57" s="1458"/>
      <c r="Y57" s="1458"/>
      <c r="Z57" s="1458"/>
    </row>
    <row r="58" spans="2:26">
      <c r="B58" s="1458"/>
      <c r="C58" s="1459">
        <v>34104</v>
      </c>
      <c r="D58" s="1458">
        <v>8.82</v>
      </c>
      <c r="E58" s="1458">
        <v>9.36</v>
      </c>
      <c r="F58" s="1458">
        <v>10.8</v>
      </c>
      <c r="G58" s="1458">
        <v>12.06</v>
      </c>
      <c r="H58" s="1458">
        <v>12.24</v>
      </c>
      <c r="I58" s="1458">
        <v>0</v>
      </c>
      <c r="J58" s="1458">
        <v>0</v>
      </c>
    </row>
    <row r="59" spans="2:26">
      <c r="B59" s="1458"/>
      <c r="C59" s="1459">
        <v>33349</v>
      </c>
      <c r="D59" s="1458">
        <v>8.1</v>
      </c>
      <c r="E59" s="1458">
        <v>8.64</v>
      </c>
      <c r="F59" s="1458">
        <v>9</v>
      </c>
      <c r="G59" s="1458">
        <v>9.5399999999999991</v>
      </c>
      <c r="H59" s="1458">
        <v>9.7200000000000006</v>
      </c>
      <c r="I59" s="1458">
        <v>0</v>
      </c>
      <c r="J59" s="1458">
        <v>0</v>
      </c>
    </row>
    <row r="60" spans="2:26">
      <c r="B60" s="1458"/>
      <c r="C60" s="1459">
        <v>33318</v>
      </c>
      <c r="D60" s="1458">
        <v>9</v>
      </c>
      <c r="E60" s="1458">
        <v>10.08</v>
      </c>
      <c r="F60" s="1458">
        <v>10.8</v>
      </c>
      <c r="G60" s="1458">
        <v>11.52</v>
      </c>
      <c r="H60" s="1458">
        <v>11.88</v>
      </c>
      <c r="I60" s="1458" t="s">
        <v>1298</v>
      </c>
      <c r="J60" s="1458" t="s">
        <v>1298</v>
      </c>
    </row>
    <row r="61" spans="2:26">
      <c r="B61" s="1458"/>
      <c r="C61" s="1459">
        <v>33106</v>
      </c>
      <c r="D61" s="1458">
        <v>8.64</v>
      </c>
      <c r="E61" s="1458">
        <v>9.36</v>
      </c>
      <c r="F61" s="1458">
        <v>10.08</v>
      </c>
      <c r="G61" s="1458">
        <v>10.8</v>
      </c>
      <c r="H61" s="1458">
        <v>11.16</v>
      </c>
      <c r="I61" s="1458">
        <v>0</v>
      </c>
      <c r="J61" s="1458">
        <v>0</v>
      </c>
    </row>
    <row r="62" spans="2:26">
      <c r="B62" s="1458"/>
      <c r="C62" s="1459">
        <v>32540</v>
      </c>
      <c r="D62" s="1458">
        <v>11.34</v>
      </c>
      <c r="E62" s="1458">
        <v>11.34</v>
      </c>
      <c r="F62" s="1458">
        <v>12.78</v>
      </c>
      <c r="G62" s="1458">
        <v>14.4</v>
      </c>
      <c r="H62" s="1458">
        <v>19.260000000000002</v>
      </c>
      <c r="I62" s="1458">
        <v>0</v>
      </c>
      <c r="J62" s="1458">
        <v>0</v>
      </c>
    </row>
    <row r="63" spans="2:26">
      <c r="B63" s="1458"/>
      <c r="C63" s="1459"/>
      <c r="D63" s="1458"/>
      <c r="E63" s="1458"/>
      <c r="F63" s="1458"/>
      <c r="G63" s="1458"/>
      <c r="H63" s="1458"/>
      <c r="I63" s="1458"/>
      <c r="J63" s="1458"/>
    </row>
    <row r="64" spans="2:26">
      <c r="B64" s="1461"/>
      <c r="C64" s="1462"/>
      <c r="D64" s="1461"/>
      <c r="E64" s="1461"/>
      <c r="F64" s="1461"/>
      <c r="G64" s="1461"/>
      <c r="H64" s="1461"/>
      <c r="I64" s="1461"/>
      <c r="J64" s="1461"/>
    </row>
    <row r="65" spans="2:10">
      <c r="B65" s="1461"/>
      <c r="C65" s="1462"/>
      <c r="D65" s="1461"/>
      <c r="E65" s="1461"/>
      <c r="F65" s="1461"/>
      <c r="G65" s="1461"/>
      <c r="H65" s="1461"/>
      <c r="I65" s="1461"/>
      <c r="J65" s="1461"/>
    </row>
    <row r="66" spans="2:10">
      <c r="B66" s="1461"/>
      <c r="C66" s="1462"/>
      <c r="D66" s="1461"/>
      <c r="E66" s="1461"/>
      <c r="F66" s="1461"/>
      <c r="G66" s="1461"/>
      <c r="H66" s="1461"/>
      <c r="I66" s="1461"/>
      <c r="J66" s="1461"/>
    </row>
    <row r="67" spans="2:10">
      <c r="B67" s="1410"/>
      <c r="C67" s="1410"/>
      <c r="D67" s="1410"/>
      <c r="E67" s="1410"/>
      <c r="F67" s="1410"/>
      <c r="G67" s="1410"/>
      <c r="H67" s="1410"/>
      <c r="I67" s="1410"/>
      <c r="J67" s="1410"/>
    </row>
    <row r="68" spans="2:10">
      <c r="B68" s="1410"/>
      <c r="C68" s="1410"/>
      <c r="D68" s="1410"/>
      <c r="E68" s="1410"/>
      <c r="F68" s="1410"/>
      <c r="G68" s="1410"/>
      <c r="H68" s="1410"/>
      <c r="I68" s="1410"/>
      <c r="J68" s="1410"/>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7"/>
  <sheetViews>
    <sheetView workbookViewId="0">
      <selection activeCell="K25" sqref="K25"/>
    </sheetView>
  </sheetViews>
  <sheetFormatPr defaultColWidth="8.875"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pageSetUpPr fitToPage="1"/>
  </sheetPr>
  <dimension ref="A1:AD259"/>
  <sheetViews>
    <sheetView view="pageBreakPreview" topLeftCell="A30" zoomScale="70" zoomScaleNormal="95" zoomScaleSheetLayoutView="70" workbookViewId="0">
      <selection activeCell="E121" sqref="E121"/>
    </sheetView>
  </sheetViews>
  <sheetFormatPr defaultColWidth="9" defaultRowHeight="14.25"/>
  <cols>
    <col min="1" max="2" width="15.625" style="3095" customWidth="1"/>
    <col min="3" max="3" width="15.125" style="3095" customWidth="1"/>
    <col min="4" max="4" width="12.125" style="3095" customWidth="1"/>
    <col min="5" max="5" width="16.125" style="3095" customWidth="1"/>
    <col min="6" max="6" width="12.125" style="3095" customWidth="1"/>
    <col min="7" max="7" width="15.625" style="3095" customWidth="1"/>
    <col min="8" max="8" width="12.125" style="3095" customWidth="1"/>
    <col min="9" max="9" width="15.625" style="3095" customWidth="1"/>
    <col min="10" max="10" width="12.125" style="3095" customWidth="1"/>
    <col min="11" max="11" width="12.125" style="3445" customWidth="1"/>
    <col min="12" max="12" width="12.125" style="3446" customWidth="1"/>
    <col min="13" max="15" width="12.125" style="3095" customWidth="1"/>
    <col min="16" max="16" width="4.625" style="3095" customWidth="1"/>
    <col min="17" max="17" width="19.5" style="3095" customWidth="1"/>
    <col min="18" max="22" width="6.125" style="3095" customWidth="1"/>
    <col min="23" max="23" width="5.625" style="3095" customWidth="1"/>
    <col min="24" max="24" width="4.125" style="3095" customWidth="1"/>
    <col min="25" max="25" width="3.5" style="3095" customWidth="1"/>
    <col min="26" max="26" width="19.625" style="3095" customWidth="1"/>
    <col min="27" max="28" width="9.375" style="3095" customWidth="1"/>
    <col min="29" max="16384" width="9" style="3095"/>
  </cols>
  <sheetData>
    <row r="1" spans="1:30" s="3072" customFormat="1" ht="28.5" customHeight="1">
      <c r="A1" s="3060" t="s">
        <v>3088</v>
      </c>
      <c r="B1" s="3061"/>
      <c r="C1" s="3062" t="s">
        <v>3089</v>
      </c>
      <c r="D1" s="3063" t="s">
        <v>3090</v>
      </c>
      <c r="E1" s="3064"/>
      <c r="F1" s="3065"/>
      <c r="G1" s="3064"/>
      <c r="H1" s="3064"/>
      <c r="I1" s="3064"/>
      <c r="J1" s="3064"/>
      <c r="K1" s="3066"/>
      <c r="L1" s="3067"/>
      <c r="M1" s="3068"/>
      <c r="N1" s="3068"/>
      <c r="O1" s="3068"/>
      <c r="P1" s="3069"/>
      <c r="Q1" s="3069"/>
      <c r="R1" s="3069"/>
      <c r="S1" s="3069"/>
      <c r="T1" s="3069"/>
      <c r="U1" s="3069"/>
      <c r="V1" s="3069"/>
      <c r="W1" s="3069"/>
      <c r="X1" s="3069"/>
      <c r="Y1" s="3069"/>
      <c r="Z1" s="3069"/>
      <c r="AA1" s="3069"/>
      <c r="AB1" s="3069"/>
      <c r="AC1" s="3070"/>
      <c r="AD1" s="3071"/>
    </row>
    <row r="2" spans="1:30" s="3072" customFormat="1" ht="28.5" customHeight="1">
      <c r="A2" s="207" t="s">
        <v>3091</v>
      </c>
      <c r="B2" s="3073">
        <f>F68</f>
        <v>174</v>
      </c>
      <c r="C2" s="3074"/>
      <c r="D2" s="3074"/>
      <c r="E2" s="3075"/>
      <c r="F2" s="3076"/>
      <c r="G2" s="3075"/>
      <c r="H2" s="3075"/>
      <c r="I2" s="3075"/>
      <c r="J2" s="3075"/>
      <c r="K2" s="3077"/>
      <c r="L2" s="3078"/>
      <c r="M2" s="3069"/>
      <c r="N2" s="3069"/>
      <c r="O2" s="3069"/>
      <c r="P2" s="3069"/>
      <c r="Q2" s="3069"/>
      <c r="R2" s="3069"/>
      <c r="S2" s="3069"/>
      <c r="T2" s="3069"/>
      <c r="U2" s="3069"/>
      <c r="V2" s="3069"/>
      <c r="W2" s="3069"/>
      <c r="X2" s="3069"/>
      <c r="Y2" s="3069"/>
      <c r="Z2" s="3069"/>
      <c r="AA2" s="3069"/>
      <c r="AB2" s="3069"/>
      <c r="AC2" s="3070"/>
      <c r="AD2" s="3071"/>
    </row>
    <row r="3" spans="1:30" s="3072" customFormat="1" ht="28.5" customHeight="1">
      <c r="A3" s="3079" t="s">
        <v>3092</v>
      </c>
      <c r="B3" s="3080">
        <f>ROUND(B2*10000/'[2]数据-汇总表'!E3,0)</f>
        <v>8785</v>
      </c>
      <c r="C3" s="3081"/>
      <c r="D3" s="3082"/>
      <c r="E3" s="3081"/>
      <c r="F3" s="3081"/>
      <c r="G3" s="3075"/>
      <c r="H3" s="3075"/>
      <c r="I3" s="3075"/>
      <c r="J3" s="3075"/>
      <c r="K3" s="3077"/>
      <c r="L3" s="3078"/>
      <c r="M3" s="3069"/>
      <c r="N3" s="3069"/>
      <c r="O3" s="3069"/>
      <c r="P3" s="3069"/>
      <c r="Q3" s="3069"/>
      <c r="R3" s="3069"/>
      <c r="S3" s="3069"/>
      <c r="T3" s="3069"/>
      <c r="U3" s="3069"/>
      <c r="V3" s="3069"/>
      <c r="W3" s="3069"/>
      <c r="X3" s="3069"/>
      <c r="Y3" s="3069"/>
      <c r="Z3" s="3069"/>
      <c r="AA3" s="3069"/>
      <c r="AB3" s="3083"/>
      <c r="AC3" s="3084"/>
    </row>
    <row r="4" spans="1:30" s="3072" customFormat="1" ht="28.5" customHeight="1">
      <c r="A4" s="3085" t="s">
        <v>3093</v>
      </c>
      <c r="B4" s="3086">
        <f>IF(B48="单位面积地价",C50,ROUND(B2*10000/'[2]数据-汇总表'!D3,0))</f>
        <v>1203</v>
      </c>
      <c r="C4" s="3081"/>
      <c r="D4" s="3082"/>
      <c r="E4" s="3081"/>
      <c r="F4" s="3081"/>
      <c r="G4" s="3075"/>
      <c r="H4" s="3075"/>
      <c r="I4" s="3075"/>
      <c r="J4" s="3075"/>
      <c r="K4" s="3077"/>
      <c r="L4" s="3078"/>
      <c r="M4" s="3069"/>
      <c r="N4" s="3069"/>
      <c r="O4" s="3069"/>
      <c r="P4" s="3069"/>
      <c r="Q4" s="3069"/>
      <c r="R4" s="3069"/>
      <c r="S4" s="3069"/>
      <c r="T4" s="3069"/>
      <c r="U4" s="3069"/>
      <c r="V4" s="3069"/>
      <c r="W4" s="3069"/>
      <c r="X4" s="3069"/>
      <c r="Y4" s="3069"/>
      <c r="Z4" s="3069"/>
      <c r="AA4" s="3069"/>
      <c r="AB4" s="3069"/>
      <c r="AC4" s="3084"/>
    </row>
    <row r="5" spans="1:30" s="3072" customFormat="1" ht="28.5" customHeight="1" thickBot="1">
      <c r="A5" s="205"/>
      <c r="B5" s="3087">
        <f>ROUND(B2/('[2]数据-汇总表'!D3/666.67),0)</f>
        <v>80</v>
      </c>
      <c r="C5" s="3088" t="s">
        <v>3094</v>
      </c>
      <c r="D5" s="3081"/>
      <c r="E5" s="3081"/>
      <c r="F5" s="3081"/>
      <c r="G5" s="3075"/>
      <c r="H5" s="3075"/>
      <c r="I5" s="3075"/>
      <c r="J5" s="3075"/>
      <c r="K5" s="3077"/>
      <c r="L5" s="3078"/>
      <c r="M5" s="3069"/>
      <c r="N5" s="3069"/>
      <c r="O5" s="3069"/>
      <c r="P5" s="3069"/>
      <c r="Q5" s="3069"/>
      <c r="R5" s="3069"/>
      <c r="S5" s="3069"/>
      <c r="T5" s="3069"/>
      <c r="U5" s="3069"/>
      <c r="V5" s="3069"/>
      <c r="W5" s="3069"/>
      <c r="X5" s="3069"/>
      <c r="Y5" s="3069"/>
      <c r="Z5" s="3069"/>
      <c r="AA5" s="3069"/>
      <c r="AB5" s="3069"/>
      <c r="AC5" s="3084"/>
    </row>
    <row r="6" spans="1:30" ht="20.25">
      <c r="A6" s="3089" t="s">
        <v>3095</v>
      </c>
      <c r="B6" s="3090"/>
      <c r="C6" s="4029" t="s">
        <v>3096</v>
      </c>
      <c r="D6" s="4030"/>
      <c r="E6" s="4029" t="s">
        <v>3097</v>
      </c>
      <c r="F6" s="4030"/>
      <c r="G6" s="4029" t="s">
        <v>3098</v>
      </c>
      <c r="H6" s="4030"/>
      <c r="I6" s="4029" t="s">
        <v>3099</v>
      </c>
      <c r="J6" s="4030"/>
      <c r="K6" s="3091" t="s">
        <v>3100</v>
      </c>
      <c r="L6" s="3092"/>
      <c r="M6" s="3069"/>
      <c r="N6" s="3069"/>
      <c r="O6" s="3093"/>
      <c r="P6" s="4031" t="s">
        <v>3101</v>
      </c>
      <c r="Q6" s="4032"/>
      <c r="R6" s="4037" t="s">
        <v>3097</v>
      </c>
      <c r="S6" s="4038"/>
      <c r="T6" s="4037" t="s">
        <v>3098</v>
      </c>
      <c r="U6" s="4038"/>
      <c r="V6" s="4050" t="s">
        <v>3099</v>
      </c>
      <c r="W6" s="4050"/>
      <c r="X6" s="3094"/>
      <c r="Y6" s="4037" t="s">
        <v>3101</v>
      </c>
      <c r="Z6" s="4038"/>
      <c r="AA6" s="4026" t="s">
        <v>3097</v>
      </c>
      <c r="AB6" s="4027" t="s">
        <v>3098</v>
      </c>
      <c r="AC6" s="4026" t="s">
        <v>3099</v>
      </c>
    </row>
    <row r="7" spans="1:30" ht="36.75" customHeight="1">
      <c r="A7" s="3096"/>
      <c r="B7" s="3097"/>
      <c r="C7" s="4041" t="str">
        <f>[2]项目基本情况!F10</f>
        <v>爱丹路1709号101</v>
      </c>
      <c r="D7" s="4042"/>
      <c r="E7" s="4043" t="str">
        <f>'土地案例（延吉）'!A11</f>
        <v>延吉市开发区人民路北侧</v>
      </c>
      <c r="F7" s="4042"/>
      <c r="G7" s="4043" t="str">
        <f>'土地案例（延吉）'!A18</f>
        <v>延吉市北山街,延北路南侧、朝阳街西侧</v>
      </c>
      <c r="H7" s="4042"/>
      <c r="I7" s="4043" t="str">
        <f>'土地案例（延吉）'!A26</f>
        <v>延吉市小营镇民主村,公园路北侧(高铁变电所东侧)</v>
      </c>
      <c r="J7" s="4042"/>
      <c r="K7" s="3091"/>
      <c r="L7" s="3092"/>
      <c r="M7" s="3069"/>
      <c r="N7" s="3069"/>
      <c r="O7" s="3093"/>
      <c r="P7" s="4033"/>
      <c r="Q7" s="4034"/>
      <c r="R7" s="4039"/>
      <c r="S7" s="4040"/>
      <c r="T7" s="4039"/>
      <c r="U7" s="4040"/>
      <c r="V7" s="4050"/>
      <c r="W7" s="4050"/>
      <c r="X7" s="3094"/>
      <c r="Y7" s="4039"/>
      <c r="Z7" s="4040"/>
      <c r="AA7" s="4027"/>
      <c r="AB7" s="4027"/>
      <c r="AC7" s="4027"/>
    </row>
    <row r="8" spans="1:30" ht="21" thickBot="1">
      <c r="A8" s="3096"/>
      <c r="B8" s="3097"/>
      <c r="C8" s="4044" t="s">
        <v>3102</v>
      </c>
      <c r="D8" s="4045"/>
      <c r="E8" s="4044" t="s">
        <v>3102</v>
      </c>
      <c r="F8" s="4045"/>
      <c r="G8" s="4046" t="s">
        <v>3102</v>
      </c>
      <c r="H8" s="4047"/>
      <c r="I8" s="4046" t="s">
        <v>3102</v>
      </c>
      <c r="J8" s="4047"/>
      <c r="K8" s="3091" t="s">
        <v>3103</v>
      </c>
      <c r="L8" s="3092"/>
      <c r="M8" s="3069"/>
      <c r="N8" s="3069"/>
      <c r="O8" s="3093"/>
      <c r="P8" s="4035"/>
      <c r="Q8" s="4036"/>
      <c r="R8" s="4039"/>
      <c r="S8" s="4040"/>
      <c r="T8" s="4048"/>
      <c r="U8" s="4049"/>
      <c r="V8" s="4050"/>
      <c r="W8" s="4050"/>
      <c r="X8" s="3094"/>
      <c r="Y8" s="4048"/>
      <c r="Z8" s="4049"/>
      <c r="AA8" s="4028"/>
      <c r="AB8" s="4028"/>
      <c r="AC8" s="4028"/>
    </row>
    <row r="9" spans="1:30" s="3112" customFormat="1" ht="21" thickBot="1">
      <c r="A9" s="3098"/>
      <c r="B9" s="3099" t="s">
        <v>3104</v>
      </c>
      <c r="C9" s="3100">
        <f>'[2]数据-取费表'!B2</f>
        <v>44357</v>
      </c>
      <c r="D9" s="3101">
        <v>100</v>
      </c>
      <c r="E9" s="3102" t="str">
        <f>'[2]土地案例（白山市）'!K13</f>
        <v>2021-05-16</v>
      </c>
      <c r="F9" s="3103">
        <f>SUMIF(72:72,YEAR(E9)&amp;"-"&amp;INT((MONTH(E9)+2)/3),73:73)</f>
        <v>100</v>
      </c>
      <c r="G9" s="3104" t="str">
        <f>'[2]土地案例（白山市）'!K14</f>
        <v>2021-05-16</v>
      </c>
      <c r="H9" s="3101">
        <f>SUMIF(72:72,YEAR(G9)&amp;"-"&amp;INT((MONTH(G9)+2)/3),73:73)</f>
        <v>100</v>
      </c>
      <c r="I9" s="3104" t="str">
        <f>'[2]土地案例（白山市）'!K28</f>
        <v>2020-08-06</v>
      </c>
      <c r="J9" s="3101">
        <f>SUMIF(72:72,YEAR(I9)&amp;"-"&amp;INT((MONTH(I9)+2)/3),73:73)</f>
        <v>100</v>
      </c>
      <c r="K9" s="3105"/>
      <c r="L9" s="3106"/>
      <c r="M9" s="3069"/>
      <c r="N9" s="3069"/>
      <c r="O9" s="3107"/>
      <c r="P9" s="4051" t="s">
        <v>3105</v>
      </c>
      <c r="Q9" s="4052"/>
      <c r="R9" s="3108" t="s">
        <v>3106</v>
      </c>
      <c r="S9" s="3109">
        <f t="shared" ref="S9:S17" si="0">F9</f>
        <v>100</v>
      </c>
      <c r="T9" s="3108" t="s">
        <v>3106</v>
      </c>
      <c r="U9" s="3109">
        <f t="shared" ref="U9:U17" si="1">H9</f>
        <v>100</v>
      </c>
      <c r="V9" s="3108" t="s">
        <v>3106</v>
      </c>
      <c r="W9" s="3109">
        <f t="shared" ref="W9:W17" si="2">J9</f>
        <v>100</v>
      </c>
      <c r="X9" s="3110"/>
      <c r="Y9" s="4051" t="s">
        <v>3105</v>
      </c>
      <c r="Z9" s="4053"/>
      <c r="AA9" s="3111">
        <f>D9/F9</f>
        <v>1</v>
      </c>
      <c r="AB9" s="3111">
        <f>D9/H9</f>
        <v>1</v>
      </c>
      <c r="AC9" s="3111">
        <f>D9/J9</f>
        <v>1</v>
      </c>
    </row>
    <row r="10" spans="1:30" s="3112" customFormat="1" ht="21" thickBot="1">
      <c r="A10" s="3113"/>
      <c r="B10" s="3114" t="s">
        <v>3107</v>
      </c>
      <c r="C10" s="3115" t="s">
        <v>3108</v>
      </c>
      <c r="D10" s="3101">
        <v>100</v>
      </c>
      <c r="E10" s="3116" t="s">
        <v>3109</v>
      </c>
      <c r="F10" s="3103">
        <f>SUMIF(75:75,E10,76:76)-SUMIF(75:75,C10,76:76)+100</f>
        <v>100</v>
      </c>
      <c r="G10" s="3116" t="s">
        <v>3109</v>
      </c>
      <c r="H10" s="3101">
        <f>SUMIF(75:75,G10,76:76)-SUMIF(75:75,C10,76:76)+100</f>
        <v>100</v>
      </c>
      <c r="I10" s="3116" t="s">
        <v>3109</v>
      </c>
      <c r="J10" s="3101">
        <f>SUMIF(75:75,I10,76:76)-SUMIF(75:75,C10,76:76)+100</f>
        <v>100</v>
      </c>
      <c r="K10" s="3105"/>
      <c r="L10" s="3106"/>
      <c r="M10" s="3069"/>
      <c r="N10" s="3069"/>
      <c r="O10" s="3107"/>
      <c r="P10" s="4051" t="s">
        <v>3110</v>
      </c>
      <c r="Q10" s="4053"/>
      <c r="R10" s="3108" t="s">
        <v>3106</v>
      </c>
      <c r="S10" s="3109">
        <f t="shared" si="0"/>
        <v>100</v>
      </c>
      <c r="T10" s="3108" t="s">
        <v>3106</v>
      </c>
      <c r="U10" s="3109">
        <f t="shared" si="1"/>
        <v>100</v>
      </c>
      <c r="V10" s="3108" t="s">
        <v>3106</v>
      </c>
      <c r="W10" s="3109">
        <f t="shared" si="2"/>
        <v>100</v>
      </c>
      <c r="X10" s="3110"/>
      <c r="Y10" s="4051" t="s">
        <v>3110</v>
      </c>
      <c r="Z10" s="4053"/>
      <c r="AA10" s="3111">
        <f t="shared" ref="AA10:AA47" si="3">D10/F10</f>
        <v>1</v>
      </c>
      <c r="AB10" s="3111">
        <f t="shared" ref="AB10:AB47" si="4">D10/H10</f>
        <v>1</v>
      </c>
      <c r="AC10" s="3111">
        <f t="shared" ref="AC10:AC47" si="5">D10/J10</f>
        <v>1</v>
      </c>
    </row>
    <row r="11" spans="1:30" s="3112" customFormat="1" ht="20.25">
      <c r="A11" s="3117"/>
      <c r="B11" s="3118" t="s">
        <v>3111</v>
      </c>
      <c r="C11" s="3119" t="s">
        <v>3112</v>
      </c>
      <c r="D11" s="3120">
        <v>100</v>
      </c>
      <c r="E11" s="3121" t="s">
        <v>3112</v>
      </c>
      <c r="F11" s="3120">
        <f>SUMIF(77:77,E11,78:78)-SUMIF(77:77,C11,78:78)+100</f>
        <v>100</v>
      </c>
      <c r="G11" s="3121" t="s">
        <v>3112</v>
      </c>
      <c r="H11" s="3120">
        <f>SUMIF(77:77,G11,78:78)-SUMIF(77:77,C11,78:78)+100</f>
        <v>100</v>
      </c>
      <c r="I11" s="3121" t="s">
        <v>3113</v>
      </c>
      <c r="J11" s="3120">
        <f>SUMIF(77:77,I11,78:78)-SUMIF(77:77,C11,78:78)+100</f>
        <v>100</v>
      </c>
      <c r="K11" s="3105"/>
      <c r="L11" s="3106"/>
      <c r="M11" s="3069"/>
      <c r="N11" s="3069"/>
      <c r="O11" s="3122"/>
      <c r="P11" s="4054" t="s">
        <v>3114</v>
      </c>
      <c r="Q11" s="3123" t="str">
        <f t="shared" ref="Q11:Q17" si="6">B11</f>
        <v>用途</v>
      </c>
      <c r="R11" s="3108" t="s">
        <v>3106</v>
      </c>
      <c r="S11" s="3109">
        <f t="shared" si="0"/>
        <v>100</v>
      </c>
      <c r="T11" s="3108" t="s">
        <v>3106</v>
      </c>
      <c r="U11" s="3109">
        <f t="shared" si="1"/>
        <v>100</v>
      </c>
      <c r="V11" s="3108" t="s">
        <v>3106</v>
      </c>
      <c r="W11" s="3109">
        <f t="shared" si="2"/>
        <v>100</v>
      </c>
      <c r="X11" s="3110"/>
      <c r="Y11" s="4055" t="s">
        <v>3115</v>
      </c>
      <c r="Z11" s="3124" t="str">
        <f t="shared" ref="Z11:Z17" si="7">Q11</f>
        <v>用途</v>
      </c>
      <c r="AA11" s="3111">
        <f t="shared" si="3"/>
        <v>1</v>
      </c>
      <c r="AB11" s="3111">
        <f t="shared" si="4"/>
        <v>1</v>
      </c>
      <c r="AC11" s="3111">
        <f t="shared" si="5"/>
        <v>1</v>
      </c>
    </row>
    <row r="12" spans="1:30" s="3133" customFormat="1" ht="27">
      <c r="A12" s="3125"/>
      <c r="B12" s="3114" t="s">
        <v>3116</v>
      </c>
      <c r="C12" s="3126"/>
      <c r="D12" s="3127">
        <v>100</v>
      </c>
      <c r="E12" s="3128"/>
      <c r="F12" s="3127">
        <f>ROUND(100/'[2]数据-取费表'!G16,0)</f>
        <v>100</v>
      </c>
      <c r="G12" s="3129"/>
      <c r="H12" s="3127">
        <f>ROUND(100/'[2]数据-取费表'!G16,0)</f>
        <v>100</v>
      </c>
      <c r="I12" s="3129"/>
      <c r="J12" s="3127">
        <f>ROUND(100/'[2]数据-取费表'!G16,0)</f>
        <v>100</v>
      </c>
      <c r="K12" s="3130"/>
      <c r="L12" s="3131"/>
      <c r="M12" s="3069"/>
      <c r="N12" s="3069"/>
      <c r="O12" s="3132"/>
      <c r="P12" s="4054"/>
      <c r="Q12" s="3123" t="str">
        <f t="shared" si="6"/>
        <v>土地使用年限（年）</v>
      </c>
      <c r="R12" s="3108" t="s">
        <v>3106</v>
      </c>
      <c r="S12" s="3109">
        <f t="shared" si="0"/>
        <v>100</v>
      </c>
      <c r="T12" s="3108" t="s">
        <v>3106</v>
      </c>
      <c r="U12" s="3109">
        <f t="shared" si="1"/>
        <v>100</v>
      </c>
      <c r="V12" s="3108" t="s">
        <v>3106</v>
      </c>
      <c r="W12" s="3109">
        <f t="shared" si="2"/>
        <v>100</v>
      </c>
      <c r="X12" s="3110"/>
      <c r="Y12" s="4055"/>
      <c r="Z12" s="3124" t="str">
        <f t="shared" si="7"/>
        <v>土地使用年限（年）</v>
      </c>
      <c r="AA12" s="3111">
        <f t="shared" si="3"/>
        <v>1</v>
      </c>
      <c r="AB12" s="3111">
        <f t="shared" si="4"/>
        <v>1</v>
      </c>
      <c r="AC12" s="3111">
        <f t="shared" si="5"/>
        <v>1</v>
      </c>
    </row>
    <row r="13" spans="1:30" ht="20.25">
      <c r="A13" s="3134"/>
      <c r="B13" s="3114" t="s">
        <v>3117</v>
      </c>
      <c r="C13" s="3135">
        <f>'[2]数据-汇总表'!I3</f>
        <v>0.14000000000000001</v>
      </c>
      <c r="D13" s="3127">
        <v>100</v>
      </c>
      <c r="E13" s="3136">
        <v>0.1</v>
      </c>
      <c r="F13" s="3127">
        <f>LOOKUP(E13,82:82,83:83)-LOOKUP(C13,82:82,83:83)+100</f>
        <v>100</v>
      </c>
      <c r="G13" s="3135">
        <v>0.25</v>
      </c>
      <c r="H13" s="3127">
        <f>LOOKUP(G13,82:82,83:83)-LOOKUP(C13,82:82,83:83)+100</f>
        <v>100</v>
      </c>
      <c r="I13" s="3136">
        <v>0.36</v>
      </c>
      <c r="J13" s="3127">
        <f>LOOKUP(I13,82:82,83:83)-LOOKUP(C13,82:82,83:83)+100</f>
        <v>100</v>
      </c>
      <c r="K13" s="3137"/>
      <c r="L13" s="3138"/>
      <c r="M13" s="3069"/>
      <c r="N13" s="3069"/>
      <c r="O13" s="3139"/>
      <c r="P13" s="4054"/>
      <c r="Q13" s="3123" t="str">
        <f t="shared" si="6"/>
        <v>容积率</v>
      </c>
      <c r="R13" s="3108" t="s">
        <v>3106</v>
      </c>
      <c r="S13" s="3109">
        <f t="shared" si="0"/>
        <v>100</v>
      </c>
      <c r="T13" s="3108" t="s">
        <v>3106</v>
      </c>
      <c r="U13" s="3109">
        <f t="shared" si="1"/>
        <v>100</v>
      </c>
      <c r="V13" s="3108" t="s">
        <v>3106</v>
      </c>
      <c r="W13" s="3109">
        <f t="shared" si="2"/>
        <v>100</v>
      </c>
      <c r="X13" s="3110"/>
      <c r="Y13" s="4055"/>
      <c r="Z13" s="3124" t="str">
        <f t="shared" si="7"/>
        <v>容积率</v>
      </c>
      <c r="AA13" s="3111">
        <f t="shared" si="3"/>
        <v>1</v>
      </c>
      <c r="AB13" s="3111">
        <f t="shared" si="4"/>
        <v>1</v>
      </c>
      <c r="AC13" s="3111">
        <f t="shared" si="5"/>
        <v>1</v>
      </c>
    </row>
    <row r="14" spans="1:30" s="3112" customFormat="1" ht="20.25">
      <c r="A14" s="3113"/>
      <c r="B14" s="3140" t="s">
        <v>3118</v>
      </c>
      <c r="C14" s="3141"/>
      <c r="D14" s="3142">
        <v>100</v>
      </c>
      <c r="E14" s="3143"/>
      <c r="F14" s="3127">
        <f>SUMIF(84:84,E14,85:85)-SUMIF(84:84,C14,85:85)+100</f>
        <v>100</v>
      </c>
      <c r="G14" s="3129"/>
      <c r="H14" s="3127">
        <f>SUMIF(84:84,G14,85:85)-SUMIF(84:84,C14,85:85)+100</f>
        <v>100</v>
      </c>
      <c r="I14" s="3128"/>
      <c r="J14" s="3127">
        <f>SUMIF(84:84,I14,85:85)-SUMIF(84:84,C14,85:85)+100</f>
        <v>100</v>
      </c>
      <c r="K14" s="3130"/>
      <c r="L14" s="3106"/>
      <c r="M14" s="3069"/>
      <c r="N14" s="3069"/>
      <c r="O14" s="3122"/>
      <c r="P14" s="4054"/>
      <c r="Q14" s="3123" t="str">
        <f t="shared" si="6"/>
        <v>配建</v>
      </c>
      <c r="R14" s="3108" t="s">
        <v>3106</v>
      </c>
      <c r="S14" s="3109">
        <f t="shared" si="0"/>
        <v>100</v>
      </c>
      <c r="T14" s="3108" t="s">
        <v>3106</v>
      </c>
      <c r="U14" s="3109">
        <f t="shared" si="1"/>
        <v>100</v>
      </c>
      <c r="V14" s="3108" t="s">
        <v>3106</v>
      </c>
      <c r="W14" s="3109">
        <f t="shared" si="2"/>
        <v>100</v>
      </c>
      <c r="X14" s="3110"/>
      <c r="Y14" s="4055"/>
      <c r="Z14" s="3124" t="str">
        <f t="shared" si="7"/>
        <v>配建</v>
      </c>
      <c r="AA14" s="3111">
        <f>D14/F14</f>
        <v>1</v>
      </c>
      <c r="AB14" s="3111">
        <f>D14/H14</f>
        <v>1</v>
      </c>
      <c r="AC14" s="3111">
        <f>D14/J14</f>
        <v>1</v>
      </c>
    </row>
    <row r="15" spans="1:30" ht="20.25">
      <c r="A15" s="3144"/>
      <c r="B15" s="3145">
        <v>111</v>
      </c>
      <c r="C15" s="3146"/>
      <c r="D15" s="3147">
        <v>100</v>
      </c>
      <c r="E15" s="3148"/>
      <c r="F15" s="3127">
        <f>SUMIF(86:86,E15,87:87)-SUMIF(86:86,C15,87:87)+100</f>
        <v>100</v>
      </c>
      <c r="G15" s="3149"/>
      <c r="H15" s="3147">
        <f>SUMIF(86:86,G15,87:87)-SUMIF(86:86,C15,87:87)+100</f>
        <v>100</v>
      </c>
      <c r="I15" s="3149"/>
      <c r="J15" s="3147">
        <f>SUMIF(86:86,I15,87:87)-SUMIF(86:86,C15,87:87)+100</f>
        <v>100</v>
      </c>
      <c r="K15" s="3130"/>
      <c r="L15" s="3150"/>
      <c r="M15" s="3069"/>
      <c r="N15" s="3069"/>
      <c r="O15" s="3139"/>
      <c r="P15" s="4054"/>
      <c r="Q15" s="3123">
        <f t="shared" si="6"/>
        <v>111</v>
      </c>
      <c r="R15" s="3108" t="s">
        <v>3106</v>
      </c>
      <c r="S15" s="3109">
        <f t="shared" si="0"/>
        <v>100</v>
      </c>
      <c r="T15" s="3108" t="s">
        <v>3106</v>
      </c>
      <c r="U15" s="3109">
        <f t="shared" si="1"/>
        <v>100</v>
      </c>
      <c r="V15" s="3108" t="s">
        <v>3106</v>
      </c>
      <c r="W15" s="3109">
        <f t="shared" si="2"/>
        <v>100</v>
      </c>
      <c r="X15" s="3110"/>
      <c r="Y15" s="4055"/>
      <c r="Z15" s="3124">
        <f t="shared" si="7"/>
        <v>111</v>
      </c>
      <c r="AA15" s="3111">
        <f>D15/F15</f>
        <v>1</v>
      </c>
      <c r="AB15" s="3111">
        <f>D15/H15</f>
        <v>1</v>
      </c>
      <c r="AC15" s="3111">
        <f>D15/J15</f>
        <v>1</v>
      </c>
    </row>
    <row r="16" spans="1:30" ht="21" thickBot="1">
      <c r="A16" s="3151"/>
      <c r="B16" s="3152">
        <v>111</v>
      </c>
      <c r="C16" s="3153"/>
      <c r="D16" s="3154">
        <v>100</v>
      </c>
      <c r="E16" s="3148"/>
      <c r="F16" s="3154">
        <f>SUMIF(88:88,E16,89:89)-SUMIF(88:88,C16,89:89)+100</f>
        <v>100</v>
      </c>
      <c r="G16" s="3149"/>
      <c r="H16" s="3154">
        <f>SUMIF(88:88,G16,89:89)-SUMIF(88:88,C16,89:89)+100</f>
        <v>100</v>
      </c>
      <c r="I16" s="3149"/>
      <c r="J16" s="3154">
        <f>SUMIF(88:88,I16,89:89)-SUMIF(88:88,C16,89:89)+100</f>
        <v>100</v>
      </c>
      <c r="K16" s="3130"/>
      <c r="L16" s="3150"/>
      <c r="M16" s="3069"/>
      <c r="N16" s="3069"/>
      <c r="O16" s="3139"/>
      <c r="P16" s="4054"/>
      <c r="Q16" s="3123">
        <f t="shared" si="6"/>
        <v>111</v>
      </c>
      <c r="R16" s="3108" t="s">
        <v>3106</v>
      </c>
      <c r="S16" s="3109">
        <f t="shared" si="0"/>
        <v>100</v>
      </c>
      <c r="T16" s="3108" t="s">
        <v>3106</v>
      </c>
      <c r="U16" s="3109">
        <f t="shared" si="1"/>
        <v>100</v>
      </c>
      <c r="V16" s="3108" t="s">
        <v>3106</v>
      </c>
      <c r="W16" s="3109">
        <f t="shared" si="2"/>
        <v>100</v>
      </c>
      <c r="X16" s="3110"/>
      <c r="Y16" s="4055"/>
      <c r="Z16" s="3124">
        <f t="shared" si="7"/>
        <v>111</v>
      </c>
      <c r="AA16" s="3111">
        <f>D16/F16</f>
        <v>1</v>
      </c>
      <c r="AB16" s="3111">
        <f>D16/H16</f>
        <v>1</v>
      </c>
      <c r="AC16" s="3111">
        <f>D16/J16</f>
        <v>1</v>
      </c>
    </row>
    <row r="17" spans="1:29" ht="99.75">
      <c r="A17" s="3155" t="s">
        <v>3119</v>
      </c>
      <c r="B17" s="3156" t="s">
        <v>3120</v>
      </c>
      <c r="C17" s="3157" t="str">
        <f>[2]估价对象房地状况!C15</f>
        <v>估价对象周边居住用地比例、居住小区规模和社区发展完善程度，综合评价居住社区成熟度一般</v>
      </c>
      <c r="D17" s="3158">
        <v>100</v>
      </c>
      <c r="E17" s="3159"/>
      <c r="F17" s="3160">
        <f>SUMIF(90:90,E18,91:91)-SUMIF(90:90,C18,91:91)+100</f>
        <v>100</v>
      </c>
      <c r="G17" s="3161"/>
      <c r="H17" s="3160">
        <f>SUMIF(90:90,G18,91:91)-SUMIF(90:90,C18,91:91)+100</f>
        <v>100</v>
      </c>
      <c r="I17" s="3159"/>
      <c r="J17" s="3160">
        <f>SUMIF(90:90,I18,91:91)-SUMIF(90:90,C18,91:91)+100</f>
        <v>100</v>
      </c>
      <c r="K17" s="3137">
        <v>2</v>
      </c>
      <c r="L17" s="3150"/>
      <c r="M17" s="3069"/>
      <c r="N17" s="3069"/>
      <c r="O17" s="3139"/>
      <c r="P17" s="4056" t="s">
        <v>3121</v>
      </c>
      <c r="Q17" s="3162" t="str">
        <f t="shared" si="6"/>
        <v>居住社区成熟度</v>
      </c>
      <c r="R17" s="3163" t="s">
        <v>3106</v>
      </c>
      <c r="S17" s="3164">
        <f t="shared" si="0"/>
        <v>100</v>
      </c>
      <c r="T17" s="3163" t="s">
        <v>3106</v>
      </c>
      <c r="U17" s="3164">
        <f t="shared" si="1"/>
        <v>100</v>
      </c>
      <c r="V17" s="3163" t="s">
        <v>3106</v>
      </c>
      <c r="W17" s="3164">
        <f t="shared" si="2"/>
        <v>100</v>
      </c>
      <c r="X17" s="3094"/>
      <c r="Y17" s="4056" t="s">
        <v>3121</v>
      </c>
      <c r="Z17" s="3165" t="str">
        <f t="shared" si="7"/>
        <v>居住社区成熟度</v>
      </c>
      <c r="AA17" s="3166">
        <f t="shared" si="3"/>
        <v>1</v>
      </c>
      <c r="AB17" s="3166">
        <f t="shared" si="4"/>
        <v>1</v>
      </c>
      <c r="AC17" s="3166">
        <f t="shared" si="5"/>
        <v>1</v>
      </c>
    </row>
    <row r="18" spans="1:29" ht="20.25">
      <c r="A18" s="3167"/>
      <c r="B18" s="3168"/>
      <c r="C18" s="3169" t="s">
        <v>3122</v>
      </c>
      <c r="D18" s="3170"/>
      <c r="E18" s="3171" t="s">
        <v>3122</v>
      </c>
      <c r="F18" s="3172"/>
      <c r="G18" s="3173" t="s">
        <v>3122</v>
      </c>
      <c r="H18" s="3174"/>
      <c r="I18" s="3171" t="s">
        <v>3122</v>
      </c>
      <c r="J18" s="3172"/>
      <c r="K18" s="3130"/>
      <c r="L18" s="3150"/>
      <c r="M18" s="3069"/>
      <c r="N18" s="3069"/>
      <c r="O18" s="3139"/>
      <c r="P18" s="4057"/>
      <c r="Q18" s="3162"/>
      <c r="R18" s="3163"/>
      <c r="S18" s="3164"/>
      <c r="T18" s="3163"/>
      <c r="U18" s="3164"/>
      <c r="V18" s="3163"/>
      <c r="W18" s="3164"/>
      <c r="X18" s="3094"/>
      <c r="Y18" s="4057"/>
      <c r="Z18" s="3165"/>
      <c r="AA18" s="3166">
        <v>1</v>
      </c>
      <c r="AB18" s="3166">
        <v>1</v>
      </c>
      <c r="AC18" s="3166">
        <v>1</v>
      </c>
    </row>
    <row r="19" spans="1:29" ht="71.25">
      <c r="A19" s="3167"/>
      <c r="B19" s="3175" t="s">
        <v>3124</v>
      </c>
      <c r="C19" s="3176" t="str">
        <f>[2]估价对象房地状况!C16</f>
        <v>估价对象位于XX商圈，周边商业氛围成熟，人流量大，商业繁华度好</v>
      </c>
      <c r="D19" s="3177">
        <v>100</v>
      </c>
      <c r="E19" s="3178"/>
      <c r="F19" s="3174">
        <f>SUMIF(92:92,E20,93:93)-SUMIF(92:92,C20,93:93)+100</f>
        <v>98</v>
      </c>
      <c r="G19" s="3179"/>
      <c r="H19" s="3180">
        <f>SUMIF(92:92,G20,93:93)-SUMIF(92:92,C20,93:93)+100</f>
        <v>98</v>
      </c>
      <c r="I19" s="3178"/>
      <c r="J19" s="3180">
        <f>SUMIF(92:92,I20,93:93)-SUMIF(92:92,C20,93:93)+100</f>
        <v>98</v>
      </c>
      <c r="K19" s="3137">
        <v>2</v>
      </c>
      <c r="L19" s="3150"/>
      <c r="M19" s="3069"/>
      <c r="N19" s="3069"/>
      <c r="O19" s="3139"/>
      <c r="P19" s="4057"/>
      <c r="Q19" s="3162" t="str">
        <f>B19</f>
        <v>商业繁华度</v>
      </c>
      <c r="R19" s="3163" t="s">
        <v>3106</v>
      </c>
      <c r="S19" s="3164">
        <f>F19</f>
        <v>98</v>
      </c>
      <c r="T19" s="3163" t="s">
        <v>3106</v>
      </c>
      <c r="U19" s="3164">
        <f>H19</f>
        <v>98</v>
      </c>
      <c r="V19" s="3163" t="s">
        <v>3106</v>
      </c>
      <c r="W19" s="3164">
        <f>J19</f>
        <v>98</v>
      </c>
      <c r="X19" s="3094"/>
      <c r="Y19" s="4057"/>
      <c r="Z19" s="3165" t="str">
        <f>Q19</f>
        <v>商业繁华度</v>
      </c>
      <c r="AA19" s="3166">
        <f t="shared" si="3"/>
        <v>1.0204081632653061</v>
      </c>
      <c r="AB19" s="3166">
        <f t="shared" si="4"/>
        <v>1.0204081632653061</v>
      </c>
      <c r="AC19" s="3166">
        <f t="shared" si="5"/>
        <v>1.0204081632653061</v>
      </c>
    </row>
    <row r="20" spans="1:29" ht="20.25">
      <c r="A20" s="3167"/>
      <c r="B20" s="3181"/>
      <c r="C20" s="3182" t="s">
        <v>3122</v>
      </c>
      <c r="D20" s="3177"/>
      <c r="E20" s="3183" t="s">
        <v>3123</v>
      </c>
      <c r="F20" s="3174"/>
      <c r="G20" s="3184" t="s">
        <v>3123</v>
      </c>
      <c r="H20" s="3172"/>
      <c r="I20" s="3183" t="s">
        <v>3123</v>
      </c>
      <c r="J20" s="3172"/>
      <c r="K20" s="3130"/>
      <c r="L20" s="3150"/>
      <c r="M20" s="3069"/>
      <c r="N20" s="3069"/>
      <c r="O20" s="3139"/>
      <c r="P20" s="4057"/>
      <c r="Q20" s="3162"/>
      <c r="R20" s="3163"/>
      <c r="S20" s="3164"/>
      <c r="T20" s="3163"/>
      <c r="U20" s="3164"/>
      <c r="V20" s="3163"/>
      <c r="W20" s="3164"/>
      <c r="X20" s="3094"/>
      <c r="Y20" s="4057"/>
      <c r="Z20" s="3165"/>
      <c r="AA20" s="3166">
        <v>1</v>
      </c>
      <c r="AB20" s="3166">
        <v>1</v>
      </c>
      <c r="AC20" s="3166">
        <v>1</v>
      </c>
    </row>
    <row r="21" spans="1:29" ht="71.25" hidden="1">
      <c r="A21" s="3167"/>
      <c r="B21" s="3175" t="s">
        <v>3125</v>
      </c>
      <c r="C21" s="3176" t="str">
        <f>[2]估价对象房地状况!C17</f>
        <v>估价对象位于XX商圈，周边办公楼项目较多，入驻率高，办公集聚程度较好</v>
      </c>
      <c r="D21" s="3185">
        <v>100</v>
      </c>
      <c r="E21" s="3186"/>
      <c r="F21" s="3180">
        <f>SUMIF(94:94,E22,95:95)-SUMIF(94:94,C22,95:95)+100</f>
        <v>100</v>
      </c>
      <c r="G21" s="3187"/>
      <c r="H21" s="3174">
        <f>SUMIF(94:94,G22,95:95)-SUMIF(94:94,C22,95:95)+100</f>
        <v>100</v>
      </c>
      <c r="I21" s="3186"/>
      <c r="J21" s="3174">
        <f>SUMIF(94:94,I22,95:95)-SUMIF(94:94,C22,95:95)+100</f>
        <v>100</v>
      </c>
      <c r="K21" s="3137"/>
      <c r="L21" s="3150"/>
      <c r="M21" s="3069"/>
      <c r="N21" s="3069"/>
      <c r="O21" s="3139"/>
      <c r="P21" s="4057"/>
      <c r="Q21" s="3162" t="str">
        <f>B21</f>
        <v>办公集聚程度</v>
      </c>
      <c r="R21" s="3163" t="s">
        <v>3106</v>
      </c>
      <c r="S21" s="3164">
        <f>F21</f>
        <v>100</v>
      </c>
      <c r="T21" s="3163" t="s">
        <v>3106</v>
      </c>
      <c r="U21" s="3164">
        <f>H21</f>
        <v>100</v>
      </c>
      <c r="V21" s="3163" t="s">
        <v>3106</v>
      </c>
      <c r="W21" s="3164">
        <f>J21</f>
        <v>100</v>
      </c>
      <c r="X21" s="3094"/>
      <c r="Y21" s="4057"/>
      <c r="Z21" s="3165" t="str">
        <f>Q21</f>
        <v>办公集聚程度</v>
      </c>
      <c r="AA21" s="3166">
        <f t="shared" si="3"/>
        <v>1</v>
      </c>
      <c r="AB21" s="3166">
        <f t="shared" si="4"/>
        <v>1</v>
      </c>
      <c r="AC21" s="3166">
        <f t="shared" si="5"/>
        <v>1</v>
      </c>
    </row>
    <row r="22" spans="1:29" ht="20.25" hidden="1">
      <c r="A22" s="3167"/>
      <c r="B22" s="3181"/>
      <c r="C22" s="3169"/>
      <c r="D22" s="3170"/>
      <c r="E22" s="3171"/>
      <c r="F22" s="3172"/>
      <c r="G22" s="3173"/>
      <c r="H22" s="3172"/>
      <c r="I22" s="3171"/>
      <c r="J22" s="3172"/>
      <c r="K22" s="3130"/>
      <c r="L22" s="3150"/>
      <c r="M22" s="3069"/>
      <c r="N22" s="3069"/>
      <c r="O22" s="3139"/>
      <c r="P22" s="4057"/>
      <c r="Q22" s="3162"/>
      <c r="R22" s="3163"/>
      <c r="S22" s="3164"/>
      <c r="T22" s="3163"/>
      <c r="U22" s="3164"/>
      <c r="V22" s="3163"/>
      <c r="W22" s="3164"/>
      <c r="X22" s="3094"/>
      <c r="Y22" s="4057"/>
      <c r="Z22" s="3165"/>
      <c r="AA22" s="3166">
        <v>1</v>
      </c>
      <c r="AB22" s="3166">
        <v>1</v>
      </c>
      <c r="AC22" s="3166">
        <v>1</v>
      </c>
    </row>
    <row r="23" spans="1:29" ht="85.5">
      <c r="A23" s="3167"/>
      <c r="B23" s="3175" t="s">
        <v>3126</v>
      </c>
      <c r="C23" s="3188" t="str">
        <f>[2]估价对象房地状况!C18</f>
        <v>估价对象周边道路状况、公共交通通达情况、停车便捷程度，综合评价交通便捷度较好</v>
      </c>
      <c r="D23" s="3177">
        <v>100</v>
      </c>
      <c r="E23" s="3178"/>
      <c r="F23" s="3180">
        <f>SUMIF(96:96,E24,97:97)-SUMIF(96:96,C24,97:97)+100</f>
        <v>100</v>
      </c>
      <c r="G23" s="3179"/>
      <c r="H23" s="3174">
        <f>SUMIF(96:96,G24,97:97)-SUMIF(96:96,C24,97:97)+100</f>
        <v>100</v>
      </c>
      <c r="I23" s="3178"/>
      <c r="J23" s="3174">
        <f>SUMIF(96:96,I24,97:97)-SUMIF(96:96,C24,97:97)+100</f>
        <v>100</v>
      </c>
      <c r="K23" s="3137"/>
      <c r="L23" s="3150"/>
      <c r="M23" s="3069"/>
      <c r="N23" s="3069"/>
      <c r="O23" s="3139"/>
      <c r="P23" s="4057"/>
      <c r="Q23" s="3162" t="str">
        <f>B23</f>
        <v>交通便捷度</v>
      </c>
      <c r="R23" s="3163" t="s">
        <v>3106</v>
      </c>
      <c r="S23" s="3164">
        <f>F23</f>
        <v>100</v>
      </c>
      <c r="T23" s="3163" t="s">
        <v>3106</v>
      </c>
      <c r="U23" s="3164">
        <f>H23</f>
        <v>100</v>
      </c>
      <c r="V23" s="3163" t="s">
        <v>3106</v>
      </c>
      <c r="W23" s="3164">
        <f>J23</f>
        <v>100</v>
      </c>
      <c r="X23" s="3094"/>
      <c r="Y23" s="4057"/>
      <c r="Z23" s="3165" t="str">
        <f>Q23</f>
        <v>交通便捷度</v>
      </c>
      <c r="AA23" s="3166">
        <f t="shared" si="3"/>
        <v>1</v>
      </c>
      <c r="AB23" s="3166">
        <f t="shared" si="4"/>
        <v>1</v>
      </c>
      <c r="AC23" s="3166">
        <f t="shared" si="5"/>
        <v>1</v>
      </c>
    </row>
    <row r="24" spans="1:29" ht="20.25">
      <c r="A24" s="3167"/>
      <c r="B24" s="3156"/>
      <c r="C24" s="3169"/>
      <c r="D24" s="3170"/>
      <c r="E24" s="3171"/>
      <c r="F24" s="3172"/>
      <c r="G24" s="3173"/>
      <c r="H24" s="3172"/>
      <c r="I24" s="3171"/>
      <c r="J24" s="3172"/>
      <c r="K24" s="3130"/>
      <c r="L24" s="3150"/>
      <c r="M24" s="3069"/>
      <c r="N24" s="3069"/>
      <c r="O24" s="3139"/>
      <c r="P24" s="4057"/>
      <c r="Q24" s="3162"/>
      <c r="R24" s="3163"/>
      <c r="S24" s="3164"/>
      <c r="T24" s="3163"/>
      <c r="U24" s="3164"/>
      <c r="V24" s="3163"/>
      <c r="W24" s="3164"/>
      <c r="X24" s="3094"/>
      <c r="Y24" s="4057"/>
      <c r="Z24" s="3165"/>
      <c r="AA24" s="3166">
        <v>1</v>
      </c>
      <c r="AB24" s="3166">
        <v>1</v>
      </c>
      <c r="AC24" s="3166">
        <v>1</v>
      </c>
    </row>
    <row r="25" spans="1:29" ht="27">
      <c r="A25" s="3096"/>
      <c r="B25" s="3189" t="s">
        <v>3127</v>
      </c>
      <c r="C25" s="3188">
        <f>[2]估价对象房地状况!C19</f>
        <v>0</v>
      </c>
      <c r="D25" s="3177">
        <v>100</v>
      </c>
      <c r="E25" s="3178"/>
      <c r="F25" s="3180">
        <f>SUMIF(98:98,E26,99:99)-SUMIF(98:98,C26,99:99)+100</f>
        <v>100</v>
      </c>
      <c r="G25" s="3179"/>
      <c r="H25" s="3174">
        <f>SUMIF(98:98,G26,99:99)-SUMIF(98:98,C26,99:99)+100</f>
        <v>100</v>
      </c>
      <c r="I25" s="3178"/>
      <c r="J25" s="3174">
        <f>SUMIF(98:98,I26,99:99)-SUMIF(98:98,C26,99:99)+100</f>
        <v>100</v>
      </c>
      <c r="K25" s="3137"/>
      <c r="L25" s="3150"/>
      <c r="M25" s="3069"/>
      <c r="N25" s="3069"/>
      <c r="O25" s="3139"/>
      <c r="P25" s="4057"/>
      <c r="Q25" s="3162" t="str">
        <f t="shared" ref="Q25:Q39" si="8">B25</f>
        <v>区域土地利用方向</v>
      </c>
      <c r="R25" s="3163" t="s">
        <v>3106</v>
      </c>
      <c r="S25" s="3164">
        <f>F25</f>
        <v>100</v>
      </c>
      <c r="T25" s="3163" t="s">
        <v>3106</v>
      </c>
      <c r="U25" s="3164">
        <f>H25</f>
        <v>100</v>
      </c>
      <c r="V25" s="3163" t="s">
        <v>3106</v>
      </c>
      <c r="W25" s="3164">
        <f>J25</f>
        <v>100</v>
      </c>
      <c r="X25" s="3094"/>
      <c r="Y25" s="4057"/>
      <c r="Z25" s="3165" t="str">
        <f>Q25</f>
        <v>区域土地利用方向</v>
      </c>
      <c r="AA25" s="3166">
        <f t="shared" si="3"/>
        <v>1</v>
      </c>
      <c r="AB25" s="3166">
        <f t="shared" si="4"/>
        <v>1</v>
      </c>
      <c r="AC25" s="3166">
        <f t="shared" si="5"/>
        <v>1</v>
      </c>
    </row>
    <row r="26" spans="1:29" ht="20.25">
      <c r="A26" s="3096"/>
      <c r="B26" s="3190"/>
      <c r="C26" s="3169"/>
      <c r="D26" s="3170"/>
      <c r="E26" s="3171"/>
      <c r="F26" s="3172"/>
      <c r="G26" s="3173"/>
      <c r="H26" s="3172"/>
      <c r="I26" s="3171"/>
      <c r="J26" s="3172"/>
      <c r="K26" s="3130"/>
      <c r="L26" s="3150"/>
      <c r="M26" s="3069"/>
      <c r="N26" s="3069"/>
      <c r="O26" s="3139"/>
      <c r="P26" s="4057"/>
      <c r="Q26" s="3162"/>
      <c r="R26" s="3163"/>
      <c r="S26" s="3164"/>
      <c r="T26" s="3163"/>
      <c r="U26" s="3164"/>
      <c r="V26" s="3163"/>
      <c r="W26" s="3164"/>
      <c r="X26" s="3094"/>
      <c r="Y26" s="4057"/>
      <c r="Z26" s="3165"/>
      <c r="AA26" s="3166"/>
      <c r="AB26" s="3166"/>
      <c r="AC26" s="3166"/>
    </row>
    <row r="27" spans="1:29" ht="57">
      <c r="A27" s="3096"/>
      <c r="B27" s="3156" t="s">
        <v>3128</v>
      </c>
      <c r="C27" s="3176" t="str">
        <f>[2]估价对象房地状况!C20</f>
        <v>区域自然环境：；人文环境；综合评价环境状况一般</v>
      </c>
      <c r="D27" s="3177">
        <v>100</v>
      </c>
      <c r="E27" s="3178"/>
      <c r="F27" s="3174">
        <f>SUMIF(100:100,E28,101:101)-SUMIF(100:100,C28,101:101)+100</f>
        <v>100</v>
      </c>
      <c r="G27" s="3179"/>
      <c r="H27" s="3174">
        <f>SUMIF(100:100,G28,101:101)-SUMIF(100:100,C28,101:101)+100</f>
        <v>102</v>
      </c>
      <c r="I27" s="3178"/>
      <c r="J27" s="3174">
        <f>SUMIF(100:100,I28,101:101)-SUMIF(100:100,C28,101:101)+100</f>
        <v>100</v>
      </c>
      <c r="K27" s="3137">
        <v>2</v>
      </c>
      <c r="L27" s="3150"/>
      <c r="M27" s="3069"/>
      <c r="N27" s="3069"/>
      <c r="O27" s="3139"/>
      <c r="P27" s="4057"/>
      <c r="Q27" s="3162" t="str">
        <f t="shared" si="8"/>
        <v>自然及人文环境状况</v>
      </c>
      <c r="R27" s="3163" t="s">
        <v>3106</v>
      </c>
      <c r="S27" s="3164">
        <f>F27</f>
        <v>100</v>
      </c>
      <c r="T27" s="3163" t="s">
        <v>3106</v>
      </c>
      <c r="U27" s="3164">
        <f>H27</f>
        <v>102</v>
      </c>
      <c r="V27" s="3163" t="s">
        <v>3106</v>
      </c>
      <c r="W27" s="3164">
        <f>J27</f>
        <v>100</v>
      </c>
      <c r="X27" s="3094"/>
      <c r="Y27" s="4057"/>
      <c r="Z27" s="3165" t="str">
        <f>Q27</f>
        <v>自然及人文环境状况</v>
      </c>
      <c r="AA27" s="3166">
        <f t="shared" si="3"/>
        <v>1</v>
      </c>
      <c r="AB27" s="3166">
        <f t="shared" si="4"/>
        <v>0.98039215686274506</v>
      </c>
      <c r="AC27" s="3166">
        <f t="shared" si="5"/>
        <v>1</v>
      </c>
    </row>
    <row r="28" spans="1:29" ht="20.25">
      <c r="A28" s="3096"/>
      <c r="B28" s="3181"/>
      <c r="C28" s="3169" t="s">
        <v>3123</v>
      </c>
      <c r="D28" s="3170"/>
      <c r="E28" s="3191" t="s">
        <v>3123</v>
      </c>
      <c r="F28" s="3172"/>
      <c r="G28" s="3169" t="s">
        <v>3122</v>
      </c>
      <c r="H28" s="3172"/>
      <c r="I28" s="3191" t="s">
        <v>3123</v>
      </c>
      <c r="J28" s="3172"/>
      <c r="K28" s="3130"/>
      <c r="L28" s="3150"/>
      <c r="M28" s="3069"/>
      <c r="N28" s="3069"/>
      <c r="O28" s="3139"/>
      <c r="P28" s="4057"/>
      <c r="Q28" s="3162"/>
      <c r="R28" s="3163"/>
      <c r="S28" s="3164"/>
      <c r="T28" s="3163"/>
      <c r="U28" s="3164"/>
      <c r="V28" s="3163"/>
      <c r="W28" s="3164"/>
      <c r="X28" s="3094"/>
      <c r="Y28" s="4057"/>
      <c r="Z28" s="3165"/>
      <c r="AA28" s="3166">
        <v>1</v>
      </c>
      <c r="AB28" s="3166">
        <v>1</v>
      </c>
      <c r="AC28" s="3166">
        <v>1</v>
      </c>
    </row>
    <row r="29" spans="1:29" s="3112" customFormat="1" ht="42.75">
      <c r="A29" s="3192"/>
      <c r="B29" s="3193" t="s">
        <v>3129</v>
      </c>
      <c r="C29" s="3188" t="str">
        <f>[2]估价对象房地状况!C21</f>
        <v>估价对象所在区域公共配套设施齐备情况</v>
      </c>
      <c r="D29" s="3177">
        <v>100</v>
      </c>
      <c r="E29" s="3178"/>
      <c r="F29" s="3174">
        <f>SUMIF(102:102,E30,103:103)-SUMIF(102:102,C30,103:103)+100</f>
        <v>100</v>
      </c>
      <c r="G29" s="3179"/>
      <c r="H29" s="3174">
        <f>SUMIF(102:102,G30,103:103)-SUMIF(102:102,C30,103:103)+100</f>
        <v>100</v>
      </c>
      <c r="I29" s="3178"/>
      <c r="J29" s="3174">
        <f>SUMIF(102:102,I30,103:103)-SUMIF(102:102,C30,103:103)+100</f>
        <v>100</v>
      </c>
      <c r="K29" s="3137">
        <v>2</v>
      </c>
      <c r="L29" s="3106"/>
      <c r="M29" s="3069"/>
      <c r="N29" s="3069"/>
      <c r="O29" s="3122"/>
      <c r="P29" s="4057"/>
      <c r="Q29" s="3123" t="str">
        <f t="shared" si="8"/>
        <v>公共配套设施</v>
      </c>
      <c r="R29" s="3108" t="s">
        <v>3106</v>
      </c>
      <c r="S29" s="3109">
        <f>F29</f>
        <v>100</v>
      </c>
      <c r="T29" s="3108" t="s">
        <v>3106</v>
      </c>
      <c r="U29" s="3109">
        <f>H29</f>
        <v>100</v>
      </c>
      <c r="V29" s="3108" t="s">
        <v>3106</v>
      </c>
      <c r="W29" s="3109">
        <f>J29</f>
        <v>100</v>
      </c>
      <c r="X29" s="3110"/>
      <c r="Y29" s="4057"/>
      <c r="Z29" s="3124" t="str">
        <f>Q29</f>
        <v>公共配套设施</v>
      </c>
      <c r="AA29" s="3166">
        <f>D29/F29</f>
        <v>1</v>
      </c>
      <c r="AB29" s="3166">
        <f>D29/H29</f>
        <v>1</v>
      </c>
      <c r="AC29" s="3166">
        <f>D29/J29</f>
        <v>1</v>
      </c>
    </row>
    <row r="30" spans="1:29" s="3112" customFormat="1" ht="20.25">
      <c r="A30" s="3192"/>
      <c r="B30" s="3181"/>
      <c r="C30" s="3194" t="s">
        <v>3122</v>
      </c>
      <c r="D30" s="3170"/>
      <c r="E30" s="3191" t="s">
        <v>3122</v>
      </c>
      <c r="F30" s="3172"/>
      <c r="G30" s="3169" t="s">
        <v>3122</v>
      </c>
      <c r="H30" s="3172"/>
      <c r="I30" s="3191" t="s">
        <v>3122</v>
      </c>
      <c r="J30" s="3172"/>
      <c r="K30" s="3130"/>
      <c r="L30" s="3106"/>
      <c r="M30" s="3069"/>
      <c r="N30" s="3069"/>
      <c r="O30" s="3122"/>
      <c r="P30" s="4057"/>
      <c r="Q30" s="3123"/>
      <c r="R30" s="3108"/>
      <c r="S30" s="3109"/>
      <c r="T30" s="3108"/>
      <c r="U30" s="3109"/>
      <c r="V30" s="3108"/>
      <c r="W30" s="3109"/>
      <c r="X30" s="3110"/>
      <c r="Y30" s="4057"/>
      <c r="Z30" s="3124"/>
      <c r="AA30" s="3166">
        <v>1</v>
      </c>
      <c r="AB30" s="3166">
        <v>1</v>
      </c>
      <c r="AC30" s="3166">
        <v>1</v>
      </c>
    </row>
    <row r="31" spans="1:29" s="3112" customFormat="1" ht="28.5">
      <c r="A31" s="3192"/>
      <c r="B31" s="3193" t="s">
        <v>3130</v>
      </c>
      <c r="C31" s="3188" t="str">
        <f>[2]估价对象房地状况!C22</f>
        <v>估价对象所在区域基础设施水平</v>
      </c>
      <c r="D31" s="3177">
        <v>100</v>
      </c>
      <c r="E31" s="3178"/>
      <c r="F31" s="3174">
        <f>SUMIF(104:104,E32,105:105)-SUMIF(104:104,C32,105:105)+100</f>
        <v>100</v>
      </c>
      <c r="G31" s="3179"/>
      <c r="H31" s="3174">
        <f>SUMIF(104:104,G32,105:105)-SUMIF(104:104,C32,105:105)+100</f>
        <v>100</v>
      </c>
      <c r="I31" s="3178"/>
      <c r="J31" s="3174">
        <f>SUMIF(104:104,I32,105:105)-SUMIF(104:104,C32,105:105)+100</f>
        <v>100</v>
      </c>
      <c r="K31" s="3137"/>
      <c r="L31" s="3106"/>
      <c r="M31" s="3069"/>
      <c r="N31" s="3069"/>
      <c r="O31" s="3122"/>
      <c r="P31" s="4057"/>
      <c r="Q31" s="3123" t="str">
        <f t="shared" ref="Q31" si="9">B31</f>
        <v>基础设施水平</v>
      </c>
      <c r="R31" s="3108" t="s">
        <v>3106</v>
      </c>
      <c r="S31" s="3109">
        <f>F31</f>
        <v>100</v>
      </c>
      <c r="T31" s="3108" t="s">
        <v>3106</v>
      </c>
      <c r="U31" s="3109">
        <f>H31</f>
        <v>100</v>
      </c>
      <c r="V31" s="3108" t="s">
        <v>3106</v>
      </c>
      <c r="W31" s="3109">
        <f>J31</f>
        <v>100</v>
      </c>
      <c r="X31" s="3110"/>
      <c r="Y31" s="4057"/>
      <c r="Z31" s="3124" t="str">
        <f>Q31</f>
        <v>基础设施水平</v>
      </c>
      <c r="AA31" s="3166">
        <f>D31/F31</f>
        <v>1</v>
      </c>
      <c r="AB31" s="3166">
        <f>D31/H31</f>
        <v>1</v>
      </c>
      <c r="AC31" s="3166">
        <f>D31/J31</f>
        <v>1</v>
      </c>
    </row>
    <row r="32" spans="1:29" s="3112" customFormat="1" ht="20.25">
      <c r="A32" s="3192"/>
      <c r="B32" s="3181"/>
      <c r="C32" s="3194"/>
      <c r="D32" s="3170"/>
      <c r="E32" s="3195"/>
      <c r="F32" s="3172"/>
      <c r="G32" s="3194"/>
      <c r="H32" s="3172"/>
      <c r="I32" s="3194"/>
      <c r="J32" s="3172"/>
      <c r="K32" s="3130"/>
      <c r="L32" s="3106"/>
      <c r="M32" s="3069"/>
      <c r="N32" s="3069"/>
      <c r="O32" s="3122"/>
      <c r="P32" s="4057"/>
      <c r="Q32" s="3123"/>
      <c r="R32" s="3108"/>
      <c r="S32" s="3109"/>
      <c r="T32" s="3108"/>
      <c r="U32" s="3109"/>
      <c r="V32" s="3108"/>
      <c r="W32" s="3109"/>
      <c r="X32" s="3110"/>
      <c r="Y32" s="4057"/>
      <c r="Z32" s="3124"/>
      <c r="AA32" s="3166">
        <v>1</v>
      </c>
      <c r="AB32" s="3166">
        <v>1</v>
      </c>
      <c r="AC32" s="3166">
        <v>1</v>
      </c>
    </row>
    <row r="33" spans="1:29" ht="20.25">
      <c r="A33" s="3167"/>
      <c r="B33" s="3181" t="s">
        <v>3131</v>
      </c>
      <c r="C33" s="3196"/>
      <c r="D33" s="3197">
        <v>100</v>
      </c>
      <c r="E33" s="3198"/>
      <c r="F33" s="3147">
        <f>SUMIF(106:106,E33,107:107)-SUMIF(106:106,C33,107:107)+100</f>
        <v>100</v>
      </c>
      <c r="G33" s="3196"/>
      <c r="H33" s="3147">
        <f>SUMIF(106:106,G33,107:107)-SUMIF(106:106,C33,107:107)+100</f>
        <v>100</v>
      </c>
      <c r="I33" s="3196"/>
      <c r="J33" s="3147">
        <f>SUMIF(106:106,I33,107:107)-SUMIF(106:106,C33,107:107)+100</f>
        <v>100</v>
      </c>
      <c r="K33" s="3137"/>
      <c r="L33" s="3150"/>
      <c r="M33" s="3069"/>
      <c r="N33" s="3069"/>
      <c r="O33" s="3139"/>
      <c r="P33" s="4057"/>
      <c r="Q33" s="3162" t="str">
        <f t="shared" si="8"/>
        <v>临街状况</v>
      </c>
      <c r="R33" s="3163" t="s">
        <v>3106</v>
      </c>
      <c r="S33" s="3164">
        <f t="shared" ref="S33:S47" si="10">F33</f>
        <v>100</v>
      </c>
      <c r="T33" s="3163" t="s">
        <v>3106</v>
      </c>
      <c r="U33" s="3164">
        <f t="shared" ref="U33:U47" si="11">H33</f>
        <v>100</v>
      </c>
      <c r="V33" s="3163" t="s">
        <v>3106</v>
      </c>
      <c r="W33" s="3164">
        <f t="shared" ref="W33:W47" si="12">J33</f>
        <v>100</v>
      </c>
      <c r="X33" s="3094"/>
      <c r="Y33" s="4057"/>
      <c r="Z33" s="3165" t="str">
        <f t="shared" ref="Z33:Z47" si="13">Q33</f>
        <v>临街状况</v>
      </c>
      <c r="AA33" s="3166">
        <f t="shared" si="3"/>
        <v>1</v>
      </c>
      <c r="AB33" s="3166">
        <f t="shared" si="4"/>
        <v>1</v>
      </c>
      <c r="AC33" s="3166">
        <f t="shared" si="5"/>
        <v>1</v>
      </c>
    </row>
    <row r="34" spans="1:29" ht="27">
      <c r="A34" s="3167"/>
      <c r="B34" s="3156" t="s">
        <v>3132</v>
      </c>
      <c r="C34" s="3199" t="s">
        <v>3133</v>
      </c>
      <c r="D34" s="3177">
        <v>100</v>
      </c>
      <c r="E34" s="3200" t="s">
        <v>3134</v>
      </c>
      <c r="F34" s="3174">
        <f>SUMIF(108:108,E35,109:109)-SUMIF(108:108,C35,109:109)+100</f>
        <v>98</v>
      </c>
      <c r="G34" s="3199" t="s">
        <v>3135</v>
      </c>
      <c r="H34" s="3174">
        <f>SUMIF(108:108,G35,109:109)-SUMIF(108:108,C35,109:109)+100</f>
        <v>98</v>
      </c>
      <c r="I34" s="3200" t="s">
        <v>3136</v>
      </c>
      <c r="J34" s="3174">
        <f>SUMIF(108:108,I35,109:109)-SUMIF(108:108,C35,109:109)+100</f>
        <v>98</v>
      </c>
      <c r="K34" s="3137">
        <v>2</v>
      </c>
      <c r="L34" s="3150"/>
      <c r="M34" s="3069"/>
      <c r="N34" s="3069"/>
      <c r="O34" s="3139"/>
      <c r="P34" s="4057"/>
      <c r="Q34" s="3162" t="str">
        <f t="shared" si="8"/>
        <v>毗邻道路的类型与等级</v>
      </c>
      <c r="R34" s="3163" t="s">
        <v>3106</v>
      </c>
      <c r="S34" s="3164">
        <f t="shared" si="10"/>
        <v>98</v>
      </c>
      <c r="T34" s="3163" t="s">
        <v>3106</v>
      </c>
      <c r="U34" s="3164">
        <f t="shared" si="11"/>
        <v>98</v>
      </c>
      <c r="V34" s="3163" t="s">
        <v>3106</v>
      </c>
      <c r="W34" s="3164">
        <f t="shared" si="12"/>
        <v>98</v>
      </c>
      <c r="X34" s="3094"/>
      <c r="Y34" s="4057"/>
      <c r="Z34" s="3165" t="str">
        <f t="shared" si="13"/>
        <v>毗邻道路的类型与等级</v>
      </c>
      <c r="AA34" s="3166">
        <f t="shared" si="3"/>
        <v>1.0204081632653061</v>
      </c>
      <c r="AB34" s="3166">
        <f t="shared" si="4"/>
        <v>1.0204081632653061</v>
      </c>
      <c r="AC34" s="3166">
        <f t="shared" si="5"/>
        <v>1.0204081632653061</v>
      </c>
    </row>
    <row r="35" spans="1:29" ht="20.25">
      <c r="A35" s="3167"/>
      <c r="B35" s="3181"/>
      <c r="C35" s="3169" t="s">
        <v>3137</v>
      </c>
      <c r="D35" s="3170"/>
      <c r="E35" s="3191" t="s">
        <v>3138</v>
      </c>
      <c r="F35" s="3172"/>
      <c r="G35" s="3169" t="s">
        <v>3138</v>
      </c>
      <c r="H35" s="3172"/>
      <c r="I35" s="3191" t="s">
        <v>3138</v>
      </c>
      <c r="J35" s="3172"/>
      <c r="K35" s="3201"/>
      <c r="L35" s="3150"/>
      <c r="M35" s="3069"/>
      <c r="N35" s="3069"/>
      <c r="O35" s="3139"/>
      <c r="P35" s="4057"/>
      <c r="Q35" s="3162"/>
      <c r="R35" s="3163"/>
      <c r="S35" s="3164"/>
      <c r="T35" s="3163"/>
      <c r="U35" s="3164"/>
      <c r="V35" s="3163"/>
      <c r="W35" s="3164"/>
      <c r="X35" s="3094"/>
      <c r="Y35" s="4057"/>
      <c r="Z35" s="3165"/>
      <c r="AA35" s="3166">
        <v>1</v>
      </c>
      <c r="AB35" s="3166">
        <v>1</v>
      </c>
      <c r="AC35" s="3166">
        <v>1</v>
      </c>
    </row>
    <row r="36" spans="1:29" ht="20.25">
      <c r="A36" s="3167"/>
      <c r="B36" s="3202" t="s">
        <v>3139</v>
      </c>
      <c r="C36" s="3196"/>
      <c r="D36" s="3197">
        <v>100</v>
      </c>
      <c r="E36" s="3198"/>
      <c r="F36" s="3147">
        <f>SUMIF(110:110,E36,111:111)-SUMIF(110:110,C36,111:111)+100</f>
        <v>100</v>
      </c>
      <c r="G36" s="3196"/>
      <c r="H36" s="3147">
        <f>SUMIF(110:110,G36,111:111)-SUMIF(110:110,C36,111:111)+100</f>
        <v>100</v>
      </c>
      <c r="I36" s="3198"/>
      <c r="J36" s="3147">
        <f>SUMIF(110:110,I36,111:111)-SUMIF(110:110,C36,111:111)+100</f>
        <v>100</v>
      </c>
      <c r="K36" s="3203"/>
      <c r="L36" s="3150"/>
      <c r="M36" s="3069"/>
      <c r="N36" s="3069"/>
      <c r="O36" s="3139"/>
      <c r="P36" s="4057"/>
      <c r="Q36" s="3162" t="str">
        <f t="shared" si="8"/>
        <v>土地级别</v>
      </c>
      <c r="R36" s="3163" t="s">
        <v>3106</v>
      </c>
      <c r="S36" s="3164">
        <f t="shared" si="10"/>
        <v>100</v>
      </c>
      <c r="T36" s="3163" t="s">
        <v>3106</v>
      </c>
      <c r="U36" s="3164">
        <f t="shared" si="11"/>
        <v>100</v>
      </c>
      <c r="V36" s="3163" t="s">
        <v>3106</v>
      </c>
      <c r="W36" s="3164">
        <f t="shared" si="12"/>
        <v>100</v>
      </c>
      <c r="X36" s="3094"/>
      <c r="Y36" s="4057"/>
      <c r="Z36" s="3165" t="str">
        <f t="shared" si="13"/>
        <v>土地级别</v>
      </c>
      <c r="AA36" s="3166">
        <f t="shared" si="3"/>
        <v>1</v>
      </c>
      <c r="AB36" s="3166">
        <f t="shared" si="4"/>
        <v>1</v>
      </c>
      <c r="AC36" s="3166">
        <f t="shared" si="5"/>
        <v>1</v>
      </c>
    </row>
    <row r="37" spans="1:29" ht="20.25">
      <c r="A37" s="3096"/>
      <c r="B37" s="3204">
        <v>111</v>
      </c>
      <c r="C37" s="3205"/>
      <c r="D37" s="3197">
        <v>100</v>
      </c>
      <c r="E37" s="3149"/>
      <c r="F37" s="3147">
        <f>SUMIF(112:112,E37,113:113)-SUMIF(112:112,C37,113:113)+100</f>
        <v>100</v>
      </c>
      <c r="G37" s="3205"/>
      <c r="H37" s="3147">
        <f>SUMIF(112:112,G37,113:113)-SUMIF(112:112,C37,113:113)+100</f>
        <v>100</v>
      </c>
      <c r="I37" s="3149"/>
      <c r="J37" s="3147">
        <f>SUMIF(112:112,I37,113:113)-SUMIF(112:112,C37,113:113)+100</f>
        <v>100</v>
      </c>
      <c r="K37" s="3201"/>
      <c r="L37" s="3150"/>
      <c r="M37" s="3069"/>
      <c r="N37" s="3069"/>
      <c r="O37" s="3139"/>
      <c r="P37" s="4057"/>
      <c r="Q37" s="3162">
        <f t="shared" si="8"/>
        <v>111</v>
      </c>
      <c r="R37" s="3163" t="s">
        <v>3106</v>
      </c>
      <c r="S37" s="3164">
        <f t="shared" si="10"/>
        <v>100</v>
      </c>
      <c r="T37" s="3163" t="s">
        <v>3106</v>
      </c>
      <c r="U37" s="3164">
        <f t="shared" si="11"/>
        <v>100</v>
      </c>
      <c r="V37" s="3163" t="s">
        <v>3106</v>
      </c>
      <c r="W37" s="3164">
        <f t="shared" si="12"/>
        <v>100</v>
      </c>
      <c r="X37" s="3094"/>
      <c r="Y37" s="4057"/>
      <c r="Z37" s="3165">
        <f t="shared" si="13"/>
        <v>111</v>
      </c>
      <c r="AA37" s="3166">
        <f t="shared" si="3"/>
        <v>1</v>
      </c>
      <c r="AB37" s="3166">
        <f t="shared" si="4"/>
        <v>1</v>
      </c>
      <c r="AC37" s="3166">
        <f t="shared" si="5"/>
        <v>1</v>
      </c>
    </row>
    <row r="38" spans="1:29" ht="20.25">
      <c r="A38" s="3206"/>
      <c r="B38" s="3207">
        <v>111</v>
      </c>
      <c r="C38" s="3205"/>
      <c r="D38" s="3197">
        <v>100</v>
      </c>
      <c r="E38" s="3149"/>
      <c r="F38" s="3147">
        <f>SUMIF(114:114,E39,115:115)-SUMIF(114:114,C39,115:115)+100</f>
        <v>100</v>
      </c>
      <c r="G38" s="3205"/>
      <c r="H38" s="3147">
        <f>SUMIF(114:114,G38,115:115)-SUMIF(114:114,C38,115:115)+100</f>
        <v>100</v>
      </c>
      <c r="I38" s="3149"/>
      <c r="J38" s="3147">
        <f>SUMIF(114:114,I38,115:115)-SUMIF(114:114,C38,115:115)+100</f>
        <v>100</v>
      </c>
      <c r="K38" s="3201"/>
      <c r="L38" s="3150"/>
      <c r="M38" s="3069"/>
      <c r="N38" s="3069"/>
      <c r="O38" s="3139"/>
      <c r="P38" s="4062" t="s">
        <v>3140</v>
      </c>
      <c r="Q38" s="3162">
        <f t="shared" si="8"/>
        <v>111</v>
      </c>
      <c r="R38" s="3163" t="s">
        <v>3106</v>
      </c>
      <c r="S38" s="3164">
        <f t="shared" si="10"/>
        <v>100</v>
      </c>
      <c r="T38" s="3163" t="s">
        <v>3106</v>
      </c>
      <c r="U38" s="3164">
        <f t="shared" si="11"/>
        <v>100</v>
      </c>
      <c r="V38" s="3163" t="s">
        <v>3106</v>
      </c>
      <c r="W38" s="3164">
        <f t="shared" si="12"/>
        <v>100</v>
      </c>
      <c r="X38" s="3094"/>
      <c r="Y38" s="4063" t="s">
        <v>3140</v>
      </c>
      <c r="Z38" s="3165">
        <f t="shared" si="13"/>
        <v>111</v>
      </c>
      <c r="AA38" s="3166">
        <f t="shared" si="3"/>
        <v>1</v>
      </c>
      <c r="AB38" s="3166">
        <f t="shared" si="4"/>
        <v>1</v>
      </c>
      <c r="AC38" s="3166">
        <f t="shared" si="5"/>
        <v>1</v>
      </c>
    </row>
    <row r="39" spans="1:29" s="3219" customFormat="1" ht="21" thickBot="1">
      <c r="A39" s="3208"/>
      <c r="B39" s="3209">
        <v>111</v>
      </c>
      <c r="C39" s="3210"/>
      <c r="D39" s="3211">
        <v>100</v>
      </c>
      <c r="E39" s="3212"/>
      <c r="F39" s="3154">
        <f>SUMIF(116:116,E39,117:117)-SUMIF(116:116,C39,117:117)+100</f>
        <v>100</v>
      </c>
      <c r="G39" s="3213"/>
      <c r="H39" s="3154">
        <f>SUMIF(116:116,G39,117:117)-SUMIF(116:116,C39,117:117)+100</f>
        <v>100</v>
      </c>
      <c r="I39" s="3212"/>
      <c r="J39" s="3154">
        <f>SUMIF(116:116,I39,117:117)-SUMIF(116:116,C39,117:117)+100</f>
        <v>100</v>
      </c>
      <c r="K39" s="3201"/>
      <c r="L39" s="3138"/>
      <c r="M39" s="3069"/>
      <c r="N39" s="3069"/>
      <c r="O39" s="3214"/>
      <c r="P39" s="4063"/>
      <c r="Q39" s="3162">
        <f t="shared" si="8"/>
        <v>111</v>
      </c>
      <c r="R39" s="3215" t="s">
        <v>3106</v>
      </c>
      <c r="S39" s="3216">
        <f t="shared" si="10"/>
        <v>100</v>
      </c>
      <c r="T39" s="3215" t="s">
        <v>3106</v>
      </c>
      <c r="U39" s="3216">
        <f t="shared" si="11"/>
        <v>100</v>
      </c>
      <c r="V39" s="3215" t="s">
        <v>3106</v>
      </c>
      <c r="W39" s="3216">
        <f t="shared" si="12"/>
        <v>100</v>
      </c>
      <c r="X39" s="3217"/>
      <c r="Y39" s="4063"/>
      <c r="Z39" s="3218">
        <f t="shared" si="13"/>
        <v>111</v>
      </c>
      <c r="AA39" s="3166">
        <f t="shared" si="3"/>
        <v>1</v>
      </c>
      <c r="AB39" s="3166">
        <f t="shared" si="4"/>
        <v>1</v>
      </c>
      <c r="AC39" s="3166">
        <f t="shared" si="5"/>
        <v>1</v>
      </c>
    </row>
    <row r="40" spans="1:29" ht="20.25">
      <c r="A40" s="3220" t="s">
        <v>3141</v>
      </c>
      <c r="B40" s="3221" t="s">
        <v>3142</v>
      </c>
      <c r="C40" s="3222">
        <f>'[2]数据-汇总表'!D19</f>
        <v>1442.46</v>
      </c>
      <c r="D40" s="3223">
        <v>100</v>
      </c>
      <c r="E40" s="3222">
        <f>'土地案例（延吉）'!D11</f>
        <v>4215</v>
      </c>
      <c r="F40" s="3223">
        <f>LOOKUP(E40,119:119,120:120)-LOOKUP(C40,119:119,120:120)+100</f>
        <v>102</v>
      </c>
      <c r="G40" s="3222">
        <f>'土地案例（延吉）'!D18</f>
        <v>4485.03</v>
      </c>
      <c r="H40" s="3223">
        <f>LOOKUP(G40,119:119,120:120)-LOOKUP(C40,119:119,120:120)+100</f>
        <v>102</v>
      </c>
      <c r="I40" s="3224">
        <f>'土地案例（延吉）'!D26</f>
        <v>3989.14</v>
      </c>
      <c r="J40" s="3223">
        <f>LOOKUP(I40,119:119,120:120)-LOOKUP(C40,119:119,120:120)+100</f>
        <v>102</v>
      </c>
      <c r="K40" s="3201"/>
      <c r="L40" s="3150"/>
      <c r="M40" s="3069"/>
      <c r="N40" s="3069"/>
      <c r="O40" s="3139"/>
      <c r="P40" s="4063"/>
      <c r="Q40" s="3162" t="str">
        <f>B40</f>
        <v>宗地面积</v>
      </c>
      <c r="R40" s="3163" t="s">
        <v>3106</v>
      </c>
      <c r="S40" s="3164">
        <f t="shared" si="10"/>
        <v>102</v>
      </c>
      <c r="T40" s="3163" t="s">
        <v>3106</v>
      </c>
      <c r="U40" s="3164">
        <f t="shared" si="11"/>
        <v>102</v>
      </c>
      <c r="V40" s="3163" t="s">
        <v>3106</v>
      </c>
      <c r="W40" s="3164">
        <f t="shared" si="12"/>
        <v>102</v>
      </c>
      <c r="X40" s="3094"/>
      <c r="Y40" s="4063"/>
      <c r="Z40" s="3165" t="str">
        <f t="shared" si="13"/>
        <v>宗地面积</v>
      </c>
      <c r="AA40" s="3166">
        <f t="shared" si="3"/>
        <v>0.98039215686274506</v>
      </c>
      <c r="AB40" s="3166">
        <f t="shared" si="4"/>
        <v>0.98039215686274506</v>
      </c>
      <c r="AC40" s="3166">
        <f t="shared" si="5"/>
        <v>0.98039215686274506</v>
      </c>
    </row>
    <row r="41" spans="1:29" ht="20.25">
      <c r="A41" s="3225"/>
      <c r="B41" s="3226" t="s">
        <v>3143</v>
      </c>
      <c r="C41" s="3227" t="s">
        <v>3144</v>
      </c>
      <c r="D41" s="3147">
        <v>100</v>
      </c>
      <c r="E41" s="3227" t="s">
        <v>3144</v>
      </c>
      <c r="F41" s="3147">
        <f>SUMIF(121:121,E41,122:122)-SUMIF(121:121,C41,122:122)+100</f>
        <v>100</v>
      </c>
      <c r="G41" s="3227" t="s">
        <v>3144</v>
      </c>
      <c r="H41" s="3147">
        <f>SUMIF(121:121,G41,122:122)-SUMIF(121:121,C41,122:122)+100</f>
        <v>100</v>
      </c>
      <c r="I41" s="3227" t="s">
        <v>3144</v>
      </c>
      <c r="J41" s="3147">
        <f>SUMIF(121:121,I41,122:122)-SUMIF(121:121,C41,122:122)+100</f>
        <v>100</v>
      </c>
      <c r="K41" s="3203"/>
      <c r="L41" s="3150"/>
      <c r="M41" s="3069"/>
      <c r="N41" s="3069"/>
      <c r="O41" s="3139"/>
      <c r="P41" s="4063"/>
      <c r="Q41" s="3162" t="str">
        <f t="shared" ref="Q41:Q47" si="14">B41</f>
        <v>宗地形状</v>
      </c>
      <c r="R41" s="3163" t="s">
        <v>3106</v>
      </c>
      <c r="S41" s="3164">
        <f t="shared" si="10"/>
        <v>100</v>
      </c>
      <c r="T41" s="3163" t="s">
        <v>3106</v>
      </c>
      <c r="U41" s="3164">
        <f t="shared" si="11"/>
        <v>100</v>
      </c>
      <c r="V41" s="3163" t="s">
        <v>3106</v>
      </c>
      <c r="W41" s="3164">
        <f t="shared" si="12"/>
        <v>100</v>
      </c>
      <c r="X41" s="3094"/>
      <c r="Y41" s="4063"/>
      <c r="Z41" s="3165" t="str">
        <f t="shared" si="13"/>
        <v>宗地形状</v>
      </c>
      <c r="AA41" s="3166">
        <f t="shared" si="3"/>
        <v>1</v>
      </c>
      <c r="AB41" s="3166">
        <f t="shared" si="4"/>
        <v>1</v>
      </c>
      <c r="AC41" s="3166">
        <f t="shared" si="5"/>
        <v>1</v>
      </c>
    </row>
    <row r="42" spans="1:29" ht="20.25">
      <c r="A42" s="3225"/>
      <c r="B42" s="3226" t="s">
        <v>3145</v>
      </c>
      <c r="C42" s="3227"/>
      <c r="D42" s="3147">
        <v>100</v>
      </c>
      <c r="E42" s="3227"/>
      <c r="F42" s="3147">
        <f>SUMIF(123:123,E42,124:124)-SUMIF(123:123,C42,124:124)+100</f>
        <v>100</v>
      </c>
      <c r="G42" s="3227"/>
      <c r="H42" s="3147">
        <f>SUMIF(123:123,G42,124:124)-SUMIF(123:123,C42,124:124)+100</f>
        <v>100</v>
      </c>
      <c r="I42" s="3227"/>
      <c r="J42" s="3147">
        <f>SUMIF(123:123,I42,124:124)-SUMIF(123:123,C42,124:124)+100</f>
        <v>100</v>
      </c>
      <c r="K42" s="3203"/>
      <c r="L42" s="3150"/>
      <c r="M42" s="3069"/>
      <c r="N42" s="3069"/>
      <c r="O42" s="3139"/>
      <c r="P42" s="4063"/>
      <c r="Q42" s="3162" t="str">
        <f t="shared" si="14"/>
        <v>临街宽度及深度</v>
      </c>
      <c r="R42" s="3163" t="s">
        <v>3106</v>
      </c>
      <c r="S42" s="3164">
        <f t="shared" si="10"/>
        <v>100</v>
      </c>
      <c r="T42" s="3163" t="s">
        <v>3106</v>
      </c>
      <c r="U42" s="3164">
        <f t="shared" si="11"/>
        <v>100</v>
      </c>
      <c r="V42" s="3163" t="s">
        <v>3106</v>
      </c>
      <c r="W42" s="3164">
        <f t="shared" si="12"/>
        <v>100</v>
      </c>
      <c r="X42" s="3094"/>
      <c r="Y42" s="4063"/>
      <c r="Z42" s="3165" t="str">
        <f t="shared" si="13"/>
        <v>临街宽度及深度</v>
      </c>
      <c r="AA42" s="3166">
        <f t="shared" si="3"/>
        <v>1</v>
      </c>
      <c r="AB42" s="3166">
        <f t="shared" si="4"/>
        <v>1</v>
      </c>
      <c r="AC42" s="3166">
        <f t="shared" si="5"/>
        <v>1</v>
      </c>
    </row>
    <row r="43" spans="1:29" s="3112" customFormat="1" ht="20.25">
      <c r="A43" s="3228"/>
      <c r="B43" s="3229" t="s">
        <v>3146</v>
      </c>
      <c r="C43" s="3230"/>
      <c r="D43" s="3127">
        <v>100</v>
      </c>
      <c r="E43" s="3230"/>
      <c r="F43" s="3147">
        <f>SUMIF(125:125,E43,126:126)-SUMIF(125:125,C43,126:126)+100</f>
        <v>100</v>
      </c>
      <c r="G43" s="3230"/>
      <c r="H43" s="3147">
        <f>SUMIF(125:125,G43,126:126)-SUMIF(125:125,C43,126:126)+100</f>
        <v>100</v>
      </c>
      <c r="I43" s="3230"/>
      <c r="J43" s="3147">
        <f>SUMIF(125:125,I43,126:126)-SUMIF(125:125,C43,126:126)+100</f>
        <v>100</v>
      </c>
      <c r="K43" s="3203"/>
      <c r="L43" s="3106"/>
      <c r="M43" s="3069"/>
      <c r="N43" s="3069"/>
      <c r="O43" s="3122"/>
      <c r="P43" s="4063"/>
      <c r="Q43" s="3162" t="str">
        <f t="shared" si="14"/>
        <v>宗地开发程度</v>
      </c>
      <c r="R43" s="3108" t="s">
        <v>3106</v>
      </c>
      <c r="S43" s="3109">
        <f t="shared" si="10"/>
        <v>100</v>
      </c>
      <c r="T43" s="3108" t="s">
        <v>3106</v>
      </c>
      <c r="U43" s="3109">
        <f t="shared" si="11"/>
        <v>100</v>
      </c>
      <c r="V43" s="3108" t="s">
        <v>3106</v>
      </c>
      <c r="W43" s="3109">
        <f t="shared" si="12"/>
        <v>100</v>
      </c>
      <c r="X43" s="3110"/>
      <c r="Y43" s="4063"/>
      <c r="Z43" s="3124" t="str">
        <f t="shared" si="13"/>
        <v>宗地开发程度</v>
      </c>
      <c r="AA43" s="3111">
        <f t="shared" si="3"/>
        <v>1</v>
      </c>
      <c r="AB43" s="3111">
        <f t="shared" si="4"/>
        <v>1</v>
      </c>
      <c r="AC43" s="3111">
        <f t="shared" si="5"/>
        <v>1</v>
      </c>
    </row>
    <row r="44" spans="1:29" ht="20.25">
      <c r="A44" s="3225"/>
      <c r="B44" s="3226" t="s">
        <v>3147</v>
      </c>
      <c r="C44" s="3227"/>
      <c r="D44" s="3147">
        <v>100</v>
      </c>
      <c r="E44" s="3227"/>
      <c r="F44" s="3147">
        <f>SUMIF(127:127,E44,128:128)-SUMIF(127:127,C44,128:128)+100</f>
        <v>100</v>
      </c>
      <c r="G44" s="3227"/>
      <c r="H44" s="3147">
        <f>SUMIF(127:127,G44,128:128)-SUMIF(127:127,C44,128:128)+100</f>
        <v>100</v>
      </c>
      <c r="I44" s="3227"/>
      <c r="J44" s="3147">
        <f>SUMIF(127:127,I44,128:128)-SUMIF(127:127,C44,128:128)+100</f>
        <v>100</v>
      </c>
      <c r="K44" s="3203"/>
      <c r="L44" s="3150"/>
      <c r="M44" s="3069"/>
      <c r="N44" s="3069"/>
      <c r="O44" s="3139"/>
      <c r="P44" s="4063" t="s">
        <v>3140</v>
      </c>
      <c r="Q44" s="3162" t="str">
        <f t="shared" si="14"/>
        <v>工程地质条件</v>
      </c>
      <c r="R44" s="3163" t="s">
        <v>3106</v>
      </c>
      <c r="S44" s="3164">
        <f t="shared" si="10"/>
        <v>100</v>
      </c>
      <c r="T44" s="3163" t="s">
        <v>3106</v>
      </c>
      <c r="U44" s="3164">
        <f t="shared" si="11"/>
        <v>100</v>
      </c>
      <c r="V44" s="3163" t="s">
        <v>3106</v>
      </c>
      <c r="W44" s="3164">
        <f t="shared" si="12"/>
        <v>100</v>
      </c>
      <c r="X44" s="3094"/>
      <c r="Y44" s="4063" t="s">
        <v>3140</v>
      </c>
      <c r="Z44" s="3165" t="str">
        <f t="shared" si="13"/>
        <v>工程地质条件</v>
      </c>
      <c r="AA44" s="3166">
        <f t="shared" si="3"/>
        <v>1</v>
      </c>
      <c r="AB44" s="3166">
        <f t="shared" si="4"/>
        <v>1</v>
      </c>
      <c r="AC44" s="3166">
        <f t="shared" si="5"/>
        <v>1</v>
      </c>
    </row>
    <row r="45" spans="1:29" ht="20.25">
      <c r="A45" s="3225"/>
      <c r="B45" s="3231">
        <v>111</v>
      </c>
      <c r="C45" s="3149"/>
      <c r="D45" s="3147">
        <v>100</v>
      </c>
      <c r="E45" s="3149"/>
      <c r="F45" s="3147">
        <f>SUMIF(129:129,E45,130:130)-SUMIF(129:129,C45,130:130)+100</f>
        <v>100</v>
      </c>
      <c r="G45" s="3149"/>
      <c r="H45" s="3147">
        <f>SUMIF(129:129,G45,130:130)-SUMIF(129:129,C45,130:130)+100</f>
        <v>100</v>
      </c>
      <c r="I45" s="3148"/>
      <c r="J45" s="3147">
        <f>SUMIF(129:129,I45,130:130)-SUMIF(129:129,C45,130:130)+100</f>
        <v>100</v>
      </c>
      <c r="K45" s="3201"/>
      <c r="L45" s="3150"/>
      <c r="M45" s="3069"/>
      <c r="N45" s="3069"/>
      <c r="O45" s="3139"/>
      <c r="P45" s="4063"/>
      <c r="Q45" s="3162">
        <f t="shared" si="14"/>
        <v>111</v>
      </c>
      <c r="R45" s="3163" t="s">
        <v>3106</v>
      </c>
      <c r="S45" s="3164">
        <f t="shared" si="10"/>
        <v>100</v>
      </c>
      <c r="T45" s="3163" t="s">
        <v>3106</v>
      </c>
      <c r="U45" s="3164">
        <f t="shared" si="11"/>
        <v>100</v>
      </c>
      <c r="V45" s="3163" t="s">
        <v>3106</v>
      </c>
      <c r="W45" s="3164">
        <f t="shared" si="12"/>
        <v>100</v>
      </c>
      <c r="X45" s="3094"/>
      <c r="Y45" s="4063"/>
      <c r="Z45" s="3165">
        <f t="shared" si="13"/>
        <v>111</v>
      </c>
      <c r="AA45" s="3166">
        <f t="shared" si="3"/>
        <v>1</v>
      </c>
      <c r="AB45" s="3166">
        <f t="shared" si="4"/>
        <v>1</v>
      </c>
      <c r="AC45" s="3166">
        <f t="shared" si="5"/>
        <v>1</v>
      </c>
    </row>
    <row r="46" spans="1:29" ht="20.25">
      <c r="A46" s="3225"/>
      <c r="B46" s="3231">
        <v>111</v>
      </c>
      <c r="C46" s="3149"/>
      <c r="D46" s="3147">
        <v>100</v>
      </c>
      <c r="E46" s="3149"/>
      <c r="F46" s="3147">
        <f>SUMIF(131:131,E46,132:132)-SUMIF(131:131,C46,132:132)+100</f>
        <v>100</v>
      </c>
      <c r="G46" s="3149"/>
      <c r="H46" s="3147">
        <f>SUMIF(131:131,G46,132:132)-SUMIF(131:131,C46,132:132)+100</f>
        <v>100</v>
      </c>
      <c r="I46" s="3148"/>
      <c r="J46" s="3147">
        <f>SUMIF(131:131,I46,132:132)-SUMIF(131:131,C46,132:132)+100</f>
        <v>100</v>
      </c>
      <c r="K46" s="3201"/>
      <c r="L46" s="3150"/>
      <c r="M46" s="3069"/>
      <c r="N46" s="3069"/>
      <c r="O46" s="3139"/>
      <c r="P46" s="4063"/>
      <c r="Q46" s="3162">
        <f t="shared" si="14"/>
        <v>111</v>
      </c>
      <c r="R46" s="3163" t="s">
        <v>3106</v>
      </c>
      <c r="S46" s="3164">
        <f t="shared" si="10"/>
        <v>100</v>
      </c>
      <c r="T46" s="3163" t="s">
        <v>3106</v>
      </c>
      <c r="U46" s="3164">
        <f t="shared" si="11"/>
        <v>100</v>
      </c>
      <c r="V46" s="3163" t="s">
        <v>3106</v>
      </c>
      <c r="W46" s="3164">
        <f t="shared" si="12"/>
        <v>100</v>
      </c>
      <c r="X46" s="3094"/>
      <c r="Y46" s="4063"/>
      <c r="Z46" s="3165">
        <f t="shared" si="13"/>
        <v>111</v>
      </c>
      <c r="AA46" s="3166">
        <f t="shared" si="3"/>
        <v>1</v>
      </c>
      <c r="AB46" s="3166">
        <f t="shared" si="4"/>
        <v>1</v>
      </c>
      <c r="AC46" s="3166">
        <f t="shared" si="5"/>
        <v>1</v>
      </c>
    </row>
    <row r="47" spans="1:29" s="3219" customFormat="1" ht="21" thickBot="1">
      <c r="A47" s="3232"/>
      <c r="B47" s="3231">
        <v>111</v>
      </c>
      <c r="C47" s="3233"/>
      <c r="D47" s="3234">
        <v>100</v>
      </c>
      <c r="E47" s="3149"/>
      <c r="F47" s="3154">
        <f>SUMIF(133:133,E47,134:134)-SUMIF(133:133,C47,134:134)+100</f>
        <v>100</v>
      </c>
      <c r="G47" s="3149"/>
      <c r="H47" s="3154">
        <f>SUMIF(133:133,G47,134:134)-SUMIF(133:133,C47,134:134)+100</f>
        <v>100</v>
      </c>
      <c r="I47" s="3149"/>
      <c r="J47" s="3154">
        <f>SUMIF(133:133,I47,134:134)-SUMIF(133:133,C47,134:134)+100</f>
        <v>100</v>
      </c>
      <c r="K47" s="3235"/>
      <c r="L47" s="3138"/>
      <c r="M47" s="3069"/>
      <c r="N47" s="3069"/>
      <c r="O47" s="3214"/>
      <c r="P47" s="4063"/>
      <c r="Q47" s="3162">
        <f t="shared" si="14"/>
        <v>111</v>
      </c>
      <c r="R47" s="3215" t="s">
        <v>3106</v>
      </c>
      <c r="S47" s="3216">
        <f t="shared" si="10"/>
        <v>100</v>
      </c>
      <c r="T47" s="3215" t="s">
        <v>3106</v>
      </c>
      <c r="U47" s="3216">
        <f t="shared" si="11"/>
        <v>100</v>
      </c>
      <c r="V47" s="3215" t="s">
        <v>3106</v>
      </c>
      <c r="W47" s="3216">
        <f t="shared" si="12"/>
        <v>100</v>
      </c>
      <c r="X47" s="3217"/>
      <c r="Y47" s="4063"/>
      <c r="Z47" s="3218">
        <f t="shared" si="13"/>
        <v>111</v>
      </c>
      <c r="AA47" s="3166">
        <f t="shared" si="3"/>
        <v>1</v>
      </c>
      <c r="AB47" s="3166">
        <f t="shared" si="4"/>
        <v>1</v>
      </c>
      <c r="AC47" s="3166">
        <f t="shared" si="5"/>
        <v>1</v>
      </c>
    </row>
    <row r="48" spans="1:29" ht="20.25">
      <c r="A48" s="3236" t="s">
        <v>3148</v>
      </c>
      <c r="B48" s="3237" t="s">
        <v>3149</v>
      </c>
      <c r="C48" s="3238" t="s">
        <v>3150</v>
      </c>
      <c r="D48" s="3239"/>
      <c r="E48" s="3240">
        <f>ROUND('土地案例（延吉）'!O11,0)</f>
        <v>1172</v>
      </c>
      <c r="F48" s="3241"/>
      <c r="G48" s="3242">
        <f>ROUND('土地案例（延吉）'!O18,0)</f>
        <v>1247</v>
      </c>
      <c r="H48" s="3243"/>
      <c r="I48" s="3240">
        <f>ROUND('土地案例（延吉）'!O26,0)</f>
        <v>1142</v>
      </c>
      <c r="J48" s="3243"/>
      <c r="K48" s="3244"/>
      <c r="L48" s="3245"/>
      <c r="M48" s="3069"/>
      <c r="N48" s="3069"/>
      <c r="O48" s="3246"/>
      <c r="P48" s="4054" t="str">
        <f>A48</f>
        <v>成交单价</v>
      </c>
      <c r="Q48" s="4054"/>
      <c r="R48" s="4050">
        <f>E48</f>
        <v>1172</v>
      </c>
      <c r="S48" s="4050"/>
      <c r="T48" s="4050">
        <f>G48</f>
        <v>1247</v>
      </c>
      <c r="U48" s="4050"/>
      <c r="V48" s="4050">
        <f>I48</f>
        <v>1142</v>
      </c>
      <c r="W48" s="4050"/>
      <c r="X48" s="3247"/>
      <c r="Y48" s="3248"/>
      <c r="Z48" s="3247"/>
      <c r="AA48" s="3247"/>
      <c r="AB48" s="3247"/>
      <c r="AC48" s="3247"/>
    </row>
    <row r="49" spans="1:29" ht="21" thickBot="1">
      <c r="A49" s="3249" t="s">
        <v>3151</v>
      </c>
      <c r="B49" s="3250"/>
      <c r="C49" s="3251">
        <f>R50</f>
        <v>1203</v>
      </c>
      <c r="D49" s="3252" t="s">
        <v>2881</v>
      </c>
      <c r="E49" s="3251">
        <f>R49</f>
        <v>1196</v>
      </c>
      <c r="F49" s="3253"/>
      <c r="G49" s="3254">
        <f>T49</f>
        <v>1248</v>
      </c>
      <c r="H49" s="3253"/>
      <c r="I49" s="3251">
        <f>V49</f>
        <v>1166</v>
      </c>
      <c r="J49" s="3253"/>
      <c r="K49" s="3255">
        <f>F49+H49+J49</f>
        <v>0</v>
      </c>
      <c r="L49" s="3245"/>
      <c r="M49" s="3069"/>
      <c r="N49" s="3069"/>
      <c r="O49" s="3246"/>
      <c r="P49" s="4054" t="str">
        <f>A49</f>
        <v>比较价格（元/平方米）</v>
      </c>
      <c r="Q49" s="4054"/>
      <c r="R49" s="4058">
        <f>ROUND(PRODUCT(R48,AA9:AA47),0)</f>
        <v>1196</v>
      </c>
      <c r="S49" s="4058"/>
      <c r="T49" s="4058">
        <f>ROUND(PRODUCT(T48,AB9:AB47),0)</f>
        <v>1248</v>
      </c>
      <c r="U49" s="4058"/>
      <c r="V49" s="4058">
        <f>ROUND(PRODUCT(V48,AC9:AC47),0)</f>
        <v>1166</v>
      </c>
      <c r="W49" s="4058"/>
      <c r="X49" s="3247"/>
      <c r="Y49" s="3247"/>
      <c r="Z49" s="3247"/>
      <c r="AA49" s="3247"/>
      <c r="AB49" s="3247"/>
      <c r="AC49" s="3247"/>
    </row>
    <row r="50" spans="1:29" ht="21" thickBot="1">
      <c r="A50" s="3256" t="s">
        <v>3152</v>
      </c>
      <c r="B50" s="3257"/>
      <c r="C50" s="3258">
        <f>R50</f>
        <v>1203</v>
      </c>
      <c r="D50" s="3258"/>
      <c r="E50" s="3258"/>
      <c r="F50" s="3258"/>
      <c r="G50" s="3258"/>
      <c r="H50" s="3258"/>
      <c r="I50" s="3258"/>
      <c r="J50" s="3258"/>
      <c r="K50" s="3259"/>
      <c r="L50" s="3245"/>
      <c r="M50" s="3069"/>
      <c r="N50" s="3069"/>
      <c r="O50" s="3246"/>
      <c r="P50" s="4059" t="str">
        <f>A50</f>
        <v>估价对象商业用房的比较价格（楼面单价，元/平方米）</v>
      </c>
      <c r="Q50" s="4060"/>
      <c r="R50" s="4061">
        <f>ROUND(IF(D49="简单平均",AVERAGE(R49:W49),R49*F49+T49*H49+V49*J49),0)</f>
        <v>1203</v>
      </c>
      <c r="S50" s="4061"/>
      <c r="T50" s="4061"/>
      <c r="U50" s="4061"/>
      <c r="V50" s="4061"/>
      <c r="W50" s="4061"/>
      <c r="X50" s="3247"/>
      <c r="Y50" s="3247"/>
      <c r="Z50" s="3247"/>
      <c r="AA50" s="3247"/>
      <c r="AB50" s="3247"/>
      <c r="AC50" s="3247"/>
    </row>
    <row r="51" spans="1:29" ht="20.25">
      <c r="A51" s="3260"/>
      <c r="B51" s="3260"/>
      <c r="C51" s="3260"/>
      <c r="D51" s="3260"/>
      <c r="E51" s="3260"/>
      <c r="F51" s="3260"/>
      <c r="G51" s="3261"/>
      <c r="H51" s="3260"/>
      <c r="I51" s="3260"/>
      <c r="J51" s="3260"/>
      <c r="K51" s="3262"/>
      <c r="L51" s="3263"/>
      <c r="M51" s="3069"/>
      <c r="N51" s="3069"/>
      <c r="O51" s="3246"/>
      <c r="P51" s="3246"/>
      <c r="Q51" s="3246"/>
      <c r="R51" s="3246"/>
      <c r="S51" s="3246"/>
      <c r="T51" s="3246"/>
      <c r="U51" s="3246"/>
      <c r="V51" s="3246"/>
      <c r="W51" s="3246"/>
      <c r="X51" s="3246"/>
      <c r="Y51" s="3246"/>
      <c r="Z51" s="3246"/>
      <c r="AA51" s="3246"/>
      <c r="AB51" s="3246"/>
      <c r="AC51" s="3246"/>
    </row>
    <row r="52" spans="1:29" ht="20.25">
      <c r="A52" s="3260"/>
      <c r="B52" s="3260"/>
      <c r="C52" s="3260"/>
      <c r="D52" s="3260"/>
      <c r="E52" s="3260"/>
      <c r="F52" s="3260"/>
      <c r="G52" s="3260"/>
      <c r="H52" s="3260"/>
      <c r="I52" s="3260"/>
      <c r="J52" s="3260"/>
      <c r="K52" s="3262"/>
      <c r="L52" s="3263"/>
      <c r="M52" s="3069"/>
      <c r="N52" s="3069"/>
      <c r="O52" s="3246"/>
      <c r="P52" s="3246"/>
      <c r="Q52" s="3246"/>
      <c r="R52" s="3246"/>
      <c r="S52" s="3246"/>
      <c r="T52" s="3246"/>
      <c r="U52" s="3246"/>
      <c r="V52" s="3246"/>
      <c r="W52" s="3246"/>
      <c r="X52" s="3246"/>
      <c r="Y52" s="3246"/>
      <c r="Z52" s="3246"/>
      <c r="AA52" s="3246"/>
      <c r="AB52" s="3246"/>
      <c r="AC52" s="3246"/>
    </row>
    <row r="53" spans="1:29" ht="13.5" customHeight="1">
      <c r="A53" s="3260"/>
      <c r="B53" s="3260"/>
      <c r="C53" s="3264" t="s">
        <v>3153</v>
      </c>
      <c r="D53" s="3265"/>
      <c r="E53" s="3266">
        <f>IF(E48&lt;E49,E49/E48-1,E48/E49-1)</f>
        <v>2.0477815699658786E-2</v>
      </c>
      <c r="F53" s="3267" t="str">
        <f>IF(OR(E53&gt;=0.3,E53&lt;=-0.3),"超过30%","")</f>
        <v/>
      </c>
      <c r="G53" s="3266">
        <f>IF(G48&lt;G49,G49/G48-1,G48/G49-1)</f>
        <v>8.0192461908579205E-4</v>
      </c>
      <c r="H53" s="3267" t="str">
        <f>IF(OR(G53&gt;=0.3,G53&lt;=-0.3),"超过30%","")</f>
        <v/>
      </c>
      <c r="I53" s="3266">
        <f>IF(I48&lt;I49,I49/I48-1,I48/I49-1)</f>
        <v>2.1015761821365997E-2</v>
      </c>
      <c r="J53" s="3267" t="str">
        <f>IF(OR(I53&gt;=0.3,I53&lt;=-0.3),"超过30%","")</f>
        <v/>
      </c>
      <c r="K53" s="3262"/>
      <c r="L53" s="3263"/>
      <c r="M53" s="3069"/>
      <c r="N53" s="3069"/>
      <c r="O53" s="3246"/>
      <c r="P53" s="3246"/>
      <c r="Q53" s="3246"/>
      <c r="R53" s="3246"/>
      <c r="S53" s="3246"/>
      <c r="T53" s="3246"/>
      <c r="U53" s="3246"/>
      <c r="V53" s="3246"/>
      <c r="W53" s="3246"/>
      <c r="X53" s="3246"/>
      <c r="Y53" s="3246"/>
      <c r="Z53" s="3246"/>
      <c r="AA53" s="3246"/>
      <c r="AB53" s="3246"/>
      <c r="AC53" s="3246"/>
    </row>
    <row r="54" spans="1:29" ht="13.5" customHeight="1">
      <c r="A54" s="3260"/>
      <c r="B54" s="3260"/>
      <c r="C54" s="3264" t="s">
        <v>3154</v>
      </c>
      <c r="D54" s="3268"/>
      <c r="E54" s="3266">
        <f>IF(E49&lt;G49,G49/E49-1,E49/G49-1)</f>
        <v>4.3478260869565188E-2</v>
      </c>
      <c r="F54" s="3267" t="str">
        <f>IF(OR(E54&gt;=0.2,E54&lt;=-0.2),"超过20%","")</f>
        <v/>
      </c>
      <c r="G54" s="3266">
        <f>IF(G49&lt;I49,I49/G49-1,G49/I49-1)</f>
        <v>7.0325900514579764E-2</v>
      </c>
      <c r="H54" s="3267" t="str">
        <f>IF(OR(G54&gt;=0.2,G54&lt;=-0.2),"超过20%","")</f>
        <v/>
      </c>
      <c r="I54" s="3266">
        <f>IF(I49&lt;E49,E49/I49-1,I49/E49-1)</f>
        <v>2.572898799313883E-2</v>
      </c>
      <c r="J54" s="3267" t="str">
        <f>IF(OR(I54&gt;=0.2,I54&lt;=-0.2),"超过20%","")</f>
        <v/>
      </c>
      <c r="K54" s="3262"/>
      <c r="L54" s="3263"/>
      <c r="M54" s="3069"/>
      <c r="N54" s="3069"/>
      <c r="O54" s="3246"/>
      <c r="P54" s="3246"/>
      <c r="Q54" s="3246"/>
      <c r="R54" s="3246"/>
      <c r="S54" s="3246"/>
      <c r="T54" s="3246"/>
      <c r="U54" s="3246"/>
      <c r="V54" s="3246"/>
      <c r="W54" s="3246"/>
      <c r="X54" s="3246"/>
      <c r="Y54" s="3246"/>
      <c r="Z54" s="3246"/>
      <c r="AA54" s="3246"/>
      <c r="AB54" s="3246"/>
      <c r="AC54" s="3246"/>
    </row>
    <row r="55" spans="1:29" s="3273" customFormat="1" ht="13.5" customHeight="1">
      <c r="A55" s="3269"/>
      <c r="B55" s="3269"/>
      <c r="C55" s="3264" t="s">
        <v>3155</v>
      </c>
      <c r="D55" s="3268"/>
      <c r="E55" s="3266">
        <f>IF(E48&lt;G48,G48/E48-1,E48/G48-1)</f>
        <v>6.3993174061433455E-2</v>
      </c>
      <c r="F55" s="3267" t="str">
        <f>IF(OR(E55&gt;=0.3,E55&lt;=-0.3),"超过30%","")</f>
        <v/>
      </c>
      <c r="G55" s="3266">
        <f>IF(G48&lt;I48,I48/G48-1,G48/I48-1)</f>
        <v>9.1943957968476431E-2</v>
      </c>
      <c r="H55" s="3267" t="str">
        <f>IF(OR(G55&gt;=0.3,G55&lt;=-0.3),"超过30%","")</f>
        <v/>
      </c>
      <c r="I55" s="3266">
        <f>IF(I48&lt;E48,E48/I48-1,I48/E48-1)</f>
        <v>2.6269702276707552E-2</v>
      </c>
      <c r="J55" s="3267" t="str">
        <f>IF(OR(I55&gt;=0.3,I55&lt;=-0.3),"超过30%","")</f>
        <v/>
      </c>
      <c r="K55" s="3270"/>
      <c r="L55" s="3271"/>
      <c r="M55" s="3069"/>
      <c r="N55" s="3069"/>
      <c r="O55" s="3272"/>
      <c r="P55" s="3272"/>
      <c r="Q55" s="3272"/>
      <c r="R55" s="3272"/>
      <c r="S55" s="3272"/>
      <c r="T55" s="3272"/>
      <c r="U55" s="3272"/>
      <c r="V55" s="3272"/>
      <c r="W55" s="3272"/>
      <c r="X55" s="3272"/>
      <c r="Y55" s="3272"/>
      <c r="Z55" s="3272"/>
      <c r="AA55" s="3272"/>
      <c r="AB55" s="3272"/>
      <c r="AC55" s="3272"/>
    </row>
    <row r="56" spans="1:29" s="3273" customFormat="1" ht="21" thickBot="1">
      <c r="A56" s="3272"/>
      <c r="B56" s="3274"/>
      <c r="C56" s="3275"/>
      <c r="D56" s="3272"/>
      <c r="E56" s="3272"/>
      <c r="F56" s="3272"/>
      <c r="G56" s="3272"/>
      <c r="H56" s="3272"/>
      <c r="I56" s="3272"/>
      <c r="J56" s="3272"/>
      <c r="K56" s="3270"/>
      <c r="L56" s="3271"/>
      <c r="M56" s="3069"/>
      <c r="N56" s="3069"/>
      <c r="O56" s="3272"/>
      <c r="P56" s="3272"/>
      <c r="Q56" s="3272"/>
      <c r="R56" s="3272"/>
      <c r="S56" s="3272"/>
      <c r="T56" s="3272"/>
      <c r="U56" s="3272"/>
      <c r="V56" s="3272"/>
      <c r="W56" s="3272"/>
      <c r="X56" s="3272"/>
      <c r="Y56" s="3272"/>
      <c r="Z56" s="3272"/>
      <c r="AA56" s="3272"/>
      <c r="AB56" s="3272"/>
      <c r="AC56" s="3272"/>
    </row>
    <row r="57" spans="1:29" ht="26.25" customHeight="1">
      <c r="A57" s="3276" t="s">
        <v>3156</v>
      </c>
      <c r="B57" s="3277" t="s">
        <v>3157</v>
      </c>
      <c r="C57" s="3278" t="s">
        <v>3158</v>
      </c>
      <c r="D57" s="3279" t="s">
        <v>3159</v>
      </c>
      <c r="E57" s="3280" t="s">
        <v>3160</v>
      </c>
      <c r="F57" s="3281" t="s">
        <v>3161</v>
      </c>
      <c r="G57" s="4064" t="s">
        <v>3162</v>
      </c>
      <c r="H57" s="4065"/>
      <c r="I57" s="3282" t="s">
        <v>3163</v>
      </c>
      <c r="J57" s="3282" t="str">
        <f>[2]项目基本情况!F41</f>
        <v>吉林省延吉市</v>
      </c>
      <c r="K57" s="3283" t="s">
        <v>3164</v>
      </c>
      <c r="L57" s="3263"/>
      <c r="M57" s="3246"/>
      <c r="N57" s="3246"/>
      <c r="O57" s="3246"/>
      <c r="P57" s="3246"/>
      <c r="Q57" s="3246"/>
      <c r="R57" s="3246"/>
      <c r="S57" s="3246"/>
      <c r="T57" s="3246"/>
      <c r="U57" s="3246"/>
      <c r="V57" s="3246"/>
      <c r="W57" s="3246"/>
      <c r="X57" s="3246"/>
      <c r="Y57" s="3246"/>
      <c r="Z57" s="3246"/>
      <c r="AA57" s="3246"/>
      <c r="AB57" s="3246"/>
      <c r="AC57" s="3246"/>
    </row>
    <row r="58" spans="1:29" s="3290" customFormat="1" ht="12.75">
      <c r="A58" s="3284" t="s">
        <v>3165</v>
      </c>
      <c r="B58" s="645">
        <f>C50</f>
        <v>1203</v>
      </c>
      <c r="C58" s="3285">
        <v>1</v>
      </c>
      <c r="D58" s="3286">
        <v>1</v>
      </c>
      <c r="E58" s="3285">
        <f>'[2]数据-汇总表'!E8+'[2]数据-汇总表'!E9</f>
        <v>198.07</v>
      </c>
      <c r="F58" s="647">
        <f t="shared" ref="F58:F67" si="15">ROUND(B58*E58/10000,0)</f>
        <v>24</v>
      </c>
      <c r="G58" s="4066"/>
      <c r="H58" s="4067"/>
      <c r="I58" s="3287">
        <v>1</v>
      </c>
      <c r="J58" s="3287">
        <v>1</v>
      </c>
      <c r="K58" s="3288"/>
      <c r="L58" s="3289"/>
      <c r="M58" s="3289"/>
      <c r="N58" s="3289"/>
      <c r="O58" s="3289"/>
      <c r="P58" s="3289"/>
      <c r="Q58" s="3289"/>
      <c r="R58" s="3289"/>
      <c r="S58" s="3289"/>
      <c r="T58" s="3289"/>
      <c r="U58" s="3289"/>
      <c r="V58" s="3289"/>
      <c r="W58" s="3289"/>
      <c r="X58" s="3289"/>
      <c r="Y58" s="3289"/>
      <c r="Z58" s="3289"/>
      <c r="AA58" s="3289"/>
      <c r="AB58" s="3289"/>
      <c r="AC58" s="3289"/>
    </row>
    <row r="59" spans="1:29" s="3290" customFormat="1" ht="12.75">
      <c r="A59" s="649" t="s">
        <v>3166</v>
      </c>
      <c r="B59" s="224" t="e">
        <f>ROUND($C$50*C59*D59,0)</f>
        <v>#VALUE!</v>
      </c>
      <c r="C59" s="3291" t="e">
        <f t="shared" ref="C59:C67" si="16">IF($C$57="北京市系数",I59,J59)</f>
        <v>#VALUE!</v>
      </c>
      <c r="D59" s="3292">
        <v>0.25</v>
      </c>
      <c r="E59" s="650">
        <v>0</v>
      </c>
      <c r="F59" s="647" t="e">
        <f t="shared" si="15"/>
        <v>#VALUE!</v>
      </c>
      <c r="G59" s="4068" t="s">
        <v>3167</v>
      </c>
      <c r="H59" s="3293">
        <f>[2]项目基本情况!B43</f>
        <v>0</v>
      </c>
      <c r="I59" s="3287" t="e">
        <f>SUMIF([2]修正!$A$45:$A$56,H59,[2]修正!B45:B56)</f>
        <v>#VALUE!</v>
      </c>
      <c r="J59" s="3294"/>
      <c r="K59" s="3288"/>
      <c r="L59" s="3289"/>
      <c r="M59" s="3289"/>
      <c r="N59" s="3289"/>
      <c r="O59" s="3289"/>
      <c r="P59" s="3289"/>
      <c r="Q59" s="3289"/>
      <c r="R59" s="3289"/>
      <c r="S59" s="3289"/>
      <c r="T59" s="3289"/>
      <c r="U59" s="3289"/>
      <c r="V59" s="3289"/>
      <c r="W59" s="3289"/>
      <c r="X59" s="3289"/>
      <c r="Y59" s="3289"/>
      <c r="Z59" s="3289"/>
      <c r="AA59" s="3289"/>
      <c r="AB59" s="3289"/>
      <c r="AC59" s="3289"/>
    </row>
    <row r="60" spans="1:29" s="3290" customFormat="1" ht="12.75">
      <c r="A60" s="649" t="s">
        <v>3168</v>
      </c>
      <c r="B60" s="224" t="e">
        <f t="shared" ref="B60:B67" si="17">ROUND($C$50*C60*D60,0)</f>
        <v>#VALUE!</v>
      </c>
      <c r="C60" s="3291" t="e">
        <f t="shared" si="16"/>
        <v>#VALUE!</v>
      </c>
      <c r="D60" s="3292">
        <v>0.25</v>
      </c>
      <c r="E60" s="650">
        <v>0</v>
      </c>
      <c r="F60" s="647" t="e">
        <f t="shared" si="15"/>
        <v>#VALUE!</v>
      </c>
      <c r="G60" s="4068"/>
      <c r="H60" s="3293">
        <f>[2]项目基本情况!B43</f>
        <v>0</v>
      </c>
      <c r="I60" s="3287" t="e">
        <f>SUMIF([2]修正!$A$45:$A$56,H60,[2]修正!C45:C56)</f>
        <v>#VALUE!</v>
      </c>
      <c r="J60" s="3294"/>
      <c r="K60" s="3288"/>
      <c r="L60" s="3289"/>
      <c r="M60" s="3289"/>
      <c r="N60" s="3289"/>
      <c r="O60" s="3289"/>
      <c r="P60" s="3289"/>
      <c r="Q60" s="3289"/>
      <c r="R60" s="3289"/>
      <c r="S60" s="3289"/>
      <c r="T60" s="3289"/>
      <c r="U60" s="3289"/>
      <c r="V60" s="3289"/>
      <c r="W60" s="3289"/>
      <c r="X60" s="3289"/>
      <c r="Y60" s="3289"/>
      <c r="Z60" s="3289"/>
      <c r="AA60" s="3289"/>
      <c r="AB60" s="3289"/>
      <c r="AC60" s="3289"/>
    </row>
    <row r="61" spans="1:29" s="3290" customFormat="1" ht="12.75">
      <c r="A61" s="649" t="s">
        <v>3169</v>
      </c>
      <c r="B61" s="224" t="e">
        <f t="shared" si="17"/>
        <v>#VALUE!</v>
      </c>
      <c r="C61" s="3291" t="e">
        <f t="shared" si="16"/>
        <v>#VALUE!</v>
      </c>
      <c r="D61" s="3292">
        <v>0.25</v>
      </c>
      <c r="E61" s="650">
        <v>0</v>
      </c>
      <c r="F61" s="647" t="e">
        <f t="shared" si="15"/>
        <v>#VALUE!</v>
      </c>
      <c r="G61" s="4068"/>
      <c r="H61" s="3293">
        <f>[2]项目基本情况!B43</f>
        <v>0</v>
      </c>
      <c r="I61" s="3287" t="e">
        <f>SUMIF([2]修正!$A$45:$A$56,H61,[2]修正!D45:D56)</f>
        <v>#VALUE!</v>
      </c>
      <c r="J61" s="3294"/>
      <c r="K61" s="3288"/>
      <c r="L61" s="3289"/>
      <c r="M61" s="3289"/>
      <c r="N61" s="3289"/>
      <c r="O61" s="3289"/>
      <c r="P61" s="3289"/>
      <c r="Q61" s="3289"/>
      <c r="R61" s="3289"/>
      <c r="S61" s="3289"/>
      <c r="T61" s="3289"/>
      <c r="U61" s="3289"/>
      <c r="V61" s="3289"/>
      <c r="W61" s="3289"/>
      <c r="X61" s="3289"/>
      <c r="Y61" s="3289"/>
      <c r="Z61" s="3289"/>
      <c r="AA61" s="3289"/>
      <c r="AB61" s="3289"/>
      <c r="AC61" s="3289"/>
    </row>
    <row r="62" spans="1:29" s="3290" customFormat="1" ht="12.75">
      <c r="A62" s="649" t="s">
        <v>3170</v>
      </c>
      <c r="B62" s="224" t="e">
        <f t="shared" si="17"/>
        <v>#VALUE!</v>
      </c>
      <c r="C62" s="3291" t="e">
        <f t="shared" si="16"/>
        <v>#VALUE!</v>
      </c>
      <c r="D62" s="3292">
        <v>0.25</v>
      </c>
      <c r="E62" s="650">
        <v>0</v>
      </c>
      <c r="F62" s="647" t="e">
        <f t="shared" si="15"/>
        <v>#VALUE!</v>
      </c>
      <c r="G62" s="4068"/>
      <c r="H62" s="3293">
        <f>[2]项目基本情况!B43</f>
        <v>0</v>
      </c>
      <c r="I62" s="3287" t="e">
        <f>SUMIF([2]修正!$A$45:$A$56,H62,[2]修正!E45:E56)</f>
        <v>#VALUE!</v>
      </c>
      <c r="J62" s="3294"/>
      <c r="K62" s="3288"/>
      <c r="L62" s="3289"/>
      <c r="M62" s="3289"/>
      <c r="N62" s="3289"/>
      <c r="O62" s="3289"/>
      <c r="P62" s="3289"/>
      <c r="Q62" s="3289"/>
      <c r="R62" s="3289"/>
      <c r="S62" s="3289"/>
      <c r="T62" s="3289"/>
      <c r="U62" s="3289"/>
      <c r="V62" s="3289"/>
      <c r="W62" s="3289"/>
      <c r="X62" s="3289"/>
      <c r="Y62" s="3289"/>
      <c r="Z62" s="3289"/>
      <c r="AA62" s="3289"/>
      <c r="AB62" s="3289"/>
      <c r="AC62" s="3289"/>
    </row>
    <row r="63" spans="1:29" s="3290" customFormat="1" ht="12.75">
      <c r="A63" s="3295" t="s">
        <v>3171</v>
      </c>
      <c r="B63" s="224" t="e">
        <f t="shared" si="17"/>
        <v>#VALUE!</v>
      </c>
      <c r="C63" s="3291" t="e">
        <f t="shared" si="16"/>
        <v>#VALUE!</v>
      </c>
      <c r="D63" s="3292">
        <v>0.25</v>
      </c>
      <c r="E63" s="223">
        <f>'[2]数据-汇总表'!E11</f>
        <v>0</v>
      </c>
      <c r="F63" s="647" t="e">
        <f t="shared" si="15"/>
        <v>#VALUE!</v>
      </c>
      <c r="G63" s="3296" t="s">
        <v>3172</v>
      </c>
      <c r="H63" s="3293">
        <f>[2]项目基本情况!C43</f>
        <v>0</v>
      </c>
      <c r="I63" s="3287" t="e">
        <f>SUMIF([2]修正!$A$45:$A$56,H63,[2]修正!F45:F56)</f>
        <v>#VALUE!</v>
      </c>
      <c r="J63" s="3294"/>
      <c r="K63" s="3288"/>
      <c r="L63" s="3289"/>
      <c r="M63" s="3289"/>
      <c r="N63" s="3289"/>
      <c r="O63" s="3289"/>
      <c r="P63" s="3289"/>
      <c r="Q63" s="3289"/>
      <c r="R63" s="3289"/>
      <c r="S63" s="3289"/>
      <c r="T63" s="3289"/>
      <c r="U63" s="3289"/>
      <c r="V63" s="3289"/>
      <c r="W63" s="3289"/>
      <c r="X63" s="3289"/>
      <c r="Y63" s="3289"/>
      <c r="Z63" s="3289"/>
      <c r="AA63" s="3289"/>
      <c r="AB63" s="3289"/>
      <c r="AC63" s="3289"/>
    </row>
    <row r="64" spans="1:29" s="3290" customFormat="1" ht="12.75">
      <c r="A64" s="649" t="s">
        <v>3173</v>
      </c>
      <c r="B64" s="224" t="e">
        <f t="shared" si="17"/>
        <v>#VALUE!</v>
      </c>
      <c r="C64" s="3291" t="e">
        <f t="shared" si="16"/>
        <v>#VALUE!</v>
      </c>
      <c r="D64" s="3292">
        <v>0.25</v>
      </c>
      <c r="E64" s="223">
        <f>'[2]数据-汇总表'!E12</f>
        <v>0</v>
      </c>
      <c r="F64" s="647" t="e">
        <f t="shared" si="15"/>
        <v>#VALUE!</v>
      </c>
      <c r="G64" s="3297" t="s">
        <v>27</v>
      </c>
      <c r="H64" s="3298">
        <f>IF(G64="商业",[2]项目基本情况!B43,IF(G64="办公",[2]项目基本情况!C43,IF(G64="住宅",[2]项目基本情况!D43,[2]项目基本情况!E43)))</f>
        <v>0</v>
      </c>
      <c r="I64" s="3287" t="e">
        <f>SUMIF([2]修正!$A$45:$A$56,H64,[2]修正!G45:G56)</f>
        <v>#VALUE!</v>
      </c>
      <c r="J64" s="3294"/>
      <c r="K64" s="3288"/>
      <c r="L64" s="3289"/>
      <c r="M64" s="3289"/>
      <c r="N64" s="3289"/>
      <c r="O64" s="3289"/>
      <c r="P64" s="3289"/>
      <c r="Q64" s="3289"/>
      <c r="R64" s="3289"/>
      <c r="S64" s="3289"/>
      <c r="T64" s="3289"/>
      <c r="U64" s="3289"/>
      <c r="V64" s="3289"/>
      <c r="W64" s="3289"/>
      <c r="X64" s="3289"/>
      <c r="Y64" s="3289"/>
      <c r="Z64" s="3289"/>
      <c r="AA64" s="3289"/>
      <c r="AB64" s="3289"/>
      <c r="AC64" s="3289"/>
    </row>
    <row r="65" spans="1:29" s="3290" customFormat="1" ht="12.75">
      <c r="A65" s="649" t="s">
        <v>3174</v>
      </c>
      <c r="B65" s="224" t="e">
        <f t="shared" si="17"/>
        <v>#VALUE!</v>
      </c>
      <c r="C65" s="3291" t="e">
        <f t="shared" si="16"/>
        <v>#VALUE!</v>
      </c>
      <c r="D65" s="3292">
        <v>0.25</v>
      </c>
      <c r="E65" s="223">
        <f>'[2]数据-汇总表'!E13</f>
        <v>0</v>
      </c>
      <c r="F65" s="647" t="e">
        <f t="shared" si="15"/>
        <v>#VALUE!</v>
      </c>
      <c r="G65" s="3297" t="s">
        <v>3175</v>
      </c>
      <c r="H65" s="3298">
        <f>IF(G65="商业",[2]项目基本情况!B43,IF(G65="办公",[2]项目基本情况!C43,IF(G65="住宅",[2]项目基本情况!D43,[2]项目基本情况!E43)))</f>
        <v>0</v>
      </c>
      <c r="I65" s="3287" t="e">
        <f>SUMIF([2]修正!$A$45:$A$56,H65,[2]修正!H45:H56)</f>
        <v>#VALUE!</v>
      </c>
      <c r="J65" s="3294"/>
      <c r="K65" s="3288"/>
      <c r="L65" s="3289"/>
      <c r="M65" s="3289"/>
      <c r="N65" s="3289"/>
      <c r="O65" s="3289"/>
      <c r="P65" s="3289"/>
      <c r="Q65" s="3289"/>
      <c r="R65" s="3289"/>
      <c r="S65" s="3289"/>
      <c r="T65" s="3289"/>
      <c r="U65" s="3289"/>
      <c r="V65" s="3289"/>
      <c r="W65" s="3289"/>
      <c r="X65" s="3289"/>
      <c r="Y65" s="3289"/>
      <c r="Z65" s="3289"/>
      <c r="AA65" s="3289"/>
      <c r="AB65" s="3289"/>
      <c r="AC65" s="3289"/>
    </row>
    <row r="66" spans="1:29" s="3290" customFormat="1" ht="12.75">
      <c r="A66" s="649" t="s">
        <v>3176</v>
      </c>
      <c r="B66" s="224" t="e">
        <f t="shared" si="17"/>
        <v>#VALUE!</v>
      </c>
      <c r="C66" s="3291" t="e">
        <f t="shared" si="16"/>
        <v>#VALUE!</v>
      </c>
      <c r="D66" s="3292">
        <v>0.25</v>
      </c>
      <c r="E66" s="223">
        <f>'[2]数据-汇总表'!E14</f>
        <v>0</v>
      </c>
      <c r="F66" s="647" t="e">
        <f t="shared" si="15"/>
        <v>#VALUE!</v>
      </c>
      <c r="G66" s="3296" t="s">
        <v>3167</v>
      </c>
      <c r="H66" s="3293">
        <f>[2]项目基本情况!B43</f>
        <v>0</v>
      </c>
      <c r="I66" s="3287" t="e">
        <f>SUMIF([2]修正!$A$45:$A$56,H66,[2]修正!H45:H56)</f>
        <v>#VALUE!</v>
      </c>
      <c r="J66" s="3294"/>
      <c r="K66" s="3288"/>
      <c r="L66" s="3289"/>
      <c r="M66" s="3289"/>
      <c r="N66" s="3289"/>
      <c r="O66" s="3289"/>
      <c r="P66" s="3289"/>
      <c r="Q66" s="3289"/>
      <c r="R66" s="3289"/>
      <c r="S66" s="3289"/>
      <c r="T66" s="3289"/>
      <c r="U66" s="3289"/>
      <c r="V66" s="3289"/>
      <c r="W66" s="3289"/>
      <c r="X66" s="3289"/>
      <c r="Y66" s="3289"/>
      <c r="Z66" s="3289"/>
      <c r="AA66" s="3289"/>
      <c r="AB66" s="3289"/>
      <c r="AC66" s="3289"/>
    </row>
    <row r="67" spans="1:29" s="3290" customFormat="1" ht="13.5" thickBot="1">
      <c r="A67" s="649" t="s">
        <v>3177</v>
      </c>
      <c r="B67" s="224" t="e">
        <f t="shared" si="17"/>
        <v>#VALUE!</v>
      </c>
      <c r="C67" s="3291" t="e">
        <f t="shared" si="16"/>
        <v>#VALUE!</v>
      </c>
      <c r="D67" s="3292">
        <v>0.25</v>
      </c>
      <c r="E67" s="223">
        <f>'[2]数据-汇总表'!E15</f>
        <v>0</v>
      </c>
      <c r="F67" s="647" t="e">
        <f t="shared" si="15"/>
        <v>#VALUE!</v>
      </c>
      <c r="G67" s="3299" t="s">
        <v>3172</v>
      </c>
      <c r="H67" s="3300">
        <f>[2]项目基本情况!C43</f>
        <v>0</v>
      </c>
      <c r="I67" s="3287" t="e">
        <f>SUMIF([2]修正!$A$45:$A$56,H67,[2]修正!H45:H56)</f>
        <v>#VALUE!</v>
      </c>
      <c r="J67" s="3294"/>
      <c r="K67" s="3288"/>
      <c r="L67" s="3289"/>
      <c r="M67" s="3289"/>
      <c r="N67" s="3289"/>
      <c r="O67" s="3289"/>
      <c r="P67" s="3289"/>
      <c r="Q67" s="3289"/>
      <c r="R67" s="3289"/>
      <c r="S67" s="3289"/>
      <c r="T67" s="3289"/>
      <c r="U67" s="3289"/>
      <c r="V67" s="3289"/>
      <c r="W67" s="3289"/>
      <c r="X67" s="3289"/>
      <c r="Y67" s="3289"/>
      <c r="Z67" s="3289"/>
      <c r="AA67" s="3289"/>
      <c r="AB67" s="3289"/>
      <c r="AC67" s="3289"/>
    </row>
    <row r="68" spans="1:29" s="3290" customFormat="1" ht="13.5" thickBot="1">
      <c r="A68" s="651" t="s">
        <v>3178</v>
      </c>
      <c r="B68" s="3301" t="s">
        <v>3179</v>
      </c>
      <c r="C68" s="3301" t="s">
        <v>3179</v>
      </c>
      <c r="D68" s="3301" t="s">
        <v>3179</v>
      </c>
      <c r="E68" s="3301">
        <f>IF(B48="楼面地价",SUM(E58:E67),'[2]数据-汇总表'!D3)</f>
        <v>1442.46</v>
      </c>
      <c r="F68" s="3302">
        <f>IF(B48="楼面地价",SUM(F58:F67),ROUND(C50*E68/10000,0))</f>
        <v>174</v>
      </c>
      <c r="G68" s="3303"/>
      <c r="H68" s="3303"/>
      <c r="I68" s="3303"/>
      <c r="J68" s="3303"/>
      <c r="K68" s="3303"/>
      <c r="L68" s="3289"/>
      <c r="M68" s="3289"/>
      <c r="N68" s="3289"/>
      <c r="O68" s="3289"/>
      <c r="P68" s="3289"/>
      <c r="Q68" s="3289"/>
      <c r="R68" s="3289"/>
      <c r="S68" s="3289"/>
      <c r="T68" s="3289"/>
      <c r="U68" s="3289"/>
      <c r="V68" s="3289"/>
      <c r="W68" s="3289"/>
      <c r="X68" s="3289"/>
      <c r="Y68" s="3289"/>
      <c r="Z68" s="3289"/>
      <c r="AA68" s="3289"/>
      <c r="AB68" s="3289"/>
      <c r="AC68" s="3289"/>
    </row>
    <row r="69" spans="1:29">
      <c r="A69" s="3246"/>
      <c r="B69" s="3274"/>
      <c r="C69" s="3275"/>
      <c r="D69" s="3246"/>
      <c r="E69" s="3246"/>
      <c r="F69" s="3246"/>
      <c r="G69" s="3246"/>
      <c r="H69" s="3246"/>
      <c r="I69" s="3246"/>
      <c r="J69" s="3246"/>
      <c r="K69" s="3304"/>
      <c r="L69" s="3263"/>
      <c r="M69" s="3246"/>
      <c r="N69" s="3246"/>
      <c r="O69" s="3246"/>
      <c r="P69" s="3246"/>
      <c r="Q69" s="3246"/>
      <c r="R69" s="3246"/>
      <c r="S69" s="3246"/>
      <c r="T69" s="3246"/>
      <c r="U69" s="3246"/>
      <c r="V69" s="3246"/>
      <c r="W69" s="3246"/>
      <c r="X69" s="3246"/>
      <c r="Y69" s="3246"/>
      <c r="Z69" s="3246"/>
      <c r="AA69" s="3246"/>
      <c r="AB69" s="3246"/>
      <c r="AC69" s="3246"/>
    </row>
    <row r="70" spans="1:29">
      <c r="A70" s="3246"/>
      <c r="B70" s="3274"/>
      <c r="C70" s="3305" t="str">
        <f>YEAR(C9)&amp;"-"&amp;MONTH(C9)&amp;"-1"</f>
        <v>2021-6-1</v>
      </c>
      <c r="D70" s="3305">
        <f>EDATE(C70,-3)</f>
        <v>44256</v>
      </c>
      <c r="E70" s="3305">
        <f t="shared" ref="E70:N70" si="18">EDATE(D70,-3)</f>
        <v>44166</v>
      </c>
      <c r="F70" s="3305">
        <f t="shared" si="18"/>
        <v>44075</v>
      </c>
      <c r="G70" s="3305">
        <f t="shared" si="18"/>
        <v>43983</v>
      </c>
      <c r="H70" s="3305">
        <f t="shared" si="18"/>
        <v>43891</v>
      </c>
      <c r="I70" s="3305">
        <f t="shared" si="18"/>
        <v>43800</v>
      </c>
      <c r="J70" s="3305">
        <f t="shared" si="18"/>
        <v>43709</v>
      </c>
      <c r="K70" s="3305">
        <f t="shared" si="18"/>
        <v>43617</v>
      </c>
      <c r="L70" s="3305">
        <f t="shared" si="18"/>
        <v>43525</v>
      </c>
      <c r="M70" s="3305">
        <f t="shared" si="18"/>
        <v>43435</v>
      </c>
      <c r="N70" s="3305">
        <f t="shared" si="18"/>
        <v>43344</v>
      </c>
      <c r="O70" s="3246"/>
      <c r="P70" s="3246"/>
      <c r="Q70" s="3246"/>
      <c r="R70" s="3246"/>
      <c r="S70" s="3246"/>
      <c r="T70" s="3246"/>
      <c r="U70" s="3246"/>
      <c r="V70" s="3246"/>
      <c r="W70" s="3246"/>
      <c r="X70" s="3246"/>
      <c r="Y70" s="3246"/>
      <c r="Z70" s="3246"/>
      <c r="AA70" s="3246"/>
      <c r="AB70" s="3246"/>
      <c r="AC70" s="3246"/>
    </row>
    <row r="71" spans="1:29" ht="21.75" thickBot="1">
      <c r="A71" s="3306" t="s">
        <v>3180</v>
      </c>
      <c r="B71" s="3247"/>
      <c r="C71" s="3307"/>
      <c r="D71" s="3307"/>
      <c r="E71" s="3307"/>
      <c r="F71" s="3308"/>
      <c r="G71" s="3308"/>
      <c r="H71" s="3307"/>
      <c r="I71" s="3307"/>
      <c r="J71" s="3307"/>
      <c r="K71" s="3309"/>
      <c r="L71" s="3310"/>
      <c r="M71" s="3307"/>
      <c r="N71" s="3307"/>
      <c r="O71" s="3311"/>
      <c r="P71" s="3311"/>
      <c r="Q71" s="3312"/>
      <c r="R71" s="3246"/>
      <c r="S71" s="3246"/>
      <c r="T71" s="3246"/>
      <c r="U71" s="3246"/>
      <c r="V71" s="3246"/>
      <c r="W71" s="3246"/>
      <c r="X71" s="3246"/>
      <c r="Y71" s="3246"/>
      <c r="Z71" s="3246"/>
      <c r="AA71" s="3246"/>
      <c r="AB71" s="3246"/>
      <c r="AC71" s="3246"/>
    </row>
    <row r="72" spans="1:29" s="3319" customFormat="1" ht="15">
      <c r="A72" s="3313" t="s">
        <v>3181</v>
      </c>
      <c r="B72" s="3314"/>
      <c r="C72" s="3315" t="str">
        <f>YEAR(C70)&amp;"-"&amp;ROUNDUP(MONTH(C70)/3,0)</f>
        <v>2021-2</v>
      </c>
      <c r="D72" s="3315" t="str">
        <f>YEAR(D70)&amp;"-"&amp;ROUNDUP(MONTH(D70)/3,0)</f>
        <v>2021-1</v>
      </c>
      <c r="E72" s="3315" t="str">
        <f t="shared" ref="E72:N72" si="19">YEAR(E70)&amp;"-"&amp;ROUNDUP(MONTH(E70)/3,0)</f>
        <v>2020-4</v>
      </c>
      <c r="F72" s="3315" t="str">
        <f t="shared" si="19"/>
        <v>2020-3</v>
      </c>
      <c r="G72" s="3315" t="str">
        <f t="shared" si="19"/>
        <v>2020-2</v>
      </c>
      <c r="H72" s="3315" t="str">
        <f t="shared" si="19"/>
        <v>2020-1</v>
      </c>
      <c r="I72" s="3315" t="str">
        <f t="shared" si="19"/>
        <v>2019-4</v>
      </c>
      <c r="J72" s="3315" t="str">
        <f t="shared" si="19"/>
        <v>2019-3</v>
      </c>
      <c r="K72" s="3315" t="str">
        <f t="shared" si="19"/>
        <v>2019-2</v>
      </c>
      <c r="L72" s="3315" t="str">
        <f t="shared" si="19"/>
        <v>2019-1</v>
      </c>
      <c r="M72" s="3315" t="str">
        <f t="shared" si="19"/>
        <v>2018-4</v>
      </c>
      <c r="N72" s="3315" t="str">
        <f t="shared" si="19"/>
        <v>2018-3</v>
      </c>
      <c r="O72" s="3316"/>
      <c r="P72" s="3317"/>
      <c r="Q72" s="3318"/>
      <c r="R72" s="3318"/>
      <c r="S72" s="3318"/>
      <c r="T72" s="3318"/>
      <c r="U72" s="3318"/>
      <c r="V72" s="3318"/>
      <c r="W72" s="3318"/>
      <c r="X72" s="3318"/>
      <c r="Y72" s="3318"/>
      <c r="Z72" s="3318"/>
      <c r="AA72" s="3318"/>
      <c r="AB72" s="3318"/>
      <c r="AC72" s="3318"/>
    </row>
    <row r="73" spans="1:29" s="3112" customFormat="1" ht="27" customHeight="1">
      <c r="A73" s="3320" t="s">
        <v>3182</v>
      </c>
      <c r="B73" s="3321" t="e">
        <f>"北京市平均增长率"&amp;TEXT(SUMIF([2]基准地价!N21:N25,A73,[2]基准地价!P21:P25),"0.00%")</f>
        <v>#VALUE!</v>
      </c>
      <c r="C73" s="3322">
        <v>100</v>
      </c>
      <c r="D73" s="3323">
        <v>100</v>
      </c>
      <c r="E73" s="3323">
        <v>100</v>
      </c>
      <c r="F73" s="3323">
        <v>100</v>
      </c>
      <c r="G73" s="3323">
        <v>100</v>
      </c>
      <c r="H73" s="3323">
        <v>100</v>
      </c>
      <c r="I73" s="3323"/>
      <c r="J73" s="3323"/>
      <c r="K73" s="3323"/>
      <c r="L73" s="3323"/>
      <c r="M73" s="3324"/>
      <c r="N73" s="3325"/>
      <c r="O73" s="3326"/>
      <c r="P73" s="3312"/>
      <c r="Q73" s="3327"/>
      <c r="R73" s="3327"/>
      <c r="S73" s="3327"/>
      <c r="T73" s="3327"/>
      <c r="U73" s="3327"/>
      <c r="V73" s="3327"/>
      <c r="W73" s="3327"/>
      <c r="X73" s="3327"/>
      <c r="Y73" s="3327"/>
      <c r="Z73" s="3327"/>
      <c r="AA73" s="3327"/>
      <c r="AB73" s="3327"/>
      <c r="AC73" s="3327"/>
    </row>
    <row r="74" spans="1:29" s="3112" customFormat="1" ht="15" customHeight="1" thickBot="1">
      <c r="A74" s="3328" t="s">
        <v>3183</v>
      </c>
      <c r="B74" s="3329"/>
      <c r="C74" s="3330"/>
      <c r="D74" s="3331"/>
      <c r="E74" s="3331"/>
      <c r="F74" s="3331"/>
      <c r="G74" s="3331"/>
      <c r="H74" s="3331"/>
      <c r="I74" s="3331"/>
      <c r="J74" s="3331"/>
      <c r="K74" s="3331"/>
      <c r="L74" s="3331"/>
      <c r="M74" s="3331"/>
      <c r="N74" s="3331"/>
      <c r="O74" s="3326"/>
      <c r="P74" s="3312"/>
      <c r="Q74" s="3312"/>
      <c r="R74" s="3327"/>
      <c r="S74" s="3327"/>
      <c r="T74" s="3327"/>
      <c r="U74" s="3327"/>
      <c r="V74" s="3327"/>
      <c r="W74" s="3327"/>
      <c r="X74" s="3327"/>
      <c r="Y74" s="3327"/>
      <c r="Z74" s="3327"/>
      <c r="AA74" s="3327"/>
      <c r="AB74" s="3327"/>
      <c r="AC74" s="3327"/>
    </row>
    <row r="75" spans="1:29" s="3112" customFormat="1" ht="15">
      <c r="A75" s="3332" t="s">
        <v>3184</v>
      </c>
      <c r="B75" s="3333"/>
      <c r="C75" s="3334" t="s">
        <v>3185</v>
      </c>
      <c r="D75" s="3335"/>
      <c r="E75" s="3335"/>
      <c r="F75" s="3335"/>
      <c r="G75" s="3335"/>
      <c r="H75" s="3335"/>
      <c r="I75" s="3335"/>
      <c r="J75" s="3335"/>
      <c r="K75" s="3335"/>
      <c r="L75" s="3336"/>
      <c r="M75" s="3337"/>
      <c r="N75" s="3326"/>
      <c r="O75" s="3326"/>
      <c r="P75" s="3338"/>
      <c r="Q75" s="3312"/>
      <c r="R75" s="3327"/>
      <c r="S75" s="3327"/>
      <c r="T75" s="3327"/>
      <c r="U75" s="3327"/>
      <c r="V75" s="3327"/>
      <c r="W75" s="3327"/>
      <c r="X75" s="3327"/>
      <c r="Y75" s="3327"/>
      <c r="Z75" s="3327"/>
      <c r="AA75" s="3327"/>
      <c r="AB75" s="3327"/>
      <c r="AC75" s="3327"/>
    </row>
    <row r="76" spans="1:29" s="3112" customFormat="1" ht="15.75" thickBot="1">
      <c r="A76" s="3332"/>
      <c r="B76" s="3333"/>
      <c r="C76" s="3339">
        <v>100</v>
      </c>
      <c r="D76" s="3340"/>
      <c r="E76" s="3340"/>
      <c r="F76" s="3340"/>
      <c r="G76" s="3340"/>
      <c r="H76" s="3340"/>
      <c r="I76" s="3340"/>
      <c r="J76" s="3340"/>
      <c r="K76" s="3340"/>
      <c r="L76" s="3340"/>
      <c r="M76" s="3341"/>
      <c r="N76" s="3326"/>
      <c r="O76" s="3326"/>
      <c r="P76" s="3312"/>
      <c r="Q76" s="3312"/>
      <c r="R76" s="3327"/>
      <c r="S76" s="3327"/>
      <c r="T76" s="3327"/>
      <c r="U76" s="3327"/>
      <c r="V76" s="3327"/>
      <c r="W76" s="3327"/>
      <c r="X76" s="3327"/>
      <c r="Y76" s="3327"/>
      <c r="Z76" s="3327"/>
      <c r="AA76" s="3327"/>
      <c r="AB76" s="3327"/>
      <c r="AC76" s="3327"/>
    </row>
    <row r="77" spans="1:29">
      <c r="A77" s="3342" t="s">
        <v>3186</v>
      </c>
      <c r="B77" s="3343" t="s">
        <v>3187</v>
      </c>
      <c r="C77" s="3224" t="str">
        <f>'[2]土地案例（白山市）'!H13</f>
        <v>其他商服用地</v>
      </c>
      <c r="D77" s="3224" t="str">
        <f>'[2]土地案例（白山市）'!H28</f>
        <v>零售商业用地</v>
      </c>
      <c r="E77" s="3224"/>
      <c r="F77" s="3224"/>
      <c r="G77" s="3224"/>
      <c r="H77" s="3224"/>
      <c r="I77" s="3224"/>
      <c r="J77" s="3224"/>
      <c r="K77" s="3344"/>
      <c r="L77" s="3345"/>
      <c r="M77" s="3346"/>
      <c r="N77" s="3347"/>
      <c r="O77" s="3347"/>
      <c r="P77" s="3348"/>
      <c r="Q77" s="3312"/>
      <c r="R77" s="3246"/>
      <c r="S77" s="3246"/>
      <c r="T77" s="3246"/>
      <c r="U77" s="3246"/>
      <c r="V77" s="3246"/>
      <c r="W77" s="3246"/>
      <c r="X77" s="3246"/>
      <c r="Y77" s="3246"/>
      <c r="Z77" s="3246"/>
      <c r="AA77" s="3246"/>
      <c r="AB77" s="3246"/>
      <c r="AC77" s="3246"/>
    </row>
    <row r="78" spans="1:29" ht="15.75" thickBot="1">
      <c r="A78" s="3349"/>
      <c r="B78" s="3350"/>
      <c r="C78" s="3351">
        <v>100</v>
      </c>
      <c r="D78" s="3351">
        <v>100</v>
      </c>
      <c r="E78" s="3351"/>
      <c r="F78" s="3351"/>
      <c r="G78" s="3351"/>
      <c r="H78" s="3351"/>
      <c r="I78" s="3351"/>
      <c r="J78" s="3351"/>
      <c r="K78" s="3351"/>
      <c r="L78" s="3351"/>
      <c r="M78" s="3352"/>
      <c r="N78" s="3353"/>
      <c r="O78" s="3353"/>
      <c r="P78" s="3348"/>
      <c r="Q78" s="3312"/>
      <c r="R78" s="3246"/>
      <c r="S78" s="3246"/>
      <c r="T78" s="3246"/>
      <c r="U78" s="3246"/>
      <c r="V78" s="3246"/>
      <c r="W78" s="3246"/>
      <c r="X78" s="3246"/>
      <c r="Y78" s="3246"/>
      <c r="Z78" s="3246"/>
      <c r="AA78" s="3246"/>
      <c r="AB78" s="3246"/>
      <c r="AC78" s="3246"/>
    </row>
    <row r="79" spans="1:29" ht="27.75" thickTop="1">
      <c r="A79" s="3349"/>
      <c r="B79" s="3354" t="s">
        <v>3188</v>
      </c>
      <c r="C79" s="3355"/>
      <c r="D79" s="3355"/>
      <c r="E79" s="3355"/>
      <c r="F79" s="3355"/>
      <c r="G79" s="3355"/>
      <c r="H79" s="3355"/>
      <c r="I79" s="3355"/>
      <c r="J79" s="3355"/>
      <c r="K79" s="3356"/>
      <c r="L79" s="3357"/>
      <c r="M79" s="3358"/>
      <c r="N79" s="3347"/>
      <c r="O79" s="3347"/>
      <c r="P79" s="3348"/>
      <c r="Q79" s="3312"/>
      <c r="R79" s="3246"/>
      <c r="S79" s="3246"/>
      <c r="T79" s="3246"/>
      <c r="U79" s="3246"/>
      <c r="V79" s="3246"/>
      <c r="W79" s="3246"/>
      <c r="X79" s="3246"/>
      <c r="Y79" s="3246"/>
      <c r="Z79" s="3246"/>
      <c r="AA79" s="3246"/>
      <c r="AB79" s="3246"/>
      <c r="AC79" s="3246"/>
    </row>
    <row r="80" spans="1:29" ht="15.75" thickBot="1">
      <c r="A80" s="3349"/>
      <c r="B80" s="3359"/>
      <c r="C80" s="3360"/>
      <c r="D80" s="3360"/>
      <c r="E80" s="3360"/>
      <c r="F80" s="3360"/>
      <c r="G80" s="3360"/>
      <c r="H80" s="3360"/>
      <c r="I80" s="3360"/>
      <c r="J80" s="3360"/>
      <c r="K80" s="3360"/>
      <c r="L80" s="3360"/>
      <c r="M80" s="3361"/>
      <c r="N80" s="3353"/>
      <c r="O80" s="3353"/>
      <c r="P80" s="3348"/>
      <c r="Q80" s="3312"/>
      <c r="R80" s="3246"/>
      <c r="S80" s="3246"/>
      <c r="T80" s="3246"/>
      <c r="U80" s="3246"/>
      <c r="V80" s="3246"/>
      <c r="W80" s="3246"/>
      <c r="X80" s="3246"/>
      <c r="Y80" s="3246"/>
      <c r="Z80" s="3246"/>
      <c r="AA80" s="3246"/>
      <c r="AB80" s="3246"/>
      <c r="AC80" s="3246"/>
    </row>
    <row r="81" spans="1:29" ht="15.75" thickTop="1">
      <c r="A81" s="3349"/>
      <c r="B81" s="3362" t="s">
        <v>3189</v>
      </c>
      <c r="C81" s="3363" t="str">
        <f>C82&amp;"（含）"&amp;"-"&amp;D82</f>
        <v>0（含）-1</v>
      </c>
      <c r="D81" s="3363" t="str">
        <f t="shared" ref="D81:L81" si="20">D82&amp;"（含）"&amp;"-"&amp;E82</f>
        <v>1（含）-</v>
      </c>
      <c r="E81" s="3363" t="str">
        <f t="shared" si="20"/>
        <v>（含）-</v>
      </c>
      <c r="F81" s="3363" t="str">
        <f t="shared" si="20"/>
        <v>（含）-</v>
      </c>
      <c r="G81" s="3363" t="str">
        <f t="shared" si="20"/>
        <v>（含）-</v>
      </c>
      <c r="H81" s="3363" t="str">
        <f t="shared" si="20"/>
        <v>（含）-</v>
      </c>
      <c r="I81" s="3363" t="str">
        <f t="shared" si="20"/>
        <v>（含）-</v>
      </c>
      <c r="J81" s="3363" t="str">
        <f t="shared" si="20"/>
        <v>（含）-</v>
      </c>
      <c r="K81" s="3363" t="str">
        <f t="shared" si="20"/>
        <v>（含）-</v>
      </c>
      <c r="L81" s="3363" t="str">
        <f t="shared" si="20"/>
        <v>（含）-</v>
      </c>
      <c r="M81" s="3172" t="str">
        <f>M82&amp;"（含）"&amp;"-"&amp;P82</f>
        <v>（含）-</v>
      </c>
      <c r="N81" s="3353"/>
      <c r="O81" s="3353"/>
      <c r="P81" s="3348"/>
      <c r="Q81" s="3312"/>
      <c r="R81" s="3246"/>
      <c r="S81" s="3246"/>
      <c r="T81" s="3246"/>
      <c r="U81" s="3246"/>
      <c r="V81" s="3246"/>
      <c r="W81" s="3246"/>
      <c r="X81" s="3246"/>
      <c r="Y81" s="3246"/>
      <c r="Z81" s="3246"/>
      <c r="AA81" s="3246"/>
      <c r="AB81" s="3246"/>
      <c r="AC81" s="3246"/>
    </row>
    <row r="82" spans="1:29" ht="15">
      <c r="A82" s="3349"/>
      <c r="B82" s="3364"/>
      <c r="C82" s="3148">
        <v>0</v>
      </c>
      <c r="D82" s="3148">
        <v>1</v>
      </c>
      <c r="E82" s="3148"/>
      <c r="F82" s="3148"/>
      <c r="G82" s="3148"/>
      <c r="H82" s="3148"/>
      <c r="I82" s="3148"/>
      <c r="J82" s="3148"/>
      <c r="K82" s="3365"/>
      <c r="L82" s="3366"/>
      <c r="M82" s="3367"/>
      <c r="N82" s="3347"/>
      <c r="O82" s="3347"/>
      <c r="P82" s="3348"/>
      <c r="Q82" s="3312"/>
      <c r="R82" s="3246"/>
      <c r="S82" s="3246"/>
      <c r="T82" s="3246"/>
      <c r="U82" s="3246"/>
      <c r="V82" s="3246"/>
      <c r="W82" s="3246"/>
      <c r="X82" s="3246"/>
      <c r="Y82" s="3246"/>
      <c r="Z82" s="3246"/>
      <c r="AA82" s="3246"/>
      <c r="AB82" s="3246"/>
      <c r="AC82" s="3246"/>
    </row>
    <row r="83" spans="1:29" ht="15.75" thickBot="1">
      <c r="A83" s="3349"/>
      <c r="B83" s="3350"/>
      <c r="C83" s="3360">
        <v>100</v>
      </c>
      <c r="D83" s="3360">
        <f>IF($B$48="单位面积地价",C83+$K13,C83-$K13)</f>
        <v>100</v>
      </c>
      <c r="E83" s="3360">
        <f t="shared" ref="E83:M83" si="21">IF($B$48="单位面积地价",D83+$K13,D83-$K13)</f>
        <v>100</v>
      </c>
      <c r="F83" s="3360">
        <f t="shared" si="21"/>
        <v>100</v>
      </c>
      <c r="G83" s="3360">
        <f t="shared" si="21"/>
        <v>100</v>
      </c>
      <c r="H83" s="3360">
        <f t="shared" si="21"/>
        <v>100</v>
      </c>
      <c r="I83" s="3360">
        <f t="shared" si="21"/>
        <v>100</v>
      </c>
      <c r="J83" s="3360">
        <f t="shared" si="21"/>
        <v>100</v>
      </c>
      <c r="K83" s="3360">
        <f t="shared" si="21"/>
        <v>100</v>
      </c>
      <c r="L83" s="3360">
        <f t="shared" si="21"/>
        <v>100</v>
      </c>
      <c r="M83" s="3360">
        <f t="shared" si="21"/>
        <v>100</v>
      </c>
      <c r="N83" s="3353"/>
      <c r="O83" s="3353"/>
      <c r="P83" s="3348"/>
      <c r="Q83" s="3312"/>
      <c r="R83" s="3246"/>
      <c r="S83" s="3246"/>
      <c r="T83" s="3246"/>
      <c r="U83" s="3246"/>
      <c r="V83" s="3246"/>
      <c r="W83" s="3246"/>
      <c r="X83" s="3246"/>
      <c r="Y83" s="3246"/>
      <c r="Z83" s="3246"/>
      <c r="AA83" s="3246"/>
      <c r="AB83" s="3246"/>
      <c r="AC83" s="3246"/>
    </row>
    <row r="84" spans="1:29" s="3219" customFormat="1" ht="15.75" thickTop="1">
      <c r="A84" s="3368"/>
      <c r="B84" s="3354" t="str">
        <f>B14</f>
        <v>配建</v>
      </c>
      <c r="C84" s="3369"/>
      <c r="D84" s="3370"/>
      <c r="E84" s="3371"/>
      <c r="F84" s="3369"/>
      <c r="G84" s="3369"/>
      <c r="H84" s="3372"/>
      <c r="I84" s="3372"/>
      <c r="J84" s="3372"/>
      <c r="K84" s="3372"/>
      <c r="L84" s="3373"/>
      <c r="M84" s="3374"/>
      <c r="N84" s="3375"/>
      <c r="O84" s="3375"/>
      <c r="P84" s="3376"/>
      <c r="Q84" s="3377"/>
      <c r="R84" s="3378"/>
      <c r="S84" s="3378"/>
      <c r="T84" s="3378"/>
      <c r="U84" s="3378"/>
      <c r="V84" s="3378"/>
      <c r="W84" s="3378"/>
      <c r="X84" s="3378"/>
      <c r="Y84" s="3378"/>
      <c r="Z84" s="3378"/>
      <c r="AA84" s="3378"/>
      <c r="AB84" s="3378"/>
      <c r="AC84" s="3378"/>
    </row>
    <row r="85" spans="1:29" s="3219" customFormat="1" ht="15.75" thickBot="1">
      <c r="A85" s="3368"/>
      <c r="B85" s="3359"/>
      <c r="C85" s="3379"/>
      <c r="D85" s="3351"/>
      <c r="E85" s="3351"/>
      <c r="F85" s="3351"/>
      <c r="G85" s="3351"/>
      <c r="H85" s="3351"/>
      <c r="I85" s="3351"/>
      <c r="J85" s="3351"/>
      <c r="K85" s="3351"/>
      <c r="L85" s="3351"/>
      <c r="M85" s="3352"/>
      <c r="N85" s="3353"/>
      <c r="O85" s="3353"/>
      <c r="P85" s="3376"/>
      <c r="Q85" s="3377"/>
      <c r="R85" s="3378"/>
      <c r="S85" s="3378"/>
      <c r="T85" s="3378"/>
      <c r="U85" s="3378"/>
      <c r="V85" s="3378"/>
      <c r="W85" s="3378"/>
      <c r="X85" s="3378"/>
      <c r="Y85" s="3378"/>
      <c r="Z85" s="3378"/>
      <c r="AA85" s="3378"/>
      <c r="AB85" s="3378"/>
      <c r="AC85" s="3378"/>
    </row>
    <row r="86" spans="1:29" s="3219" customFormat="1" ht="15.75" thickTop="1">
      <c r="A86" s="3368"/>
      <c r="B86" s="3354">
        <f>B15</f>
        <v>111</v>
      </c>
      <c r="C86" s="3369"/>
      <c r="D86" s="3369"/>
      <c r="E86" s="3369"/>
      <c r="F86" s="3369"/>
      <c r="G86" s="3369"/>
      <c r="H86" s="3372"/>
      <c r="I86" s="3372"/>
      <c r="J86" s="3372"/>
      <c r="K86" s="3372"/>
      <c r="L86" s="3373"/>
      <c r="M86" s="3374"/>
      <c r="N86" s="3375"/>
      <c r="O86" s="3375"/>
      <c r="P86" s="3380"/>
      <c r="Q86" s="3381"/>
      <c r="R86" s="3378"/>
      <c r="S86" s="3378"/>
      <c r="T86" s="3378"/>
      <c r="U86" s="3378"/>
      <c r="V86" s="3378"/>
      <c r="W86" s="3378"/>
      <c r="X86" s="3378"/>
      <c r="Y86" s="3378"/>
      <c r="Z86" s="3378"/>
      <c r="AA86" s="3378"/>
      <c r="AB86" s="3378"/>
      <c r="AC86" s="3378"/>
    </row>
    <row r="87" spans="1:29" s="3219" customFormat="1" ht="15.75" thickBot="1">
      <c r="A87" s="3368"/>
      <c r="B87" s="3359"/>
      <c r="C87" s="3379"/>
      <c r="D87" s="3379"/>
      <c r="E87" s="3379"/>
      <c r="F87" s="3379"/>
      <c r="G87" s="3379"/>
      <c r="H87" s="3382"/>
      <c r="I87" s="3382"/>
      <c r="J87" s="3382"/>
      <c r="K87" s="3382"/>
      <c r="L87" s="3382"/>
      <c r="M87" s="3383"/>
      <c r="N87" s="3375"/>
      <c r="O87" s="3375"/>
      <c r="P87" s="3376"/>
      <c r="Q87" s="3377"/>
      <c r="R87" s="3378"/>
      <c r="S87" s="3378"/>
      <c r="T87" s="3378"/>
      <c r="U87" s="3378"/>
      <c r="V87" s="3378"/>
      <c r="W87" s="3378"/>
      <c r="X87" s="3378"/>
      <c r="Y87" s="3378"/>
      <c r="Z87" s="3378"/>
      <c r="AA87" s="3378"/>
      <c r="AB87" s="3378"/>
      <c r="AC87" s="3378"/>
    </row>
    <row r="88" spans="1:29" s="3219" customFormat="1" ht="15.75" thickTop="1">
      <c r="A88" s="3368"/>
      <c r="B88" s="3362">
        <f>B16</f>
        <v>111</v>
      </c>
      <c r="C88" s="3335"/>
      <c r="D88" s="3335"/>
      <c r="E88" s="3335"/>
      <c r="F88" s="3335"/>
      <c r="G88" s="3335"/>
      <c r="H88" s="3384"/>
      <c r="I88" s="3384"/>
      <c r="J88" s="3384"/>
      <c r="K88" s="3384"/>
      <c r="L88" s="3385"/>
      <c r="M88" s="3386"/>
      <c r="N88" s="3375"/>
      <c r="O88" s="3375"/>
      <c r="P88" s="3387"/>
      <c r="Q88" s="3377"/>
      <c r="R88" s="3378"/>
      <c r="S88" s="3378"/>
      <c r="T88" s="3378"/>
      <c r="U88" s="3378"/>
      <c r="V88" s="3378"/>
      <c r="W88" s="3378"/>
      <c r="X88" s="3378"/>
      <c r="Y88" s="3378"/>
      <c r="Z88" s="3378"/>
      <c r="AA88" s="3378"/>
      <c r="AB88" s="3378"/>
      <c r="AC88" s="3378"/>
    </row>
    <row r="89" spans="1:29" s="3219" customFormat="1" ht="15.75" thickBot="1">
      <c r="A89" s="3388"/>
      <c r="B89" s="3389"/>
      <c r="C89" s="3390"/>
      <c r="D89" s="3390"/>
      <c r="E89" s="3390"/>
      <c r="F89" s="3390"/>
      <c r="G89" s="3390"/>
      <c r="H89" s="3391"/>
      <c r="I89" s="3391"/>
      <c r="J89" s="3391"/>
      <c r="K89" s="3391"/>
      <c r="L89" s="3391"/>
      <c r="M89" s="3392"/>
      <c r="N89" s="3375"/>
      <c r="O89" s="3375"/>
      <c r="P89" s="3376"/>
      <c r="Q89" s="3377"/>
      <c r="R89" s="3378"/>
      <c r="S89" s="3378"/>
      <c r="T89" s="3378"/>
      <c r="U89" s="3378"/>
      <c r="V89" s="3378"/>
      <c r="W89" s="3378"/>
      <c r="X89" s="3378"/>
      <c r="Y89" s="3378"/>
      <c r="Z89" s="3378"/>
      <c r="AA89" s="3378"/>
      <c r="AB89" s="3378"/>
      <c r="AC89" s="3378"/>
    </row>
    <row r="90" spans="1:29">
      <c r="A90" s="3342" t="s">
        <v>3190</v>
      </c>
      <c r="B90" s="3343" t="s">
        <v>3191</v>
      </c>
      <c r="C90" s="3393" t="s">
        <v>3192</v>
      </c>
      <c r="D90" s="3393" t="s">
        <v>3193</v>
      </c>
      <c r="E90" s="3393" t="s">
        <v>3194</v>
      </c>
      <c r="F90" s="3393" t="s">
        <v>3195</v>
      </c>
      <c r="G90" s="3393" t="s">
        <v>3196</v>
      </c>
      <c r="H90" s="3394"/>
      <c r="I90" s="3394"/>
      <c r="J90" s="3394"/>
      <c r="K90" s="3395"/>
      <c r="L90" s="3396"/>
      <c r="M90" s="3397"/>
      <c r="N90" s="3347"/>
      <c r="O90" s="3347"/>
      <c r="P90" s="3398"/>
      <c r="Q90" s="3312"/>
      <c r="R90" s="3246"/>
      <c r="S90" s="3246"/>
      <c r="T90" s="3246"/>
      <c r="U90" s="3246"/>
      <c r="V90" s="3246"/>
      <c r="W90" s="3246"/>
      <c r="X90" s="3246"/>
      <c r="Y90" s="3246"/>
      <c r="Z90" s="3246"/>
      <c r="AA90" s="3246"/>
      <c r="AB90" s="3246"/>
      <c r="AC90" s="3246"/>
    </row>
    <row r="91" spans="1:29" ht="15.75" thickBot="1">
      <c r="A91" s="3349"/>
      <c r="B91" s="3359"/>
      <c r="C91" s="3360">
        <v>100</v>
      </c>
      <c r="D91" s="3360">
        <f>C91-$K17</f>
        <v>98</v>
      </c>
      <c r="E91" s="3360">
        <f>D91-$K17</f>
        <v>96</v>
      </c>
      <c r="F91" s="3360">
        <f>E91-$K17</f>
        <v>94</v>
      </c>
      <c r="G91" s="3360">
        <f>F91-$K17</f>
        <v>92</v>
      </c>
      <c r="H91" s="3360"/>
      <c r="I91" s="3360"/>
      <c r="J91" s="3360"/>
      <c r="K91" s="3360"/>
      <c r="L91" s="3360"/>
      <c r="M91" s="3361"/>
      <c r="N91" s="3353"/>
      <c r="O91" s="3353"/>
      <c r="P91" s="3348"/>
      <c r="Q91" s="3312"/>
      <c r="R91" s="3246"/>
      <c r="S91" s="3246"/>
      <c r="T91" s="3246"/>
      <c r="U91" s="3246"/>
      <c r="V91" s="3246"/>
      <c r="W91" s="3246"/>
      <c r="X91" s="3246"/>
      <c r="Y91" s="3246"/>
      <c r="Z91" s="3246"/>
      <c r="AA91" s="3246"/>
      <c r="AB91" s="3246"/>
      <c r="AC91" s="3246"/>
    </row>
    <row r="92" spans="1:29" ht="15.75" thickTop="1">
      <c r="A92" s="3349"/>
      <c r="B92" s="3354" t="s">
        <v>3124</v>
      </c>
      <c r="C92" s="3399" t="s">
        <v>3192</v>
      </c>
      <c r="D92" s="3399" t="s">
        <v>3193</v>
      </c>
      <c r="E92" s="3399" t="s">
        <v>3194</v>
      </c>
      <c r="F92" s="3399" t="s">
        <v>3195</v>
      </c>
      <c r="G92" s="3399" t="s">
        <v>3196</v>
      </c>
      <c r="H92" s="3355"/>
      <c r="I92" s="3355"/>
      <c r="J92" s="3355"/>
      <c r="K92" s="3356"/>
      <c r="L92" s="3357"/>
      <c r="M92" s="3358"/>
      <c r="N92" s="3347"/>
      <c r="O92" s="3347"/>
      <c r="P92" s="3348"/>
      <c r="Q92" s="3312"/>
      <c r="R92" s="3246"/>
      <c r="S92" s="3246"/>
      <c r="T92" s="3246"/>
      <c r="U92" s="3246"/>
      <c r="V92" s="3246"/>
      <c r="W92" s="3246"/>
      <c r="X92" s="3246"/>
      <c r="Y92" s="3246"/>
      <c r="Z92" s="3246"/>
      <c r="AA92" s="3246"/>
      <c r="AB92" s="3246"/>
      <c r="AC92" s="3246"/>
    </row>
    <row r="93" spans="1:29" ht="15.75" thickBot="1">
      <c r="A93" s="3349"/>
      <c r="B93" s="3359"/>
      <c r="C93" s="3360">
        <v>100</v>
      </c>
      <c r="D93" s="3360">
        <f>C93-$K19</f>
        <v>98</v>
      </c>
      <c r="E93" s="3360">
        <f>D93-$K19</f>
        <v>96</v>
      </c>
      <c r="F93" s="3360">
        <f>E93-$K19</f>
        <v>94</v>
      </c>
      <c r="G93" s="3360">
        <f>F93-$K19</f>
        <v>92</v>
      </c>
      <c r="H93" s="3360"/>
      <c r="I93" s="3360"/>
      <c r="J93" s="3360"/>
      <c r="K93" s="3360"/>
      <c r="L93" s="3360"/>
      <c r="M93" s="3361"/>
      <c r="N93" s="3353"/>
      <c r="O93" s="3353"/>
      <c r="P93" s="3348"/>
      <c r="Q93" s="3312"/>
      <c r="R93" s="3246"/>
      <c r="S93" s="3246"/>
      <c r="T93" s="3246"/>
      <c r="U93" s="3246"/>
      <c r="V93" s="3246"/>
      <c r="W93" s="3246"/>
      <c r="X93" s="3246"/>
      <c r="Y93" s="3246"/>
      <c r="Z93" s="3246"/>
      <c r="AA93" s="3246"/>
      <c r="AB93" s="3246"/>
      <c r="AC93" s="3246"/>
    </row>
    <row r="94" spans="1:29" ht="15.75" thickTop="1">
      <c r="A94" s="3349"/>
      <c r="B94" s="3354" t="s">
        <v>3125</v>
      </c>
      <c r="C94" s="3399" t="s">
        <v>3192</v>
      </c>
      <c r="D94" s="3399" t="s">
        <v>3193</v>
      </c>
      <c r="E94" s="3399" t="s">
        <v>3194</v>
      </c>
      <c r="F94" s="3399" t="s">
        <v>3195</v>
      </c>
      <c r="G94" s="3399" t="s">
        <v>3196</v>
      </c>
      <c r="H94" s="3355"/>
      <c r="I94" s="3355"/>
      <c r="J94" s="3355"/>
      <c r="K94" s="3356"/>
      <c r="L94" s="3357"/>
      <c r="M94" s="3358"/>
      <c r="N94" s="3347"/>
      <c r="O94" s="3347"/>
      <c r="P94" s="3348"/>
      <c r="Q94" s="3312"/>
      <c r="R94" s="3246"/>
      <c r="S94" s="3246"/>
      <c r="T94" s="3246"/>
      <c r="U94" s="3246"/>
      <c r="V94" s="3246"/>
      <c r="W94" s="3246"/>
      <c r="X94" s="3246"/>
      <c r="Y94" s="3246"/>
      <c r="Z94" s="3246"/>
      <c r="AA94" s="3246"/>
      <c r="AB94" s="3246"/>
      <c r="AC94" s="3246"/>
    </row>
    <row r="95" spans="1:29" ht="15.75" thickBot="1">
      <c r="A95" s="3349"/>
      <c r="B95" s="3359"/>
      <c r="C95" s="3360">
        <v>100</v>
      </c>
      <c r="D95" s="3360">
        <f>C95-$K21</f>
        <v>100</v>
      </c>
      <c r="E95" s="3360">
        <f>D95-$K21</f>
        <v>100</v>
      </c>
      <c r="F95" s="3360">
        <f>E95-$K21</f>
        <v>100</v>
      </c>
      <c r="G95" s="3360">
        <f>F95-$K21</f>
        <v>100</v>
      </c>
      <c r="H95" s="3360"/>
      <c r="I95" s="3360"/>
      <c r="J95" s="3360"/>
      <c r="K95" s="3360"/>
      <c r="L95" s="3360"/>
      <c r="M95" s="3361"/>
      <c r="N95" s="3353"/>
      <c r="O95" s="3353"/>
      <c r="P95" s="3348"/>
      <c r="Q95" s="3312"/>
      <c r="R95" s="3246"/>
      <c r="S95" s="3246"/>
      <c r="T95" s="3246"/>
      <c r="U95" s="3246"/>
      <c r="V95" s="3246"/>
      <c r="W95" s="3246"/>
      <c r="X95" s="3246"/>
      <c r="Y95" s="3246"/>
      <c r="Z95" s="3246"/>
      <c r="AA95" s="3246"/>
      <c r="AB95" s="3246"/>
      <c r="AC95" s="3246"/>
    </row>
    <row r="96" spans="1:29" ht="15.75" thickTop="1">
      <c r="A96" s="3349"/>
      <c r="B96" s="3354" t="s">
        <v>3126</v>
      </c>
      <c r="C96" s="3399" t="s">
        <v>3192</v>
      </c>
      <c r="D96" s="3399" t="s">
        <v>3193</v>
      </c>
      <c r="E96" s="3399" t="s">
        <v>3194</v>
      </c>
      <c r="F96" s="3399" t="s">
        <v>3195</v>
      </c>
      <c r="G96" s="3399" t="s">
        <v>3196</v>
      </c>
      <c r="H96" s="3355"/>
      <c r="I96" s="3355"/>
      <c r="J96" s="3355"/>
      <c r="K96" s="3356"/>
      <c r="L96" s="3357"/>
      <c r="M96" s="3358"/>
      <c r="N96" s="3347"/>
      <c r="O96" s="3347"/>
      <c r="P96" s="3348"/>
      <c r="Q96" s="3312"/>
      <c r="R96" s="3246"/>
      <c r="S96" s="3246"/>
      <c r="T96" s="3246"/>
      <c r="U96" s="3246"/>
      <c r="V96" s="3246"/>
      <c r="W96" s="3246"/>
      <c r="X96" s="3246"/>
      <c r="Y96" s="3246"/>
      <c r="Z96" s="3246"/>
      <c r="AA96" s="3246"/>
      <c r="AB96" s="3246"/>
      <c r="AC96" s="3246"/>
    </row>
    <row r="97" spans="1:29" ht="15.75" thickBot="1">
      <c r="A97" s="3349"/>
      <c r="B97" s="3359"/>
      <c r="C97" s="3360">
        <v>100</v>
      </c>
      <c r="D97" s="3360">
        <f>C97-$K23</f>
        <v>100</v>
      </c>
      <c r="E97" s="3360">
        <f>D97-$K23</f>
        <v>100</v>
      </c>
      <c r="F97" s="3360">
        <f>E97-$K23</f>
        <v>100</v>
      </c>
      <c r="G97" s="3360">
        <f>F97-$K23</f>
        <v>100</v>
      </c>
      <c r="H97" s="3360"/>
      <c r="I97" s="3360"/>
      <c r="J97" s="3360"/>
      <c r="K97" s="3360"/>
      <c r="L97" s="3360"/>
      <c r="M97" s="3361"/>
      <c r="N97" s="3353"/>
      <c r="O97" s="3353"/>
      <c r="P97" s="3348"/>
      <c r="Q97" s="3312"/>
      <c r="R97" s="3246"/>
      <c r="S97" s="3246"/>
      <c r="T97" s="3246"/>
      <c r="U97" s="3246"/>
      <c r="V97" s="3246"/>
      <c r="W97" s="3246"/>
      <c r="X97" s="3246"/>
      <c r="Y97" s="3246"/>
      <c r="Z97" s="3246"/>
      <c r="AA97" s="3246"/>
      <c r="AB97" s="3246"/>
      <c r="AC97" s="3246"/>
    </row>
    <row r="98" spans="1:29" s="3112" customFormat="1" ht="27.75" thickTop="1">
      <c r="A98" s="3400"/>
      <c r="B98" s="3354" t="s">
        <v>3127</v>
      </c>
      <c r="C98" s="3399" t="s">
        <v>3192</v>
      </c>
      <c r="D98" s="3399" t="s">
        <v>3193</v>
      </c>
      <c r="E98" s="3399" t="s">
        <v>3194</v>
      </c>
      <c r="F98" s="3399" t="s">
        <v>3195</v>
      </c>
      <c r="G98" s="3399" t="s">
        <v>3196</v>
      </c>
      <c r="H98" s="3399"/>
      <c r="I98" s="3399"/>
      <c r="J98" s="3399"/>
      <c r="K98" s="3399"/>
      <c r="L98" s="3401"/>
      <c r="M98" s="3402"/>
      <c r="N98" s="3326"/>
      <c r="O98" s="3326"/>
      <c r="P98" s="3348"/>
      <c r="Q98" s="3312"/>
      <c r="R98" s="3327"/>
      <c r="S98" s="3327"/>
      <c r="T98" s="3327"/>
      <c r="U98" s="3327"/>
      <c r="V98" s="3327"/>
      <c r="W98" s="3327"/>
      <c r="X98" s="3327"/>
      <c r="Y98" s="3327"/>
      <c r="Z98" s="3327"/>
      <c r="AA98" s="3327"/>
      <c r="AB98" s="3327"/>
      <c r="AC98" s="3327"/>
    </row>
    <row r="99" spans="1:29" s="3112" customFormat="1" ht="15.75" thickBot="1">
      <c r="A99" s="3400"/>
      <c r="B99" s="3359"/>
      <c r="C99" s="3403">
        <v>100</v>
      </c>
      <c r="D99" s="3360">
        <f>C99-$K25</f>
        <v>100</v>
      </c>
      <c r="E99" s="3360">
        <f>D99-$K25</f>
        <v>100</v>
      </c>
      <c r="F99" s="3360">
        <f>E99-$K25</f>
        <v>100</v>
      </c>
      <c r="G99" s="3360">
        <f>F99-$K25</f>
        <v>100</v>
      </c>
      <c r="H99" s="3360"/>
      <c r="I99" s="3360"/>
      <c r="J99" s="3360"/>
      <c r="K99" s="3360"/>
      <c r="L99" s="3360"/>
      <c r="M99" s="3361"/>
      <c r="N99" s="3353"/>
      <c r="O99" s="3353"/>
      <c r="P99" s="3348"/>
      <c r="Q99" s="3312"/>
      <c r="R99" s="3327"/>
      <c r="S99" s="3327"/>
      <c r="T99" s="3327"/>
      <c r="U99" s="3327"/>
      <c r="V99" s="3327"/>
      <c r="W99" s="3327"/>
      <c r="X99" s="3327"/>
      <c r="Y99" s="3327"/>
      <c r="Z99" s="3327"/>
      <c r="AA99" s="3327"/>
      <c r="AB99" s="3327"/>
      <c r="AC99" s="3327"/>
    </row>
    <row r="100" spans="1:29" s="3112" customFormat="1" ht="27.75" thickTop="1">
      <c r="A100" s="3400"/>
      <c r="B100" s="3354" t="s">
        <v>3128</v>
      </c>
      <c r="C100" s="3393" t="s">
        <v>3192</v>
      </c>
      <c r="D100" s="3393" t="s">
        <v>3193</v>
      </c>
      <c r="E100" s="3393" t="s">
        <v>3194</v>
      </c>
      <c r="F100" s="3393" t="s">
        <v>3195</v>
      </c>
      <c r="G100" s="3393" t="s">
        <v>3196</v>
      </c>
      <c r="H100" s="3399"/>
      <c r="I100" s="3399"/>
      <c r="J100" s="3399"/>
      <c r="K100" s="3399"/>
      <c r="L100" s="3399"/>
      <c r="M100" s="3402"/>
      <c r="N100" s="3326"/>
      <c r="O100" s="3326"/>
      <c r="P100" s="3348"/>
      <c r="Q100" s="3312"/>
      <c r="R100" s="3327"/>
      <c r="S100" s="3327"/>
      <c r="T100" s="3327"/>
      <c r="U100" s="3327"/>
      <c r="V100" s="3327"/>
      <c r="W100" s="3327"/>
      <c r="X100" s="3327"/>
      <c r="Y100" s="3327"/>
      <c r="Z100" s="3327"/>
      <c r="AA100" s="3327"/>
      <c r="AB100" s="3327"/>
      <c r="AC100" s="3327"/>
    </row>
    <row r="101" spans="1:29" s="3112" customFormat="1" ht="15.75" thickBot="1">
      <c r="A101" s="3400"/>
      <c r="B101" s="3359"/>
      <c r="C101" s="3360">
        <v>100</v>
      </c>
      <c r="D101" s="3360">
        <f>C101-$K27</f>
        <v>98</v>
      </c>
      <c r="E101" s="3360">
        <f>D101-$K27</f>
        <v>96</v>
      </c>
      <c r="F101" s="3360">
        <f>E101-$K27</f>
        <v>94</v>
      </c>
      <c r="G101" s="3360">
        <f>F101-$K27</f>
        <v>92</v>
      </c>
      <c r="H101" s="3360"/>
      <c r="I101" s="3360"/>
      <c r="J101" s="3360"/>
      <c r="K101" s="3360"/>
      <c r="L101" s="3360"/>
      <c r="M101" s="3361"/>
      <c r="N101" s="3353"/>
      <c r="O101" s="3353"/>
      <c r="P101" s="3348"/>
      <c r="Q101" s="3312"/>
      <c r="R101" s="3327"/>
      <c r="S101" s="3327"/>
      <c r="T101" s="3327"/>
      <c r="U101" s="3327"/>
      <c r="V101" s="3327"/>
      <c r="W101" s="3327"/>
      <c r="X101" s="3327"/>
      <c r="Y101" s="3327"/>
      <c r="Z101" s="3327"/>
      <c r="AA101" s="3327"/>
      <c r="AB101" s="3327"/>
      <c r="AC101" s="3327"/>
    </row>
    <row r="102" spans="1:29" s="3219" customFormat="1" ht="15.75" thickTop="1">
      <c r="A102" s="3368"/>
      <c r="B102" s="3404" t="s">
        <v>3129</v>
      </c>
      <c r="C102" s="3393" t="s">
        <v>3192</v>
      </c>
      <c r="D102" s="3393" t="s">
        <v>3193</v>
      </c>
      <c r="E102" s="3393" t="s">
        <v>3194</v>
      </c>
      <c r="F102" s="3393" t="s">
        <v>3195</v>
      </c>
      <c r="G102" s="3393" t="s">
        <v>3196</v>
      </c>
      <c r="H102" s="3405"/>
      <c r="I102" s="3405"/>
      <c r="J102" s="3405"/>
      <c r="K102" s="3405"/>
      <c r="L102" s="3406"/>
      <c r="M102" s="3407"/>
      <c r="N102" s="3375"/>
      <c r="O102" s="3375"/>
      <c r="P102" s="3376"/>
      <c r="Q102" s="3377"/>
      <c r="R102" s="3378"/>
      <c r="S102" s="3378"/>
      <c r="T102" s="3378"/>
      <c r="U102" s="3378"/>
      <c r="V102" s="3378"/>
      <c r="W102" s="3378"/>
      <c r="X102" s="3378"/>
      <c r="Y102" s="3378"/>
      <c r="Z102" s="3378"/>
      <c r="AA102" s="3378"/>
      <c r="AB102" s="3378"/>
      <c r="AC102" s="3378"/>
    </row>
    <row r="103" spans="1:29" s="3219" customFormat="1" ht="15.75" thickBot="1">
      <c r="A103" s="3368"/>
      <c r="B103" s="3359"/>
      <c r="C103" s="3360">
        <v>100</v>
      </c>
      <c r="D103" s="3360">
        <f>C103-$K29</f>
        <v>98</v>
      </c>
      <c r="E103" s="3360">
        <f>D103-$K29</f>
        <v>96</v>
      </c>
      <c r="F103" s="3360">
        <f>E103-$K29</f>
        <v>94</v>
      </c>
      <c r="G103" s="3360">
        <f>F103-$K29</f>
        <v>92</v>
      </c>
      <c r="H103" s="3408"/>
      <c r="I103" s="3408"/>
      <c r="J103" s="3408"/>
      <c r="K103" s="3408"/>
      <c r="L103" s="3408"/>
      <c r="M103" s="3409"/>
      <c r="N103" s="3375"/>
      <c r="O103" s="3375"/>
      <c r="P103" s="3376"/>
      <c r="Q103" s="3377"/>
      <c r="R103" s="3378"/>
      <c r="S103" s="3378"/>
      <c r="T103" s="3378"/>
      <c r="U103" s="3378"/>
      <c r="V103" s="3378"/>
      <c r="W103" s="3378"/>
      <c r="X103" s="3378"/>
      <c r="Y103" s="3378"/>
      <c r="Z103" s="3378"/>
      <c r="AA103" s="3378"/>
      <c r="AB103" s="3378"/>
      <c r="AC103" s="3378"/>
    </row>
    <row r="104" spans="1:29" s="3219" customFormat="1" ht="15.75" thickTop="1">
      <c r="A104" s="3368"/>
      <c r="B104" s="3410" t="s">
        <v>3130</v>
      </c>
      <c r="C104" s="3411" t="s">
        <v>3197</v>
      </c>
      <c r="D104" s="3411" t="s">
        <v>3198</v>
      </c>
      <c r="E104" s="3411" t="s">
        <v>3199</v>
      </c>
      <c r="F104" s="3411" t="s">
        <v>3200</v>
      </c>
      <c r="G104" s="3411" t="s">
        <v>3201</v>
      </c>
      <c r="H104" s="3405"/>
      <c r="I104" s="3405"/>
      <c r="J104" s="3405"/>
      <c r="K104" s="3405"/>
      <c r="L104" s="3405"/>
      <c r="M104" s="3407"/>
      <c r="N104" s="3375"/>
      <c r="O104" s="3375"/>
      <c r="P104" s="3376"/>
      <c r="Q104" s="3377"/>
      <c r="R104" s="3378"/>
      <c r="S104" s="3378"/>
      <c r="T104" s="3378"/>
      <c r="U104" s="3378"/>
      <c r="V104" s="3378"/>
      <c r="W104" s="3378"/>
      <c r="X104" s="3378"/>
      <c r="Y104" s="3378"/>
      <c r="Z104" s="3378"/>
      <c r="AA104" s="3378"/>
      <c r="AB104" s="3378"/>
      <c r="AC104" s="3378"/>
    </row>
    <row r="105" spans="1:29" s="3219" customFormat="1" ht="15.75" thickBot="1">
      <c r="A105" s="3368"/>
      <c r="B105" s="3362"/>
      <c r="C105" s="3360">
        <v>100</v>
      </c>
      <c r="D105" s="3360">
        <f>C105-$K31</f>
        <v>100</v>
      </c>
      <c r="E105" s="3360">
        <f>D105-$K31</f>
        <v>100</v>
      </c>
      <c r="F105" s="3360">
        <f>E105-$K31</f>
        <v>100</v>
      </c>
      <c r="G105" s="3360">
        <f>F105-$K31</f>
        <v>100</v>
      </c>
      <c r="H105" s="3364"/>
      <c r="I105" s="3364"/>
      <c r="J105" s="3364"/>
      <c r="K105" s="3364"/>
      <c r="L105" s="3364"/>
      <c r="M105" s="3412"/>
      <c r="N105" s="3375"/>
      <c r="O105" s="3375"/>
      <c r="P105" s="3376"/>
      <c r="Q105" s="3377"/>
      <c r="R105" s="3378"/>
      <c r="S105" s="3378"/>
      <c r="T105" s="3378"/>
      <c r="U105" s="3378"/>
      <c r="V105" s="3378"/>
      <c r="W105" s="3378"/>
      <c r="X105" s="3378"/>
      <c r="Y105" s="3378"/>
      <c r="Z105" s="3378"/>
      <c r="AA105" s="3378"/>
      <c r="AB105" s="3378"/>
      <c r="AC105" s="3378"/>
    </row>
    <row r="106" spans="1:29" ht="15.75" thickTop="1">
      <c r="A106" s="3349"/>
      <c r="B106" s="3354" t="str">
        <f>B33</f>
        <v>临街状况</v>
      </c>
      <c r="C106" s="3355" t="s">
        <v>3202</v>
      </c>
      <c r="D106" s="3355" t="s">
        <v>3203</v>
      </c>
      <c r="E106" s="3355" t="s">
        <v>3204</v>
      </c>
      <c r="F106" s="3355" t="s">
        <v>3205</v>
      </c>
      <c r="G106" s="3355"/>
      <c r="H106" s="3355"/>
      <c r="I106" s="3355"/>
      <c r="J106" s="3355"/>
      <c r="K106" s="3356"/>
      <c r="L106" s="3357"/>
      <c r="M106" s="3358"/>
      <c r="N106" s="3347"/>
      <c r="O106" s="3347"/>
      <c r="P106" s="3348"/>
      <c r="Q106" s="3312"/>
      <c r="R106" s="3246"/>
      <c r="S106" s="3246"/>
      <c r="T106" s="3246"/>
      <c r="U106" s="3246"/>
      <c r="V106" s="3246"/>
      <c r="W106" s="3246"/>
      <c r="X106" s="3246"/>
      <c r="Y106" s="3246"/>
      <c r="Z106" s="3246"/>
      <c r="AA106" s="3246"/>
      <c r="AB106" s="3246"/>
      <c r="AC106" s="3246"/>
    </row>
    <row r="107" spans="1:29" ht="15.75" thickBot="1">
      <c r="A107" s="3349"/>
      <c r="B107" s="3359"/>
      <c r="C107" s="3360">
        <v>100</v>
      </c>
      <c r="D107" s="3360">
        <f>C107-$K33</f>
        <v>100</v>
      </c>
      <c r="E107" s="3360">
        <f t="shared" ref="E107:M107" si="22">D107-$K33</f>
        <v>100</v>
      </c>
      <c r="F107" s="3360">
        <f t="shared" si="22"/>
        <v>100</v>
      </c>
      <c r="G107" s="3360">
        <f t="shared" si="22"/>
        <v>100</v>
      </c>
      <c r="H107" s="3360">
        <f t="shared" si="22"/>
        <v>100</v>
      </c>
      <c r="I107" s="3360">
        <f t="shared" si="22"/>
        <v>100</v>
      </c>
      <c r="J107" s="3360">
        <f t="shared" si="22"/>
        <v>100</v>
      </c>
      <c r="K107" s="3360">
        <f t="shared" si="22"/>
        <v>100</v>
      </c>
      <c r="L107" s="3360">
        <f t="shared" si="22"/>
        <v>100</v>
      </c>
      <c r="M107" s="3360">
        <f t="shared" si="22"/>
        <v>100</v>
      </c>
      <c r="N107" s="3353"/>
      <c r="O107" s="3353"/>
      <c r="P107" s="3348"/>
      <c r="Q107" s="3312"/>
      <c r="R107" s="3246"/>
      <c r="S107" s="3246"/>
      <c r="T107" s="3246"/>
      <c r="U107" s="3246"/>
      <c r="V107" s="3246"/>
      <c r="W107" s="3246"/>
      <c r="X107" s="3246"/>
      <c r="Y107" s="3246"/>
      <c r="Z107" s="3246"/>
      <c r="AA107" s="3246"/>
      <c r="AB107" s="3246"/>
      <c r="AC107" s="3246"/>
    </row>
    <row r="108" spans="1:29" ht="27.75" thickTop="1">
      <c r="A108" s="3349"/>
      <c r="B108" s="3354" t="s">
        <v>3132</v>
      </c>
      <c r="C108" s="3371" t="s">
        <v>3206</v>
      </c>
      <c r="D108" s="3371" t="s">
        <v>3207</v>
      </c>
      <c r="E108" s="3369"/>
      <c r="F108" s="3369"/>
      <c r="G108" s="3369"/>
      <c r="H108" s="3413"/>
      <c r="I108" s="3413"/>
      <c r="J108" s="3413"/>
      <c r="K108" s="3414"/>
      <c r="L108" s="3415"/>
      <c r="M108" s="3416"/>
      <c r="N108" s="3347"/>
      <c r="O108" s="3347"/>
      <c r="P108" s="3348"/>
      <c r="Q108" s="3312"/>
      <c r="R108" s="3246"/>
      <c r="S108" s="3246"/>
      <c r="T108" s="3246"/>
      <c r="U108" s="3246"/>
      <c r="V108" s="3246"/>
      <c r="W108" s="3246"/>
      <c r="X108" s="3246"/>
      <c r="Y108" s="3246"/>
      <c r="Z108" s="3246"/>
      <c r="AA108" s="3246"/>
      <c r="AB108" s="3246"/>
      <c r="AC108" s="3246"/>
    </row>
    <row r="109" spans="1:29" ht="15.75" thickBot="1">
      <c r="A109" s="3349"/>
      <c r="B109" s="3359"/>
      <c r="C109" s="3360">
        <v>100</v>
      </c>
      <c r="D109" s="3360">
        <f>C109-$K34</f>
        <v>98</v>
      </c>
      <c r="E109" s="3360">
        <f t="shared" ref="E109:M109" si="23">D109-$K34</f>
        <v>96</v>
      </c>
      <c r="F109" s="3360">
        <f t="shared" si="23"/>
        <v>94</v>
      </c>
      <c r="G109" s="3360">
        <f t="shared" si="23"/>
        <v>92</v>
      </c>
      <c r="H109" s="3360">
        <f t="shared" si="23"/>
        <v>90</v>
      </c>
      <c r="I109" s="3360">
        <f t="shared" si="23"/>
        <v>88</v>
      </c>
      <c r="J109" s="3360">
        <f t="shared" si="23"/>
        <v>86</v>
      </c>
      <c r="K109" s="3360">
        <f t="shared" si="23"/>
        <v>84</v>
      </c>
      <c r="L109" s="3360">
        <f t="shared" si="23"/>
        <v>82</v>
      </c>
      <c r="M109" s="3360">
        <f t="shared" si="23"/>
        <v>80</v>
      </c>
      <c r="N109" s="3353"/>
      <c r="O109" s="3353"/>
      <c r="P109" s="3348"/>
      <c r="Q109" s="3312"/>
      <c r="R109" s="3246"/>
      <c r="S109" s="3246"/>
      <c r="T109" s="3246"/>
      <c r="U109" s="3246"/>
      <c r="V109" s="3246"/>
      <c r="W109" s="3246"/>
      <c r="X109" s="3246"/>
      <c r="Y109" s="3246"/>
      <c r="Z109" s="3246"/>
      <c r="AA109" s="3246"/>
      <c r="AB109" s="3246"/>
      <c r="AC109" s="3246"/>
    </row>
    <row r="110" spans="1:29" ht="15.75" thickTop="1">
      <c r="A110" s="3349"/>
      <c r="B110" s="3354" t="s">
        <v>3139</v>
      </c>
      <c r="C110" s="3413"/>
      <c r="D110" s="3413"/>
      <c r="E110" s="3413"/>
      <c r="F110" s="3413"/>
      <c r="G110" s="3413"/>
      <c r="H110" s="3413"/>
      <c r="I110" s="3413"/>
      <c r="J110" s="3413"/>
      <c r="K110" s="3414"/>
      <c r="L110" s="3415"/>
      <c r="M110" s="3416"/>
      <c r="N110" s="3347"/>
      <c r="O110" s="3347"/>
      <c r="P110" s="3348"/>
      <c r="Q110" s="3312"/>
      <c r="R110" s="3246"/>
      <c r="S110" s="3246"/>
      <c r="T110" s="3246"/>
      <c r="U110" s="3246"/>
      <c r="V110" s="3246"/>
      <c r="W110" s="3246"/>
      <c r="X110" s="3246"/>
      <c r="Y110" s="3246"/>
      <c r="Z110" s="3246"/>
      <c r="AA110" s="3246"/>
      <c r="AB110" s="3246"/>
      <c r="AC110" s="3246"/>
    </row>
    <row r="111" spans="1:29" ht="15.75" thickBot="1">
      <c r="A111" s="3349"/>
      <c r="B111" s="3359"/>
      <c r="C111" s="3360">
        <v>100</v>
      </c>
      <c r="D111" s="3360">
        <f>C111-$K36</f>
        <v>100</v>
      </c>
      <c r="E111" s="3360">
        <f t="shared" ref="E111:M111" si="24">D111-$K36</f>
        <v>100</v>
      </c>
      <c r="F111" s="3360">
        <f t="shared" si="24"/>
        <v>100</v>
      </c>
      <c r="G111" s="3360">
        <f t="shared" si="24"/>
        <v>100</v>
      </c>
      <c r="H111" s="3360">
        <f t="shared" si="24"/>
        <v>100</v>
      </c>
      <c r="I111" s="3360">
        <f t="shared" si="24"/>
        <v>100</v>
      </c>
      <c r="J111" s="3360">
        <f t="shared" si="24"/>
        <v>100</v>
      </c>
      <c r="K111" s="3360">
        <f t="shared" si="24"/>
        <v>100</v>
      </c>
      <c r="L111" s="3360">
        <f t="shared" si="24"/>
        <v>100</v>
      </c>
      <c r="M111" s="3360">
        <f t="shared" si="24"/>
        <v>100</v>
      </c>
      <c r="N111" s="3353"/>
      <c r="O111" s="3353"/>
      <c r="P111" s="3348"/>
      <c r="Q111" s="3312"/>
      <c r="R111" s="3246"/>
      <c r="S111" s="3246"/>
      <c r="T111" s="3246"/>
      <c r="U111" s="3246"/>
      <c r="V111" s="3246"/>
      <c r="W111" s="3246"/>
      <c r="X111" s="3246"/>
      <c r="Y111" s="3246"/>
      <c r="Z111" s="3246"/>
      <c r="AA111" s="3246"/>
      <c r="AB111" s="3246"/>
      <c r="AC111" s="3246"/>
    </row>
    <row r="112" spans="1:29" ht="15.75" thickTop="1">
      <c r="A112" s="3349"/>
      <c r="B112" s="3362">
        <f>B37</f>
        <v>111</v>
      </c>
      <c r="C112" s="3369"/>
      <c r="D112" s="3369"/>
      <c r="E112" s="3369"/>
      <c r="F112" s="3369"/>
      <c r="G112" s="3417"/>
      <c r="H112" s="3417"/>
      <c r="I112" s="3417"/>
      <c r="J112" s="3417"/>
      <c r="K112" s="3418"/>
      <c r="L112" s="3419"/>
      <c r="M112" s="3420"/>
      <c r="N112" s="3347"/>
      <c r="O112" s="3347"/>
      <c r="P112" s="3348"/>
      <c r="Q112" s="3312"/>
      <c r="R112" s="3246"/>
      <c r="S112" s="3246"/>
      <c r="T112" s="3246"/>
      <c r="U112" s="3246"/>
      <c r="V112" s="3246"/>
      <c r="W112" s="3246"/>
      <c r="X112" s="3246"/>
      <c r="Y112" s="3246"/>
      <c r="Z112" s="3246"/>
      <c r="AA112" s="3246"/>
      <c r="AB112" s="3246"/>
      <c r="AC112" s="3246"/>
    </row>
    <row r="113" spans="1:29" ht="15.75" thickBot="1">
      <c r="A113" s="3349"/>
      <c r="B113" s="3389"/>
      <c r="C113" s="3379"/>
      <c r="D113" s="3379"/>
      <c r="E113" s="3379"/>
      <c r="F113" s="3379"/>
      <c r="G113" s="3421"/>
      <c r="H113" s="3421"/>
      <c r="I113" s="3421"/>
      <c r="J113" s="3421"/>
      <c r="K113" s="3421"/>
      <c r="L113" s="3421"/>
      <c r="M113" s="3422"/>
      <c r="N113" s="3353"/>
      <c r="O113" s="3353"/>
      <c r="P113" s="3348"/>
      <c r="Q113" s="3312"/>
      <c r="R113" s="3246"/>
      <c r="S113" s="3246"/>
      <c r="T113" s="3246"/>
      <c r="U113" s="3246"/>
      <c r="V113" s="3246"/>
      <c r="W113" s="3246"/>
      <c r="X113" s="3246"/>
      <c r="Y113" s="3246"/>
      <c r="Z113" s="3246"/>
      <c r="AA113" s="3246"/>
      <c r="AB113" s="3246"/>
      <c r="AC113" s="3246"/>
    </row>
    <row r="114" spans="1:29" ht="15" thickTop="1">
      <c r="A114" s="3206"/>
      <c r="B114" s="3354">
        <f>B38</f>
        <v>111</v>
      </c>
      <c r="C114" s="3335"/>
      <c r="D114" s="3335"/>
      <c r="E114" s="3335"/>
      <c r="F114" s="3335"/>
      <c r="G114" s="3413"/>
      <c r="H114" s="3413"/>
      <c r="I114" s="3413"/>
      <c r="J114" s="3413"/>
      <c r="K114" s="3414"/>
      <c r="L114" s="3415"/>
      <c r="M114" s="3416"/>
      <c r="N114" s="3347"/>
      <c r="O114" s="3347"/>
      <c r="P114" s="3348"/>
      <c r="Q114" s="3312"/>
      <c r="R114" s="3246"/>
      <c r="S114" s="3246"/>
      <c r="T114" s="3246"/>
      <c r="U114" s="3246"/>
      <c r="V114" s="3246"/>
      <c r="W114" s="3246"/>
      <c r="X114" s="3246"/>
      <c r="Y114" s="3246"/>
      <c r="Z114" s="3246"/>
      <c r="AA114" s="3246"/>
      <c r="AB114" s="3246"/>
      <c r="AC114" s="3246"/>
    </row>
    <row r="115" spans="1:29" ht="15.75" thickBot="1">
      <c r="A115" s="3349"/>
      <c r="B115" s="3359"/>
      <c r="C115" s="3390"/>
      <c r="D115" s="3390"/>
      <c r="E115" s="3390"/>
      <c r="F115" s="3390"/>
      <c r="G115" s="3351"/>
      <c r="H115" s="3351"/>
      <c r="I115" s="3351"/>
      <c r="J115" s="3351"/>
      <c r="K115" s="3351"/>
      <c r="L115" s="3351"/>
      <c r="M115" s="3352"/>
      <c r="N115" s="3353"/>
      <c r="O115" s="3353"/>
      <c r="P115" s="3348"/>
      <c r="Q115" s="3312"/>
      <c r="R115" s="3246"/>
      <c r="S115" s="3246"/>
      <c r="T115" s="3246"/>
      <c r="U115" s="3246"/>
      <c r="V115" s="3246"/>
      <c r="W115" s="3246"/>
      <c r="X115" s="3246"/>
      <c r="Y115" s="3246"/>
      <c r="Z115" s="3246"/>
      <c r="AA115" s="3246"/>
      <c r="AB115" s="3246"/>
      <c r="AC115" s="3246"/>
    </row>
    <row r="116" spans="1:29" s="3219" customFormat="1" ht="15" thickTop="1">
      <c r="A116" s="3423"/>
      <c r="B116" s="3424">
        <f>B39</f>
        <v>111</v>
      </c>
      <c r="C116" s="3323"/>
      <c r="D116" s="3323"/>
      <c r="E116" s="3323"/>
      <c r="F116" s="3323"/>
      <c r="G116" s="3323"/>
      <c r="H116" s="3323"/>
      <c r="I116" s="3323"/>
      <c r="J116" s="3425"/>
      <c r="K116" s="3425"/>
      <c r="L116" s="3426"/>
      <c r="M116" s="3427"/>
      <c r="N116" s="3375"/>
      <c r="O116" s="3375"/>
      <c r="P116" s="3376"/>
      <c r="Q116" s="3377"/>
      <c r="R116" s="3378"/>
      <c r="S116" s="3378"/>
      <c r="T116" s="3378"/>
      <c r="U116" s="3378"/>
      <c r="V116" s="3378"/>
      <c r="W116" s="3378"/>
      <c r="X116" s="3378"/>
      <c r="Y116" s="3378"/>
      <c r="Z116" s="3378"/>
      <c r="AA116" s="3378"/>
      <c r="AB116" s="3378"/>
      <c r="AC116" s="3378"/>
    </row>
    <row r="117" spans="1:29" s="3219" customFormat="1" ht="15.75" thickBot="1">
      <c r="A117" s="3368"/>
      <c r="B117" s="3362"/>
      <c r="C117" s="3340"/>
      <c r="D117" s="3428"/>
      <c r="E117" s="3428"/>
      <c r="F117" s="3428"/>
      <c r="G117" s="3428"/>
      <c r="H117" s="3428"/>
      <c r="I117" s="3428"/>
      <c r="J117" s="3428"/>
      <c r="K117" s="3428"/>
      <c r="L117" s="3428"/>
      <c r="M117" s="3429"/>
      <c r="N117" s="3353"/>
      <c r="O117" s="3353"/>
      <c r="P117" s="3376"/>
      <c r="Q117" s="3377"/>
      <c r="R117" s="3378"/>
      <c r="S117" s="3378"/>
      <c r="T117" s="3378"/>
      <c r="U117" s="3378"/>
      <c r="V117" s="3378"/>
      <c r="W117" s="3378"/>
      <c r="X117" s="3378"/>
      <c r="Y117" s="3378"/>
      <c r="Z117" s="3378"/>
      <c r="AA117" s="3378"/>
      <c r="AB117" s="3378"/>
      <c r="AC117" s="3378"/>
    </row>
    <row r="118" spans="1:29" ht="28.5">
      <c r="A118" s="3342" t="s">
        <v>3208</v>
      </c>
      <c r="B118" s="3343" t="s">
        <v>3142</v>
      </c>
      <c r="C118" s="3394" t="str">
        <f t="shared" ref="C118:L118" si="25">C119&amp;"(含)"&amp;"-"&amp;D119</f>
        <v>0(含)-3000</v>
      </c>
      <c r="D118" s="3394" t="str">
        <f t="shared" si="25"/>
        <v>3000(含)-20000</v>
      </c>
      <c r="E118" s="3394" t="str">
        <f t="shared" si="25"/>
        <v>20000(含)-</v>
      </c>
      <c r="F118" s="3394" t="str">
        <f t="shared" si="25"/>
        <v>(含)-</v>
      </c>
      <c r="G118" s="3394" t="str">
        <f t="shared" si="25"/>
        <v>(含)-</v>
      </c>
      <c r="H118" s="3394" t="str">
        <f t="shared" si="25"/>
        <v>(含)-</v>
      </c>
      <c r="I118" s="3394" t="str">
        <f t="shared" si="25"/>
        <v>(含)-</v>
      </c>
      <c r="J118" s="3430" t="str">
        <f t="shared" si="25"/>
        <v>(含)-</v>
      </c>
      <c r="K118" s="3430" t="str">
        <f t="shared" si="25"/>
        <v>(含)-</v>
      </c>
      <c r="L118" s="3431" t="str">
        <f t="shared" si="25"/>
        <v>(含)-</v>
      </c>
      <c r="M118" s="3432" t="str">
        <f>M119&amp;"(含)"&amp;"-"&amp;P119</f>
        <v>(含)-</v>
      </c>
      <c r="N118" s="3347"/>
      <c r="O118" s="3347"/>
      <c r="P118" s="3348"/>
      <c r="Q118" s="3312"/>
      <c r="R118" s="3246"/>
      <c r="S118" s="3246"/>
      <c r="T118" s="3246"/>
      <c r="U118" s="3246"/>
      <c r="V118" s="3246"/>
      <c r="W118" s="3246"/>
      <c r="X118" s="3246"/>
      <c r="Y118" s="3246"/>
      <c r="Z118" s="3246"/>
      <c r="AA118" s="3246"/>
      <c r="AB118" s="3246"/>
      <c r="AC118" s="3246"/>
    </row>
    <row r="119" spans="1:29" ht="15">
      <c r="A119" s="3349"/>
      <c r="B119" s="3362"/>
      <c r="C119" s="3323">
        <v>0</v>
      </c>
      <c r="D119" s="3323">
        <v>3000</v>
      </c>
      <c r="E119" s="3323">
        <v>20000</v>
      </c>
      <c r="F119" s="3323"/>
      <c r="G119" s="3323"/>
      <c r="H119" s="3323"/>
      <c r="I119" s="3323"/>
      <c r="J119" s="3433"/>
      <c r="K119" s="3433"/>
      <c r="L119" s="3434"/>
      <c r="M119" s="3435"/>
      <c r="N119" s="3347"/>
      <c r="O119" s="3347"/>
      <c r="P119" s="3348"/>
      <c r="Q119" s="3312"/>
      <c r="R119" s="3246"/>
      <c r="S119" s="3246"/>
      <c r="T119" s="3246"/>
      <c r="U119" s="3246"/>
      <c r="V119" s="3246"/>
      <c r="W119" s="3246"/>
      <c r="X119" s="3246"/>
      <c r="Y119" s="3246"/>
      <c r="Z119" s="3246"/>
      <c r="AA119" s="3246"/>
      <c r="AB119" s="3246"/>
      <c r="AC119" s="3246"/>
    </row>
    <row r="120" spans="1:29" ht="15.75" thickBot="1">
      <c r="A120" s="3349"/>
      <c r="B120" s="3359"/>
      <c r="C120" s="3390">
        <v>100</v>
      </c>
      <c r="D120" s="3421">
        <v>102</v>
      </c>
      <c r="E120" s="3421">
        <v>104</v>
      </c>
      <c r="F120" s="3421"/>
      <c r="G120" s="3421"/>
      <c r="H120" s="3421"/>
      <c r="I120" s="3421"/>
      <c r="J120" s="3421"/>
      <c r="K120" s="3421"/>
      <c r="L120" s="3421"/>
      <c r="M120" s="3422"/>
      <c r="N120" s="3353"/>
      <c r="O120" s="3353"/>
      <c r="P120" s="3348"/>
      <c r="Q120" s="3312"/>
      <c r="R120" s="3246"/>
      <c r="S120" s="3246"/>
      <c r="T120" s="3246"/>
      <c r="U120" s="3246"/>
      <c r="V120" s="3246"/>
      <c r="W120" s="3246"/>
      <c r="X120" s="3246"/>
      <c r="Y120" s="3246"/>
      <c r="Z120" s="3246"/>
      <c r="AA120" s="3246"/>
      <c r="AB120" s="3246"/>
      <c r="AC120" s="3246"/>
    </row>
    <row r="121" spans="1:29" ht="15" thickTop="1">
      <c r="A121" s="3436"/>
      <c r="B121" s="3354" t="s">
        <v>3143</v>
      </c>
      <c r="C121" s="3437" t="s">
        <v>3209</v>
      </c>
      <c r="D121" s="3413"/>
      <c r="E121" s="3413"/>
      <c r="F121" s="3413"/>
      <c r="G121" s="3413"/>
      <c r="H121" s="3413"/>
      <c r="I121" s="3413"/>
      <c r="J121" s="3413"/>
      <c r="K121" s="3414"/>
      <c r="L121" s="3415"/>
      <c r="M121" s="3416"/>
      <c r="N121" s="3347"/>
      <c r="O121" s="3347"/>
      <c r="P121" s="3348"/>
      <c r="Q121" s="3312"/>
      <c r="R121" s="3246"/>
      <c r="S121" s="3246"/>
      <c r="T121" s="3246"/>
      <c r="U121" s="3246"/>
      <c r="V121" s="3246"/>
      <c r="W121" s="3246"/>
      <c r="X121" s="3246"/>
      <c r="Y121" s="3246"/>
      <c r="Z121" s="3246"/>
      <c r="AA121" s="3246"/>
      <c r="AB121" s="3246"/>
      <c r="AC121" s="3246"/>
    </row>
    <row r="122" spans="1:29" ht="15.75" thickBot="1">
      <c r="A122" s="3349"/>
      <c r="B122" s="3359"/>
      <c r="C122" s="3360">
        <v>100</v>
      </c>
      <c r="D122" s="3360">
        <f t="shared" ref="D122:M122" si="26">C122-$K41</f>
        <v>100</v>
      </c>
      <c r="E122" s="3360">
        <f t="shared" si="26"/>
        <v>100</v>
      </c>
      <c r="F122" s="3360">
        <f t="shared" si="26"/>
        <v>100</v>
      </c>
      <c r="G122" s="3360">
        <f t="shared" si="26"/>
        <v>100</v>
      </c>
      <c r="H122" s="3360">
        <f t="shared" si="26"/>
        <v>100</v>
      </c>
      <c r="I122" s="3360">
        <f t="shared" si="26"/>
        <v>100</v>
      </c>
      <c r="J122" s="3360">
        <f t="shared" si="26"/>
        <v>100</v>
      </c>
      <c r="K122" s="3360">
        <f t="shared" si="26"/>
        <v>100</v>
      </c>
      <c r="L122" s="3360">
        <f t="shared" si="26"/>
        <v>100</v>
      </c>
      <c r="M122" s="3361">
        <f t="shared" si="26"/>
        <v>100</v>
      </c>
      <c r="N122" s="3353"/>
      <c r="O122" s="3353"/>
      <c r="P122" s="3348"/>
      <c r="Q122" s="3312"/>
      <c r="R122" s="3246"/>
      <c r="S122" s="3246"/>
      <c r="T122" s="3246"/>
      <c r="U122" s="3246"/>
      <c r="V122" s="3246"/>
      <c r="W122" s="3246"/>
      <c r="X122" s="3246"/>
      <c r="Y122" s="3246"/>
      <c r="Z122" s="3246"/>
      <c r="AA122" s="3246"/>
      <c r="AB122" s="3246"/>
      <c r="AC122" s="3246"/>
    </row>
    <row r="123" spans="1:29" ht="15" thickTop="1">
      <c r="A123" s="3436"/>
      <c r="B123" s="3354" t="s">
        <v>3145</v>
      </c>
      <c r="C123" s="3369"/>
      <c r="D123" s="3369"/>
      <c r="E123" s="3369"/>
      <c r="F123" s="3413"/>
      <c r="G123" s="3413"/>
      <c r="H123" s="3413"/>
      <c r="I123" s="3413"/>
      <c r="J123" s="3413"/>
      <c r="K123" s="3414"/>
      <c r="L123" s="3415"/>
      <c r="M123" s="3416"/>
      <c r="N123" s="3347"/>
      <c r="O123" s="3347"/>
      <c r="P123" s="3348"/>
      <c r="Q123" s="3312"/>
      <c r="R123" s="3246"/>
      <c r="S123" s="3246"/>
      <c r="T123" s="3246"/>
      <c r="U123" s="3246"/>
      <c r="V123" s="3246"/>
      <c r="W123" s="3246"/>
      <c r="X123" s="3246"/>
      <c r="Y123" s="3246"/>
      <c r="Z123" s="3246"/>
      <c r="AA123" s="3246"/>
      <c r="AB123" s="3246"/>
      <c r="AC123" s="3246"/>
    </row>
    <row r="124" spans="1:29" ht="15.75" thickBot="1">
      <c r="A124" s="3349"/>
      <c r="B124" s="3359"/>
      <c r="C124" s="3360">
        <v>100</v>
      </c>
      <c r="D124" s="3360">
        <f t="shared" ref="D124:M124" si="27">C124-$K42</f>
        <v>100</v>
      </c>
      <c r="E124" s="3360">
        <f t="shared" si="27"/>
        <v>100</v>
      </c>
      <c r="F124" s="3360">
        <f t="shared" si="27"/>
        <v>100</v>
      </c>
      <c r="G124" s="3360">
        <f t="shared" si="27"/>
        <v>100</v>
      </c>
      <c r="H124" s="3360">
        <f t="shared" si="27"/>
        <v>100</v>
      </c>
      <c r="I124" s="3360">
        <f t="shared" si="27"/>
        <v>100</v>
      </c>
      <c r="J124" s="3360">
        <f t="shared" si="27"/>
        <v>100</v>
      </c>
      <c r="K124" s="3360">
        <f t="shared" si="27"/>
        <v>100</v>
      </c>
      <c r="L124" s="3360">
        <f t="shared" si="27"/>
        <v>100</v>
      </c>
      <c r="M124" s="3361">
        <f t="shared" si="27"/>
        <v>100</v>
      </c>
      <c r="N124" s="3353"/>
      <c r="O124" s="3353"/>
      <c r="P124" s="3348"/>
      <c r="Q124" s="3312"/>
      <c r="R124" s="3246"/>
      <c r="S124" s="3246"/>
      <c r="T124" s="3246"/>
      <c r="U124" s="3246"/>
      <c r="V124" s="3246"/>
      <c r="W124" s="3246"/>
      <c r="X124" s="3246"/>
      <c r="Y124" s="3246"/>
      <c r="Z124" s="3246"/>
      <c r="AA124" s="3246"/>
      <c r="AB124" s="3246"/>
      <c r="AC124" s="3246"/>
    </row>
    <row r="125" spans="1:29" s="3219" customFormat="1" ht="15" thickTop="1">
      <c r="A125" s="3423"/>
      <c r="B125" s="3404" t="s">
        <v>3146</v>
      </c>
      <c r="C125" s="3370"/>
      <c r="D125" s="3370"/>
      <c r="E125" s="3370"/>
      <c r="F125" s="3370"/>
      <c r="G125" s="3370"/>
      <c r="H125" s="3413"/>
      <c r="I125" s="3413"/>
      <c r="J125" s="3413"/>
      <c r="K125" s="3414"/>
      <c r="L125" s="3415"/>
      <c r="M125" s="3416"/>
      <c r="N125" s="3375"/>
      <c r="O125" s="3375"/>
      <c r="P125" s="3376"/>
      <c r="Q125" s="3377"/>
      <c r="R125" s="3378"/>
      <c r="S125" s="3378"/>
      <c r="T125" s="3378"/>
      <c r="U125" s="3378"/>
      <c r="V125" s="3378"/>
      <c r="W125" s="3378"/>
      <c r="X125" s="3378"/>
      <c r="Y125" s="3378"/>
      <c r="Z125" s="3378"/>
      <c r="AA125" s="3378"/>
      <c r="AB125" s="3378"/>
      <c r="AC125" s="3378"/>
    </row>
    <row r="126" spans="1:29" s="3219" customFormat="1" ht="15.75" thickBot="1">
      <c r="A126" s="3368"/>
      <c r="B126" s="3359"/>
      <c r="C126" s="3360">
        <v>100</v>
      </c>
      <c r="D126" s="3360">
        <f>C126-$K43</f>
        <v>100</v>
      </c>
      <c r="E126" s="3360">
        <f t="shared" ref="E126:M126" si="28">D126-$K43</f>
        <v>100</v>
      </c>
      <c r="F126" s="3360">
        <f t="shared" si="28"/>
        <v>100</v>
      </c>
      <c r="G126" s="3360">
        <f t="shared" si="28"/>
        <v>100</v>
      </c>
      <c r="H126" s="3360">
        <f t="shared" si="28"/>
        <v>100</v>
      </c>
      <c r="I126" s="3360">
        <f t="shared" si="28"/>
        <v>100</v>
      </c>
      <c r="J126" s="3360">
        <f t="shared" si="28"/>
        <v>100</v>
      </c>
      <c r="K126" s="3360">
        <f t="shared" si="28"/>
        <v>100</v>
      </c>
      <c r="L126" s="3360">
        <f t="shared" si="28"/>
        <v>100</v>
      </c>
      <c r="M126" s="3361">
        <f t="shared" si="28"/>
        <v>100</v>
      </c>
      <c r="N126" s="3375"/>
      <c r="O126" s="3375"/>
      <c r="P126" s="3376"/>
      <c r="Q126" s="3377"/>
      <c r="R126" s="3378"/>
      <c r="S126" s="3378"/>
      <c r="T126" s="3378"/>
      <c r="U126" s="3378"/>
      <c r="V126" s="3378"/>
      <c r="W126" s="3378"/>
      <c r="X126" s="3378"/>
      <c r="Y126" s="3378"/>
      <c r="Z126" s="3378"/>
      <c r="AA126" s="3378"/>
      <c r="AB126" s="3378"/>
      <c r="AC126" s="3378"/>
    </row>
    <row r="127" spans="1:29" ht="15" thickTop="1">
      <c r="A127" s="3436"/>
      <c r="B127" s="3354" t="s">
        <v>3147</v>
      </c>
      <c r="C127" s="3369"/>
      <c r="D127" s="3369"/>
      <c r="E127" s="3413"/>
      <c r="F127" s="3413"/>
      <c r="G127" s="3413"/>
      <c r="H127" s="3413"/>
      <c r="I127" s="3413"/>
      <c r="J127" s="3413"/>
      <c r="K127" s="3414"/>
      <c r="L127" s="3415"/>
      <c r="M127" s="3416"/>
      <c r="N127" s="3347"/>
      <c r="O127" s="3347"/>
      <c r="P127" s="3348"/>
      <c r="Q127" s="3312"/>
      <c r="R127" s="3246"/>
      <c r="S127" s="3246"/>
      <c r="T127" s="3246"/>
      <c r="U127" s="3246"/>
      <c r="V127" s="3246"/>
      <c r="W127" s="3246"/>
      <c r="X127" s="3246"/>
      <c r="Y127" s="3246"/>
      <c r="Z127" s="3246"/>
      <c r="AA127" s="3246"/>
      <c r="AB127" s="3246"/>
      <c r="AC127" s="3246"/>
    </row>
    <row r="128" spans="1:29" ht="15.75" thickBot="1">
      <c r="A128" s="3349"/>
      <c r="B128" s="3359"/>
      <c r="C128" s="3360">
        <v>100</v>
      </c>
      <c r="D128" s="3360">
        <f t="shared" ref="D128:M128" si="29">C128-$K44</f>
        <v>100</v>
      </c>
      <c r="E128" s="3360">
        <f t="shared" si="29"/>
        <v>100</v>
      </c>
      <c r="F128" s="3360">
        <f t="shared" si="29"/>
        <v>100</v>
      </c>
      <c r="G128" s="3360">
        <f t="shared" si="29"/>
        <v>100</v>
      </c>
      <c r="H128" s="3360">
        <f t="shared" si="29"/>
        <v>100</v>
      </c>
      <c r="I128" s="3360">
        <f t="shared" si="29"/>
        <v>100</v>
      </c>
      <c r="J128" s="3360">
        <f t="shared" si="29"/>
        <v>100</v>
      </c>
      <c r="K128" s="3360">
        <f t="shared" si="29"/>
        <v>100</v>
      </c>
      <c r="L128" s="3360">
        <f t="shared" si="29"/>
        <v>100</v>
      </c>
      <c r="M128" s="3361">
        <f t="shared" si="29"/>
        <v>100</v>
      </c>
      <c r="N128" s="3353"/>
      <c r="O128" s="3353"/>
      <c r="P128" s="3348"/>
      <c r="Q128" s="3312"/>
      <c r="R128" s="3246"/>
      <c r="S128" s="3246"/>
      <c r="T128" s="3246"/>
      <c r="U128" s="3246"/>
      <c r="V128" s="3246"/>
      <c r="W128" s="3246"/>
      <c r="X128" s="3246"/>
      <c r="Y128" s="3246"/>
      <c r="Z128" s="3246"/>
      <c r="AA128" s="3246"/>
      <c r="AB128" s="3246"/>
      <c r="AC128" s="3246"/>
    </row>
    <row r="129" spans="1:29" ht="15" thickTop="1">
      <c r="A129" s="3436"/>
      <c r="B129" s="3354">
        <f>B45</f>
        <v>111</v>
      </c>
      <c r="C129" s="3369"/>
      <c r="D129" s="3369"/>
      <c r="E129" s="3369"/>
      <c r="F129" s="3369"/>
      <c r="G129" s="3369"/>
      <c r="H129" s="3413"/>
      <c r="I129" s="3413"/>
      <c r="J129" s="3413"/>
      <c r="K129" s="3414"/>
      <c r="L129" s="3415"/>
      <c r="M129" s="3416"/>
      <c r="N129" s="3347"/>
      <c r="O129" s="3347"/>
      <c r="P129" s="3348"/>
      <c r="Q129" s="3312"/>
      <c r="R129" s="3246"/>
      <c r="S129" s="3246"/>
      <c r="T129" s="3246"/>
      <c r="U129" s="3246"/>
      <c r="V129" s="3246"/>
      <c r="W129" s="3246"/>
      <c r="X129" s="3246"/>
      <c r="Y129" s="3246"/>
      <c r="Z129" s="3246"/>
      <c r="AA129" s="3246"/>
      <c r="AB129" s="3246"/>
      <c r="AC129" s="3246"/>
    </row>
    <row r="130" spans="1:29" ht="15.75" thickBot="1">
      <c r="A130" s="3349"/>
      <c r="B130" s="3359"/>
      <c r="C130" s="3379"/>
      <c r="D130" s="3379"/>
      <c r="E130" s="3379"/>
      <c r="F130" s="3379"/>
      <c r="G130" s="3351"/>
      <c r="H130" s="3351"/>
      <c r="I130" s="3351"/>
      <c r="J130" s="3351"/>
      <c r="K130" s="3351"/>
      <c r="L130" s="3351"/>
      <c r="M130" s="3352"/>
      <c r="N130" s="3353"/>
      <c r="O130" s="3353"/>
      <c r="P130" s="3348"/>
      <c r="Q130" s="3312"/>
      <c r="R130" s="3246"/>
      <c r="S130" s="3246"/>
      <c r="T130" s="3246"/>
      <c r="U130" s="3246"/>
      <c r="V130" s="3246"/>
      <c r="W130" s="3246"/>
      <c r="X130" s="3246"/>
      <c r="Y130" s="3246"/>
      <c r="Z130" s="3246"/>
      <c r="AA130" s="3246"/>
      <c r="AB130" s="3246"/>
      <c r="AC130" s="3246"/>
    </row>
    <row r="131" spans="1:29" ht="15" thickTop="1">
      <c r="A131" s="3436"/>
      <c r="B131" s="3354">
        <f>B46</f>
        <v>111</v>
      </c>
      <c r="C131" s="3335"/>
      <c r="D131" s="3335"/>
      <c r="E131" s="3335"/>
      <c r="F131" s="3335"/>
      <c r="G131" s="3413"/>
      <c r="H131" s="3413"/>
      <c r="I131" s="3413"/>
      <c r="J131" s="3413"/>
      <c r="K131" s="3414"/>
      <c r="L131" s="3415"/>
      <c r="M131" s="3416"/>
      <c r="N131" s="3347"/>
      <c r="O131" s="3347"/>
      <c r="P131" s="3348"/>
      <c r="Q131" s="3312"/>
      <c r="R131" s="3246"/>
      <c r="S131" s="3246"/>
      <c r="T131" s="3246"/>
      <c r="U131" s="3246"/>
      <c r="V131" s="3246"/>
      <c r="W131" s="3246"/>
      <c r="X131" s="3246"/>
      <c r="Y131" s="3246"/>
      <c r="Z131" s="3246"/>
      <c r="AA131" s="3246"/>
      <c r="AB131" s="3246"/>
      <c r="AC131" s="3246"/>
    </row>
    <row r="132" spans="1:29" ht="15.75" thickBot="1">
      <c r="A132" s="3349"/>
      <c r="B132" s="3359"/>
      <c r="C132" s="3390"/>
      <c r="D132" s="3390"/>
      <c r="E132" s="3390"/>
      <c r="F132" s="3390"/>
      <c r="G132" s="3351"/>
      <c r="H132" s="3351"/>
      <c r="I132" s="3351"/>
      <c r="J132" s="3351"/>
      <c r="K132" s="3351"/>
      <c r="L132" s="3351"/>
      <c r="M132" s="3352"/>
      <c r="N132" s="3353"/>
      <c r="O132" s="3353"/>
      <c r="P132" s="3348"/>
      <c r="Q132" s="3312"/>
      <c r="R132" s="3246"/>
      <c r="S132" s="3246"/>
      <c r="T132" s="3246"/>
      <c r="U132" s="3246"/>
      <c r="V132" s="3246"/>
      <c r="W132" s="3246"/>
      <c r="X132" s="3246"/>
      <c r="Y132" s="3246"/>
      <c r="Z132" s="3246"/>
      <c r="AA132" s="3246"/>
      <c r="AB132" s="3246"/>
      <c r="AC132" s="3246"/>
    </row>
    <row r="133" spans="1:29" s="3219" customFormat="1" ht="15" thickTop="1">
      <c r="A133" s="3423"/>
      <c r="B133" s="3354">
        <f>B47</f>
        <v>111</v>
      </c>
      <c r="C133" s="3335"/>
      <c r="D133" s="3335"/>
      <c r="E133" s="3335"/>
      <c r="F133" s="3335"/>
      <c r="G133" s="3372"/>
      <c r="H133" s="3372"/>
      <c r="I133" s="3372"/>
      <c r="J133" s="3372"/>
      <c r="K133" s="3372"/>
      <c r="L133" s="3373"/>
      <c r="M133" s="3374"/>
      <c r="N133" s="3375"/>
      <c r="O133" s="3375"/>
      <c r="P133" s="3376"/>
      <c r="Q133" s="3377"/>
      <c r="R133" s="3378"/>
      <c r="S133" s="3378"/>
      <c r="T133" s="3378"/>
      <c r="U133" s="3378"/>
      <c r="V133" s="3378"/>
      <c r="W133" s="3378"/>
      <c r="X133" s="3378"/>
      <c r="Y133" s="3378"/>
      <c r="Z133" s="3378"/>
      <c r="AA133" s="3378"/>
      <c r="AB133" s="3378"/>
      <c r="AC133" s="3378"/>
    </row>
    <row r="134" spans="1:29" s="3219" customFormat="1" ht="15.75" thickBot="1">
      <c r="A134" s="3388"/>
      <c r="B134" s="3438"/>
      <c r="C134" s="3390"/>
      <c r="D134" s="3390"/>
      <c r="E134" s="3390"/>
      <c r="F134" s="3390"/>
      <c r="G134" s="3421"/>
      <c r="H134" s="3421"/>
      <c r="I134" s="3421"/>
      <c r="J134" s="3421"/>
      <c r="K134" s="3421"/>
      <c r="L134" s="3421"/>
      <c r="M134" s="3422"/>
      <c r="N134" s="3375"/>
      <c r="O134" s="3375"/>
      <c r="P134" s="3376"/>
      <c r="Q134" s="3377"/>
      <c r="R134" s="3378"/>
      <c r="S134" s="3378"/>
      <c r="T134" s="3378"/>
      <c r="U134" s="3378"/>
      <c r="V134" s="3378"/>
      <c r="W134" s="3378"/>
      <c r="X134" s="3378"/>
      <c r="Y134" s="3378"/>
      <c r="Z134" s="3378"/>
      <c r="AA134" s="3378"/>
      <c r="AB134" s="3378"/>
      <c r="AC134" s="3378"/>
    </row>
    <row r="135" spans="1:29" s="3442" customFormat="1">
      <c r="A135" s="3439"/>
      <c r="B135" s="3439"/>
      <c r="C135" s="3439"/>
      <c r="D135" s="3439"/>
      <c r="E135" s="3439"/>
      <c r="F135" s="3439"/>
      <c r="G135" s="3439"/>
      <c r="H135" s="3439"/>
      <c r="I135" s="3439"/>
      <c r="J135" s="3439"/>
      <c r="K135" s="3440"/>
      <c r="L135" s="3441"/>
      <c r="M135" s="3439"/>
      <c r="N135" s="3439"/>
      <c r="O135" s="3439"/>
      <c r="P135" s="3439"/>
      <c r="Q135" s="3439"/>
      <c r="R135" s="3439"/>
      <c r="S135" s="3439"/>
      <c r="T135" s="3439"/>
      <c r="U135" s="3439"/>
      <c r="V135" s="3439"/>
      <c r="W135" s="3439"/>
      <c r="X135" s="3439"/>
      <c r="Y135" s="3439"/>
      <c r="Z135" s="3439"/>
      <c r="AA135" s="3439"/>
      <c r="AB135" s="3439"/>
      <c r="AC135" s="3439"/>
    </row>
    <row r="136" spans="1:29" s="3442" customFormat="1">
      <c r="A136" s="3439"/>
      <c r="B136" s="3439"/>
      <c r="C136" s="3439"/>
      <c r="D136" s="3439"/>
      <c r="E136" s="3439"/>
      <c r="F136" s="3439"/>
      <c r="G136" s="3439"/>
      <c r="H136" s="3439"/>
      <c r="I136" s="3439"/>
      <c r="J136" s="3439"/>
      <c r="K136" s="3440"/>
      <c r="L136" s="3441"/>
      <c r="M136" s="3439"/>
      <c r="N136" s="3439"/>
      <c r="O136" s="3439"/>
      <c r="P136" s="3439"/>
      <c r="Q136" s="3439"/>
      <c r="R136" s="3439"/>
      <c r="S136" s="3439"/>
      <c r="T136" s="3439"/>
      <c r="U136" s="3439"/>
      <c r="V136" s="3439"/>
      <c r="W136" s="3439"/>
      <c r="X136" s="3439"/>
      <c r="Y136" s="3439"/>
      <c r="Z136" s="3439"/>
      <c r="AA136" s="3439"/>
      <c r="AB136" s="3439"/>
      <c r="AC136" s="3439"/>
    </row>
    <row r="137" spans="1:29" s="3442" customFormat="1">
      <c r="A137" s="3439"/>
      <c r="B137" s="3439"/>
      <c r="C137" s="3439"/>
      <c r="D137" s="3439"/>
      <c r="E137" s="3439"/>
      <c r="F137" s="3439"/>
      <c r="G137" s="3439"/>
      <c r="H137" s="3439"/>
      <c r="I137" s="3439"/>
      <c r="J137" s="3439"/>
      <c r="K137" s="3440"/>
      <c r="L137" s="3441"/>
      <c r="M137" s="3439"/>
      <c r="N137" s="3439"/>
      <c r="O137" s="3439"/>
      <c r="P137" s="3439"/>
      <c r="Q137" s="3439"/>
      <c r="R137" s="3439"/>
      <c r="S137" s="3439"/>
      <c r="T137" s="3439"/>
      <c r="U137" s="3439"/>
      <c r="V137" s="3439"/>
      <c r="W137" s="3439"/>
      <c r="X137" s="3439"/>
      <c r="Y137" s="3439"/>
      <c r="Z137" s="3439"/>
      <c r="AA137" s="3439"/>
      <c r="AB137" s="3439"/>
      <c r="AC137" s="3439"/>
    </row>
    <row r="138" spans="1:29" s="3442" customFormat="1">
      <c r="A138" s="3439"/>
      <c r="B138" s="3439"/>
      <c r="C138" s="3439"/>
      <c r="D138" s="3439"/>
      <c r="E138" s="3439"/>
      <c r="F138" s="3439"/>
      <c r="G138" s="3439"/>
      <c r="H138" s="3439"/>
      <c r="I138" s="3439"/>
      <c r="J138" s="3439"/>
      <c r="K138" s="3440"/>
      <c r="L138" s="3441"/>
      <c r="M138" s="3439"/>
      <c r="N138" s="3439"/>
      <c r="O138" s="3439"/>
      <c r="P138" s="3439"/>
      <c r="Q138" s="3439"/>
      <c r="R138" s="3439"/>
      <c r="S138" s="3439"/>
      <c r="T138" s="3439"/>
      <c r="U138" s="3439"/>
      <c r="V138" s="3439"/>
      <c r="W138" s="3439"/>
      <c r="X138" s="3439"/>
      <c r="Y138" s="3439"/>
      <c r="Z138" s="3439"/>
      <c r="AA138" s="3439"/>
      <c r="AB138" s="3439"/>
      <c r="AC138" s="3439"/>
    </row>
    <row r="139" spans="1:29" s="3442" customFormat="1">
      <c r="A139" s="3439"/>
      <c r="B139" s="3439"/>
      <c r="C139" s="3439"/>
      <c r="D139" s="3439"/>
      <c r="E139" s="3439"/>
      <c r="F139" s="3439"/>
      <c r="G139" s="3439"/>
      <c r="H139" s="3439"/>
      <c r="I139" s="3439"/>
      <c r="J139" s="3439"/>
      <c r="K139" s="3440"/>
      <c r="L139" s="3441"/>
      <c r="M139" s="3439"/>
      <c r="N139" s="3439"/>
      <c r="O139" s="3439"/>
      <c r="P139" s="3439"/>
      <c r="Q139" s="3439"/>
      <c r="R139" s="3439"/>
      <c r="S139" s="3439"/>
      <c r="T139" s="3439"/>
      <c r="U139" s="3439"/>
      <c r="V139" s="3439"/>
      <c r="W139" s="3439"/>
      <c r="X139" s="3439"/>
      <c r="Y139" s="3439"/>
      <c r="Z139" s="3439"/>
      <c r="AA139" s="3439"/>
      <c r="AB139" s="3439"/>
      <c r="AC139" s="3439"/>
    </row>
    <row r="140" spans="1:29" s="3442" customFormat="1">
      <c r="A140" s="3439"/>
      <c r="B140" s="3439"/>
      <c r="C140" s="3439"/>
      <c r="D140" s="3439"/>
      <c r="E140" s="3439"/>
      <c r="F140" s="3439"/>
      <c r="G140" s="3439"/>
      <c r="H140" s="3439"/>
      <c r="I140" s="3439"/>
      <c r="J140" s="3439"/>
      <c r="K140" s="3440"/>
      <c r="L140" s="3441"/>
      <c r="M140" s="3439"/>
      <c r="N140" s="3439"/>
      <c r="O140" s="3439"/>
      <c r="P140" s="3439"/>
      <c r="Q140" s="3439"/>
      <c r="R140" s="3439"/>
      <c r="S140" s="3439"/>
      <c r="T140" s="3439"/>
      <c r="U140" s="3439"/>
      <c r="V140" s="3439"/>
      <c r="W140" s="3439"/>
      <c r="X140" s="3439"/>
      <c r="Y140" s="3439"/>
      <c r="Z140" s="3439"/>
      <c r="AA140" s="3439"/>
      <c r="AB140" s="3439"/>
      <c r="AC140" s="3439"/>
    </row>
    <row r="141" spans="1:29" s="3442" customFormat="1">
      <c r="A141" s="3439"/>
      <c r="B141" s="3439"/>
      <c r="C141" s="3439"/>
      <c r="D141" s="3439"/>
      <c r="E141" s="3439"/>
      <c r="F141" s="3439"/>
      <c r="G141" s="3439"/>
      <c r="H141" s="3439"/>
      <c r="I141" s="3439"/>
      <c r="J141" s="3439"/>
      <c r="K141" s="3440"/>
      <c r="L141" s="3441"/>
      <c r="M141" s="3439"/>
      <c r="N141" s="3439"/>
      <c r="O141" s="3439"/>
      <c r="P141" s="3439"/>
      <c r="Q141" s="3439"/>
      <c r="R141" s="3439"/>
      <c r="S141" s="3439"/>
      <c r="T141" s="3439"/>
      <c r="U141" s="3439"/>
      <c r="V141" s="3439"/>
      <c r="W141" s="3439"/>
      <c r="X141" s="3439"/>
      <c r="Y141" s="3439"/>
      <c r="Z141" s="3439"/>
      <c r="AA141" s="3439"/>
      <c r="AB141" s="3439"/>
      <c r="AC141" s="3439"/>
    </row>
    <row r="142" spans="1:29" s="3442" customFormat="1">
      <c r="A142" s="3439"/>
      <c r="B142" s="3439"/>
      <c r="C142" s="3439"/>
      <c r="D142" s="3439"/>
      <c r="E142" s="3439"/>
      <c r="F142" s="3439"/>
      <c r="G142" s="3439"/>
      <c r="H142" s="3439"/>
      <c r="I142" s="3439"/>
      <c r="J142" s="3439"/>
      <c r="K142" s="3440"/>
      <c r="L142" s="3441"/>
      <c r="M142" s="3439"/>
      <c r="N142" s="3439"/>
      <c r="O142" s="3439"/>
      <c r="P142" s="3439"/>
      <c r="Q142" s="3439"/>
      <c r="R142" s="3439"/>
      <c r="S142" s="3439"/>
      <c r="T142" s="3439"/>
      <c r="U142" s="3439"/>
      <c r="V142" s="3439"/>
      <c r="W142" s="3439"/>
      <c r="X142" s="3439"/>
      <c r="Y142" s="3439"/>
      <c r="Z142" s="3439"/>
      <c r="AA142" s="3439"/>
      <c r="AB142" s="3439"/>
      <c r="AC142" s="3439"/>
    </row>
    <row r="143" spans="1:29" s="3442" customFormat="1">
      <c r="A143" s="3439"/>
      <c r="B143" s="3439"/>
      <c r="C143" s="3439"/>
      <c r="D143" s="3439"/>
      <c r="E143" s="3439"/>
      <c r="F143" s="3439"/>
      <c r="G143" s="3439"/>
      <c r="H143" s="3439"/>
      <c r="I143" s="3439"/>
      <c r="J143" s="3439"/>
      <c r="K143" s="3440"/>
      <c r="L143" s="3441"/>
      <c r="M143" s="3439"/>
      <c r="N143" s="3439"/>
      <c r="O143" s="3439"/>
      <c r="P143" s="3439"/>
      <c r="Q143" s="3439"/>
      <c r="R143" s="3439"/>
      <c r="S143" s="3439"/>
      <c r="T143" s="3439"/>
      <c r="U143" s="3439"/>
      <c r="V143" s="3439"/>
      <c r="W143" s="3439"/>
      <c r="X143" s="3439"/>
      <c r="Y143" s="3439"/>
      <c r="Z143" s="3439"/>
      <c r="AA143" s="3439"/>
      <c r="AB143" s="3439"/>
      <c r="AC143" s="3439"/>
    </row>
    <row r="144" spans="1:29" s="3442" customFormat="1">
      <c r="A144" s="3439"/>
      <c r="B144" s="3439"/>
      <c r="C144" s="3439"/>
      <c r="D144" s="3439"/>
      <c r="E144" s="3439"/>
      <c r="F144" s="3439"/>
      <c r="G144" s="3439"/>
      <c r="H144" s="3439"/>
      <c r="I144" s="3439"/>
      <c r="J144" s="3439"/>
      <c r="K144" s="3440"/>
      <c r="L144" s="3441"/>
      <c r="M144" s="3439"/>
      <c r="N144" s="3439"/>
      <c r="O144" s="3439"/>
      <c r="P144" s="3439"/>
      <c r="Q144" s="3439"/>
      <c r="R144" s="3439"/>
      <c r="S144" s="3439"/>
      <c r="T144" s="3439"/>
      <c r="U144" s="3439"/>
      <c r="V144" s="3439"/>
      <c r="W144" s="3439"/>
      <c r="X144" s="3439"/>
      <c r="Y144" s="3439"/>
      <c r="Z144" s="3439"/>
      <c r="AA144" s="3439"/>
      <c r="AB144" s="3439"/>
      <c r="AC144" s="3439"/>
    </row>
    <row r="145" spans="1:29" s="3442" customFormat="1">
      <c r="A145" s="3439"/>
      <c r="B145" s="3439"/>
      <c r="C145" s="3439"/>
      <c r="D145" s="3439"/>
      <c r="E145" s="3439"/>
      <c r="F145" s="3439"/>
      <c r="G145" s="3439"/>
      <c r="H145" s="3439"/>
      <c r="I145" s="3439"/>
      <c r="J145" s="3439"/>
      <c r="K145" s="3440"/>
      <c r="L145" s="3441"/>
      <c r="M145" s="3439"/>
      <c r="N145" s="3439"/>
      <c r="O145" s="3439"/>
      <c r="P145" s="3439"/>
      <c r="Q145" s="3439"/>
      <c r="R145" s="3439"/>
      <c r="S145" s="3439"/>
      <c r="T145" s="3439"/>
      <c r="U145" s="3439"/>
      <c r="V145" s="3439"/>
      <c r="W145" s="3439"/>
      <c r="X145" s="3439"/>
      <c r="Y145" s="3439"/>
      <c r="Z145" s="3439"/>
      <c r="AA145" s="3439"/>
      <c r="AB145" s="3439"/>
      <c r="AC145" s="3439"/>
    </row>
    <row r="146" spans="1:29" s="3442" customFormat="1">
      <c r="A146" s="3439"/>
      <c r="B146" s="3439"/>
      <c r="C146" s="3439"/>
      <c r="D146" s="3439"/>
      <c r="E146" s="3439"/>
      <c r="F146" s="3439"/>
      <c r="G146" s="3439"/>
      <c r="H146" s="3439"/>
      <c r="I146" s="3439"/>
      <c r="J146" s="3439"/>
      <c r="K146" s="3440"/>
      <c r="L146" s="3441"/>
      <c r="M146" s="3439"/>
      <c r="N146" s="3439"/>
      <c r="O146" s="3439"/>
      <c r="P146" s="3439"/>
      <c r="Q146" s="3439"/>
      <c r="R146" s="3439"/>
      <c r="S146" s="3439"/>
      <c r="T146" s="3439"/>
      <c r="U146" s="3439"/>
      <c r="V146" s="3439"/>
      <c r="W146" s="3439"/>
      <c r="X146" s="3439"/>
      <c r="Y146" s="3439"/>
      <c r="Z146" s="3439"/>
      <c r="AA146" s="3439"/>
      <c r="AB146" s="3439"/>
      <c r="AC146" s="3439"/>
    </row>
    <row r="147" spans="1:29" s="3442" customFormat="1">
      <c r="A147" s="3439"/>
      <c r="B147" s="3439"/>
      <c r="C147" s="3439"/>
      <c r="D147" s="3439"/>
      <c r="E147" s="3439"/>
      <c r="F147" s="3439"/>
      <c r="G147" s="3439"/>
      <c r="H147" s="3439"/>
      <c r="I147" s="3439"/>
      <c r="J147" s="3439"/>
      <c r="K147" s="3440"/>
      <c r="L147" s="3441"/>
      <c r="M147" s="3439"/>
      <c r="N147" s="3439"/>
      <c r="O147" s="3439"/>
      <c r="P147" s="3439"/>
      <c r="Q147" s="3439"/>
      <c r="R147" s="3439"/>
      <c r="S147" s="3439"/>
      <c r="T147" s="3439"/>
      <c r="U147" s="3439"/>
      <c r="V147" s="3439"/>
      <c r="W147" s="3439"/>
      <c r="X147" s="3439"/>
      <c r="Y147" s="3439"/>
      <c r="Z147" s="3439"/>
      <c r="AA147" s="3439"/>
      <c r="AB147" s="3439"/>
      <c r="AC147" s="3439"/>
    </row>
    <row r="148" spans="1:29" s="3442" customFormat="1">
      <c r="A148" s="3439"/>
      <c r="B148" s="3439"/>
      <c r="C148" s="3439"/>
      <c r="D148" s="3439"/>
      <c r="E148" s="3439"/>
      <c r="F148" s="3439"/>
      <c r="G148" s="3439"/>
      <c r="H148" s="3439"/>
      <c r="I148" s="3439"/>
      <c r="J148" s="3439"/>
      <c r="K148" s="3440"/>
      <c r="L148" s="3441"/>
      <c r="M148" s="3439"/>
      <c r="N148" s="3439"/>
      <c r="O148" s="3439"/>
      <c r="P148" s="3439"/>
      <c r="Q148" s="3439"/>
      <c r="R148" s="3439"/>
      <c r="S148" s="3439"/>
      <c r="T148" s="3439"/>
      <c r="U148" s="3439"/>
      <c r="V148" s="3439"/>
      <c r="W148" s="3439"/>
      <c r="X148" s="3439"/>
      <c r="Y148" s="3439"/>
      <c r="Z148" s="3439"/>
      <c r="AA148" s="3439"/>
      <c r="AB148" s="3439"/>
      <c r="AC148" s="3439"/>
    </row>
    <row r="149" spans="1:29" s="3442" customFormat="1">
      <c r="A149" s="3439"/>
      <c r="B149" s="3439"/>
      <c r="C149" s="3439"/>
      <c r="D149" s="3439"/>
      <c r="E149" s="3439"/>
      <c r="F149" s="3439"/>
      <c r="G149" s="3439"/>
      <c r="H149" s="3439"/>
      <c r="I149" s="3439"/>
      <c r="J149" s="3439"/>
      <c r="K149" s="3440"/>
      <c r="L149" s="3441"/>
      <c r="M149" s="3439"/>
      <c r="N149" s="3439"/>
      <c r="O149" s="3439"/>
      <c r="P149" s="3439"/>
      <c r="Q149" s="3439"/>
      <c r="R149" s="3439"/>
      <c r="S149" s="3439"/>
      <c r="T149" s="3439"/>
      <c r="U149" s="3439"/>
      <c r="V149" s="3439"/>
      <c r="W149" s="3439"/>
      <c r="X149" s="3439"/>
      <c r="Y149" s="3439"/>
      <c r="Z149" s="3439"/>
      <c r="AA149" s="3439"/>
      <c r="AB149" s="3439"/>
      <c r="AC149" s="3439"/>
    </row>
    <row r="150" spans="1:29" s="3442" customFormat="1">
      <c r="A150" s="3439"/>
      <c r="B150" s="3439"/>
      <c r="C150" s="3439"/>
      <c r="D150" s="3439"/>
      <c r="E150" s="3439"/>
      <c r="F150" s="3439"/>
      <c r="G150" s="3439"/>
      <c r="H150" s="3439"/>
      <c r="I150" s="3439"/>
      <c r="J150" s="3439"/>
      <c r="K150" s="3440"/>
      <c r="L150" s="3441"/>
      <c r="M150" s="3439"/>
      <c r="N150" s="3439"/>
      <c r="O150" s="3439"/>
      <c r="P150" s="3439"/>
      <c r="Q150" s="3439"/>
      <c r="R150" s="3439"/>
      <c r="S150" s="3439"/>
      <c r="T150" s="3439"/>
      <c r="U150" s="3439"/>
      <c r="V150" s="3439"/>
      <c r="W150" s="3439"/>
      <c r="X150" s="3439"/>
      <c r="Y150" s="3439"/>
      <c r="Z150" s="3439"/>
      <c r="AA150" s="3439"/>
      <c r="AB150" s="3439"/>
      <c r="AC150" s="3439"/>
    </row>
    <row r="151" spans="1:29" s="3442" customFormat="1">
      <c r="A151" s="3439"/>
      <c r="B151" s="3439"/>
      <c r="C151" s="3439"/>
      <c r="D151" s="3439"/>
      <c r="E151" s="3439"/>
      <c r="F151" s="3439"/>
      <c r="G151" s="3439"/>
      <c r="H151" s="3439"/>
      <c r="I151" s="3439"/>
      <c r="J151" s="3439"/>
      <c r="K151" s="3440"/>
      <c r="L151" s="3441"/>
      <c r="M151" s="3439"/>
      <c r="N151" s="3439"/>
      <c r="O151" s="3439"/>
      <c r="P151" s="3439"/>
      <c r="Q151" s="3439"/>
      <c r="R151" s="3439"/>
      <c r="S151" s="3439"/>
      <c r="T151" s="3439"/>
      <c r="U151" s="3439"/>
      <c r="V151" s="3439"/>
      <c r="W151" s="3439"/>
      <c r="X151" s="3439"/>
      <c r="Y151" s="3439"/>
      <c r="Z151" s="3439"/>
      <c r="AA151" s="3439"/>
      <c r="AB151" s="3439"/>
      <c r="AC151" s="3439"/>
    </row>
    <row r="152" spans="1:29" s="3442" customFormat="1">
      <c r="A152" s="3439"/>
      <c r="B152" s="3439"/>
      <c r="C152" s="3439"/>
      <c r="D152" s="3439"/>
      <c r="E152" s="3439"/>
      <c r="F152" s="3439"/>
      <c r="G152" s="3439"/>
      <c r="H152" s="3439"/>
      <c r="I152" s="3439"/>
      <c r="J152" s="3439"/>
      <c r="K152" s="3440"/>
      <c r="L152" s="3441"/>
      <c r="M152" s="3439"/>
      <c r="N152" s="3439"/>
      <c r="O152" s="3439"/>
      <c r="P152" s="3439"/>
      <c r="Q152" s="3439"/>
      <c r="R152" s="3439"/>
      <c r="S152" s="3439"/>
      <c r="T152" s="3439"/>
      <c r="U152" s="3439"/>
      <c r="V152" s="3439"/>
      <c r="W152" s="3439"/>
      <c r="X152" s="3439"/>
      <c r="Y152" s="3439"/>
      <c r="Z152" s="3439"/>
      <c r="AA152" s="3439"/>
      <c r="AB152" s="3439"/>
      <c r="AC152" s="3439"/>
    </row>
    <row r="153" spans="1:29" s="3442" customFormat="1">
      <c r="A153" s="3439"/>
      <c r="B153" s="3439"/>
      <c r="C153" s="3439"/>
      <c r="D153" s="3439"/>
      <c r="E153" s="3439"/>
      <c r="F153" s="3439"/>
      <c r="G153" s="3439"/>
      <c r="H153" s="3439"/>
      <c r="I153" s="3439"/>
      <c r="J153" s="3439"/>
      <c r="K153" s="3440"/>
      <c r="L153" s="3441"/>
      <c r="M153" s="3439"/>
      <c r="N153" s="3439"/>
      <c r="O153" s="3439"/>
      <c r="P153" s="3439"/>
      <c r="Q153" s="3439"/>
      <c r="R153" s="3439"/>
      <c r="S153" s="3439"/>
      <c r="T153" s="3439"/>
      <c r="U153" s="3439"/>
      <c r="V153" s="3439"/>
      <c r="W153" s="3439"/>
      <c r="X153" s="3439"/>
      <c r="Y153" s="3439"/>
      <c r="Z153" s="3439"/>
      <c r="AA153" s="3439"/>
      <c r="AB153" s="3439"/>
      <c r="AC153" s="3439"/>
    </row>
    <row r="154" spans="1:29" s="3442" customFormat="1">
      <c r="A154" s="3439"/>
      <c r="B154" s="3439"/>
      <c r="C154" s="3439"/>
      <c r="D154" s="3439"/>
      <c r="E154" s="3439"/>
      <c r="F154" s="3439"/>
      <c r="G154" s="3439"/>
      <c r="H154" s="3439"/>
      <c r="I154" s="3439"/>
      <c r="J154" s="3439"/>
      <c r="K154" s="3440"/>
      <c r="L154" s="3441"/>
      <c r="M154" s="3439"/>
      <c r="N154" s="3439"/>
      <c r="O154" s="3439"/>
      <c r="P154" s="3439"/>
      <c r="Q154" s="3439"/>
      <c r="R154" s="3439"/>
      <c r="S154" s="3439"/>
      <c r="T154" s="3439"/>
      <c r="U154" s="3439"/>
      <c r="V154" s="3439"/>
      <c r="W154" s="3439"/>
      <c r="X154" s="3439"/>
      <c r="Y154" s="3439"/>
      <c r="Z154" s="3439"/>
      <c r="AA154" s="3439"/>
      <c r="AB154" s="3439"/>
      <c r="AC154" s="3439"/>
    </row>
    <row r="155" spans="1:29" s="3442" customFormat="1">
      <c r="A155" s="3439"/>
      <c r="B155" s="3439"/>
      <c r="C155" s="3439"/>
      <c r="D155" s="3439"/>
      <c r="E155" s="3439"/>
      <c r="F155" s="3439"/>
      <c r="G155" s="3439"/>
      <c r="H155" s="3439"/>
      <c r="I155" s="3439"/>
      <c r="J155" s="3439"/>
      <c r="K155" s="3440"/>
      <c r="L155" s="3441"/>
      <c r="M155" s="3439"/>
      <c r="N155" s="3439"/>
      <c r="O155" s="3439"/>
      <c r="P155" s="3439"/>
      <c r="Q155" s="3439"/>
      <c r="R155" s="3439"/>
      <c r="S155" s="3439"/>
      <c r="T155" s="3439"/>
      <c r="U155" s="3439"/>
      <c r="V155" s="3439"/>
      <c r="W155" s="3439"/>
      <c r="X155" s="3439"/>
      <c r="Y155" s="3439"/>
      <c r="Z155" s="3439"/>
      <c r="AA155" s="3439"/>
      <c r="AB155" s="3439"/>
      <c r="AC155" s="3439"/>
    </row>
    <row r="156" spans="1:29" s="3442" customFormat="1">
      <c r="A156" s="3439"/>
      <c r="B156" s="3439"/>
      <c r="C156" s="3439"/>
      <c r="D156" s="3439"/>
      <c r="E156" s="3439"/>
      <c r="F156" s="3439"/>
      <c r="G156" s="3439"/>
      <c r="H156" s="3439"/>
      <c r="I156" s="3439"/>
      <c r="J156" s="3439"/>
      <c r="K156" s="3440"/>
      <c r="L156" s="3441"/>
      <c r="M156" s="3439"/>
      <c r="N156" s="3439"/>
      <c r="O156" s="3439"/>
      <c r="P156" s="3439"/>
      <c r="Q156" s="3439"/>
      <c r="R156" s="3439"/>
      <c r="S156" s="3439"/>
      <c r="T156" s="3439"/>
      <c r="U156" s="3439"/>
      <c r="V156" s="3439"/>
      <c r="W156" s="3439"/>
      <c r="X156" s="3439"/>
      <c r="Y156" s="3439"/>
      <c r="Z156" s="3439"/>
      <c r="AA156" s="3439"/>
      <c r="AB156" s="3439"/>
      <c r="AC156" s="3439"/>
    </row>
    <row r="157" spans="1:29" s="3442" customFormat="1">
      <c r="A157" s="3439"/>
      <c r="B157" s="3439"/>
      <c r="C157" s="3439"/>
      <c r="D157" s="3439"/>
      <c r="E157" s="3439"/>
      <c r="F157" s="3439"/>
      <c r="G157" s="3439"/>
      <c r="H157" s="3439"/>
      <c r="I157" s="3439"/>
      <c r="J157" s="3439"/>
      <c r="K157" s="3440"/>
      <c r="L157" s="3441"/>
      <c r="M157" s="3439"/>
      <c r="N157" s="3439"/>
      <c r="O157" s="3439"/>
      <c r="P157" s="3439"/>
      <c r="Q157" s="3439"/>
      <c r="R157" s="3439"/>
      <c r="S157" s="3439"/>
      <c r="T157" s="3439"/>
      <c r="U157" s="3439"/>
      <c r="V157" s="3439"/>
      <c r="W157" s="3439"/>
      <c r="X157" s="3439"/>
      <c r="Y157" s="3439"/>
      <c r="Z157" s="3439"/>
      <c r="AA157" s="3439"/>
      <c r="AB157" s="3439"/>
      <c r="AC157" s="3439"/>
    </row>
    <row r="158" spans="1:29" s="3442" customFormat="1">
      <c r="A158" s="3439"/>
      <c r="B158" s="3439"/>
      <c r="C158" s="3439"/>
      <c r="D158" s="3439"/>
      <c r="E158" s="3439"/>
      <c r="F158" s="3439"/>
      <c r="G158" s="3439"/>
      <c r="H158" s="3439"/>
      <c r="I158" s="3439"/>
      <c r="J158" s="3439"/>
      <c r="K158" s="3440"/>
      <c r="L158" s="3441"/>
      <c r="M158" s="3439"/>
      <c r="N158" s="3439"/>
      <c r="O158" s="3439"/>
      <c r="P158" s="3439"/>
      <c r="Q158" s="3439"/>
      <c r="R158" s="3439"/>
      <c r="S158" s="3439"/>
      <c r="T158" s="3439"/>
      <c r="U158" s="3439"/>
      <c r="V158" s="3439"/>
      <c r="W158" s="3439"/>
      <c r="X158" s="3439"/>
      <c r="Y158" s="3439"/>
      <c r="Z158" s="3439"/>
      <c r="AA158" s="3439"/>
      <c r="AB158" s="3439"/>
      <c r="AC158" s="3439"/>
    </row>
    <row r="159" spans="1:29" s="3442" customFormat="1">
      <c r="A159" s="3439"/>
      <c r="B159" s="3439"/>
      <c r="C159" s="3439"/>
      <c r="D159" s="3439"/>
      <c r="E159" s="3439"/>
      <c r="F159" s="3439"/>
      <c r="G159" s="3439"/>
      <c r="H159" s="3439"/>
      <c r="I159" s="3439"/>
      <c r="J159" s="3439"/>
      <c r="K159" s="3440"/>
      <c r="L159" s="3441"/>
      <c r="M159" s="3439"/>
      <c r="N159" s="3439"/>
      <c r="O159" s="3439"/>
      <c r="P159" s="3439"/>
      <c r="Q159" s="3439"/>
      <c r="R159" s="3439"/>
      <c r="S159" s="3439"/>
      <c r="T159" s="3439"/>
      <c r="U159" s="3439"/>
      <c r="V159" s="3439"/>
      <c r="W159" s="3439"/>
      <c r="X159" s="3439"/>
      <c r="Y159" s="3439"/>
      <c r="Z159" s="3439"/>
      <c r="AA159" s="3439"/>
      <c r="AB159" s="3439"/>
      <c r="AC159" s="3439"/>
    </row>
    <row r="160" spans="1:29" s="3442" customFormat="1">
      <c r="A160" s="3439"/>
      <c r="B160" s="3439"/>
      <c r="C160" s="3439"/>
      <c r="D160" s="3439"/>
      <c r="E160" s="3439"/>
      <c r="F160" s="3439"/>
      <c r="G160" s="3439"/>
      <c r="H160" s="3439"/>
      <c r="I160" s="3439"/>
      <c r="J160" s="3439"/>
      <c r="K160" s="3440"/>
      <c r="L160" s="3441"/>
      <c r="M160" s="3439"/>
      <c r="N160" s="3439"/>
      <c r="O160" s="3439"/>
      <c r="P160" s="3439"/>
      <c r="Q160" s="3439"/>
      <c r="R160" s="3439"/>
      <c r="S160" s="3439"/>
      <c r="T160" s="3439"/>
      <c r="U160" s="3439"/>
      <c r="V160" s="3439"/>
      <c r="W160" s="3439"/>
      <c r="X160" s="3439"/>
      <c r="Y160" s="3439"/>
      <c r="Z160" s="3439"/>
      <c r="AA160" s="3439"/>
      <c r="AB160" s="3439"/>
      <c r="AC160" s="3439"/>
    </row>
    <row r="161" spans="1:29" s="3442" customFormat="1">
      <c r="A161" s="3439"/>
      <c r="B161" s="3439"/>
      <c r="C161" s="3439"/>
      <c r="D161" s="3439"/>
      <c r="E161" s="3439"/>
      <c r="F161" s="3439"/>
      <c r="G161" s="3439"/>
      <c r="H161" s="3439"/>
      <c r="I161" s="3439"/>
      <c r="J161" s="3439"/>
      <c r="K161" s="3440"/>
      <c r="L161" s="3441"/>
      <c r="M161" s="3439"/>
      <c r="N161" s="3439"/>
      <c r="O161" s="3439"/>
      <c r="P161" s="3439"/>
      <c r="Q161" s="3439"/>
      <c r="R161" s="3439"/>
      <c r="S161" s="3439"/>
      <c r="T161" s="3439"/>
      <c r="U161" s="3439"/>
      <c r="V161" s="3439"/>
      <c r="W161" s="3439"/>
      <c r="X161" s="3439"/>
      <c r="Y161" s="3439"/>
      <c r="Z161" s="3439"/>
      <c r="AA161" s="3439"/>
      <c r="AB161" s="3439"/>
      <c r="AC161" s="3439"/>
    </row>
    <row r="162" spans="1:29" s="3442" customFormat="1">
      <c r="A162" s="3439"/>
      <c r="B162" s="3439"/>
      <c r="C162" s="3439"/>
      <c r="D162" s="3439"/>
      <c r="E162" s="3439"/>
      <c r="F162" s="3439"/>
      <c r="G162" s="3439"/>
      <c r="H162" s="3439"/>
      <c r="I162" s="3439"/>
      <c r="J162" s="3439"/>
      <c r="K162" s="3440"/>
      <c r="L162" s="3441"/>
      <c r="M162" s="3439"/>
      <c r="N162" s="3439"/>
      <c r="O162" s="3439"/>
      <c r="P162" s="3439"/>
      <c r="Q162" s="3439"/>
      <c r="R162" s="3439"/>
      <c r="S162" s="3439"/>
      <c r="T162" s="3439"/>
      <c r="U162" s="3439"/>
      <c r="V162" s="3439"/>
      <c r="W162" s="3439"/>
      <c r="X162" s="3439"/>
      <c r="Y162" s="3439"/>
      <c r="Z162" s="3439"/>
      <c r="AA162" s="3439"/>
      <c r="AB162" s="3439"/>
      <c r="AC162" s="3439"/>
    </row>
    <row r="163" spans="1:29" s="3442" customFormat="1">
      <c r="A163" s="3439"/>
      <c r="B163" s="3439"/>
      <c r="C163" s="3439"/>
      <c r="D163" s="3439"/>
      <c r="E163" s="3439"/>
      <c r="F163" s="3439"/>
      <c r="G163" s="3439"/>
      <c r="H163" s="3439"/>
      <c r="I163" s="3439"/>
      <c r="J163" s="3439"/>
      <c r="K163" s="3440"/>
      <c r="L163" s="3441"/>
      <c r="M163" s="3439"/>
      <c r="N163" s="3439"/>
      <c r="O163" s="3439"/>
      <c r="P163" s="3439"/>
      <c r="Q163" s="3439"/>
      <c r="R163" s="3439"/>
      <c r="S163" s="3439"/>
      <c r="T163" s="3439"/>
      <c r="U163" s="3439"/>
      <c r="V163" s="3439"/>
      <c r="W163" s="3439"/>
      <c r="X163" s="3439"/>
      <c r="Y163" s="3439"/>
      <c r="Z163" s="3439"/>
      <c r="AA163" s="3439"/>
      <c r="AB163" s="3439"/>
      <c r="AC163" s="3439"/>
    </row>
    <row r="164" spans="1:29" s="3442" customFormat="1">
      <c r="A164" s="3439"/>
      <c r="B164" s="3439"/>
      <c r="C164" s="3439"/>
      <c r="D164" s="3439"/>
      <c r="E164" s="3439"/>
      <c r="F164" s="3439"/>
      <c r="G164" s="3439"/>
      <c r="H164" s="3439"/>
      <c r="I164" s="3439"/>
      <c r="J164" s="3439"/>
      <c r="K164" s="3440"/>
      <c r="L164" s="3441"/>
      <c r="M164" s="3439"/>
      <c r="N164" s="3439"/>
      <c r="O164" s="3439"/>
      <c r="P164" s="3439"/>
      <c r="Q164" s="3439"/>
      <c r="R164" s="3439"/>
      <c r="S164" s="3439"/>
      <c r="T164" s="3439"/>
      <c r="U164" s="3439"/>
      <c r="V164" s="3439"/>
      <c r="W164" s="3439"/>
      <c r="X164" s="3439"/>
      <c r="Y164" s="3439"/>
      <c r="Z164" s="3439"/>
      <c r="AA164" s="3439"/>
      <c r="AB164" s="3439"/>
      <c r="AC164" s="3439"/>
    </row>
    <row r="165" spans="1:29" s="3442" customFormat="1">
      <c r="A165" s="3439"/>
      <c r="B165" s="3439"/>
      <c r="C165" s="3439"/>
      <c r="D165" s="3439"/>
      <c r="E165" s="3439"/>
      <c r="F165" s="3439"/>
      <c r="G165" s="3439"/>
      <c r="H165" s="3439"/>
      <c r="I165" s="3439"/>
      <c r="J165" s="3439"/>
      <c r="K165" s="3440"/>
      <c r="L165" s="3441"/>
      <c r="M165" s="3439"/>
      <c r="N165" s="3439"/>
      <c r="O165" s="3439"/>
      <c r="P165" s="3439"/>
      <c r="Q165" s="3439"/>
      <c r="R165" s="3439"/>
      <c r="S165" s="3439"/>
      <c r="T165" s="3439"/>
      <c r="U165" s="3439"/>
      <c r="V165" s="3439"/>
      <c r="W165" s="3439"/>
      <c r="X165" s="3439"/>
      <c r="Y165" s="3439"/>
      <c r="Z165" s="3439"/>
      <c r="AA165" s="3439"/>
      <c r="AB165" s="3439"/>
      <c r="AC165" s="3439"/>
    </row>
    <row r="166" spans="1:29" s="3442" customFormat="1">
      <c r="A166" s="3439"/>
      <c r="B166" s="3439"/>
      <c r="C166" s="3439"/>
      <c r="D166" s="3439"/>
      <c r="E166" s="3439"/>
      <c r="F166" s="3439"/>
      <c r="G166" s="3439"/>
      <c r="H166" s="3439"/>
      <c r="I166" s="3439"/>
      <c r="J166" s="3439"/>
      <c r="K166" s="3440"/>
      <c r="L166" s="3441"/>
      <c r="M166" s="3439"/>
      <c r="N166" s="3439"/>
      <c r="O166" s="3439"/>
      <c r="P166" s="3439"/>
      <c r="Q166" s="3439"/>
      <c r="R166" s="3439"/>
      <c r="S166" s="3439"/>
      <c r="T166" s="3439"/>
      <c r="U166" s="3439"/>
      <c r="V166" s="3439"/>
      <c r="W166" s="3439"/>
      <c r="X166" s="3439"/>
      <c r="Y166" s="3439"/>
      <c r="Z166" s="3439"/>
      <c r="AA166" s="3439"/>
      <c r="AB166" s="3439"/>
      <c r="AC166" s="3439"/>
    </row>
    <row r="167" spans="1:29" s="3442" customFormat="1">
      <c r="A167" s="3439"/>
      <c r="B167" s="3439"/>
      <c r="C167" s="3439"/>
      <c r="D167" s="3439"/>
      <c r="E167" s="3439"/>
      <c r="F167" s="3439"/>
      <c r="G167" s="3439"/>
      <c r="H167" s="3439"/>
      <c r="I167" s="3439"/>
      <c r="J167" s="3439"/>
      <c r="K167" s="3440"/>
      <c r="L167" s="3441"/>
      <c r="M167" s="3439"/>
      <c r="N167" s="3439"/>
      <c r="O167" s="3439"/>
      <c r="P167" s="3439"/>
      <c r="Q167" s="3439"/>
      <c r="R167" s="3439"/>
      <c r="S167" s="3439"/>
      <c r="T167" s="3439"/>
      <c r="U167" s="3439"/>
      <c r="V167" s="3439"/>
      <c r="W167" s="3439"/>
      <c r="X167" s="3439"/>
      <c r="Y167" s="3439"/>
      <c r="Z167" s="3439"/>
      <c r="AA167" s="3439"/>
      <c r="AB167" s="3439"/>
      <c r="AC167" s="3439"/>
    </row>
    <row r="168" spans="1:29" s="3442" customFormat="1">
      <c r="A168" s="3439"/>
      <c r="B168" s="3439"/>
      <c r="C168" s="3439"/>
      <c r="D168" s="3439"/>
      <c r="E168" s="3439"/>
      <c r="F168" s="3439"/>
      <c r="G168" s="3439"/>
      <c r="H168" s="3439"/>
      <c r="I168" s="3439"/>
      <c r="J168" s="3439"/>
      <c r="K168" s="3440"/>
      <c r="L168" s="3441"/>
      <c r="M168" s="3439"/>
      <c r="N168" s="3439"/>
      <c r="O168" s="3439"/>
      <c r="P168" s="3439"/>
      <c r="Q168" s="3439"/>
      <c r="R168" s="3439"/>
      <c r="S168" s="3439"/>
      <c r="T168" s="3439"/>
      <c r="U168" s="3439"/>
      <c r="V168" s="3439"/>
      <c r="W168" s="3439"/>
      <c r="X168" s="3439"/>
      <c r="Y168" s="3439"/>
      <c r="Z168" s="3439"/>
      <c r="AA168" s="3439"/>
      <c r="AB168" s="3439"/>
      <c r="AC168" s="3439"/>
    </row>
    <row r="169" spans="1:29" s="3442" customFormat="1">
      <c r="A169" s="3439"/>
      <c r="B169" s="3439"/>
      <c r="C169" s="3439"/>
      <c r="D169" s="3439"/>
      <c r="E169" s="3439"/>
      <c r="F169" s="3439"/>
      <c r="G169" s="3439"/>
      <c r="H169" s="3439"/>
      <c r="I169" s="3439"/>
      <c r="J169" s="3439"/>
      <c r="K169" s="3440"/>
      <c r="L169" s="3441"/>
      <c r="M169" s="3439"/>
      <c r="N169" s="3439"/>
      <c r="O169" s="3439"/>
      <c r="P169" s="3439"/>
      <c r="Q169" s="3439"/>
      <c r="R169" s="3439"/>
      <c r="S169" s="3439"/>
      <c r="T169" s="3439"/>
      <c r="U169" s="3439"/>
      <c r="V169" s="3439"/>
      <c r="W169" s="3439"/>
      <c r="X169" s="3439"/>
      <c r="Y169" s="3439"/>
      <c r="Z169" s="3439"/>
      <c r="AA169" s="3439"/>
      <c r="AB169" s="3439"/>
      <c r="AC169" s="3439"/>
    </row>
    <row r="170" spans="1:29" s="3442" customFormat="1">
      <c r="A170" s="3439"/>
      <c r="B170" s="3439"/>
      <c r="C170" s="3439"/>
      <c r="D170" s="3439"/>
      <c r="E170" s="3439"/>
      <c r="F170" s="3439"/>
      <c r="G170" s="3439"/>
      <c r="H170" s="3439"/>
      <c r="I170" s="3439"/>
      <c r="J170" s="3439"/>
      <c r="K170" s="3440"/>
      <c r="L170" s="3441"/>
      <c r="M170" s="3439"/>
      <c r="N170" s="3439"/>
      <c r="O170" s="3439"/>
      <c r="P170" s="3439"/>
      <c r="Q170" s="3439"/>
      <c r="R170" s="3439"/>
      <c r="S170" s="3439"/>
      <c r="T170" s="3439"/>
      <c r="U170" s="3439"/>
      <c r="V170" s="3439"/>
      <c r="W170" s="3439"/>
      <c r="X170" s="3439"/>
      <c r="Y170" s="3439"/>
      <c r="Z170" s="3439"/>
      <c r="AA170" s="3439"/>
      <c r="AB170" s="3439"/>
      <c r="AC170" s="3439"/>
    </row>
    <row r="171" spans="1:29" s="3442" customFormat="1">
      <c r="A171" s="3439"/>
      <c r="B171" s="3439"/>
      <c r="C171" s="3439"/>
      <c r="D171" s="3439"/>
      <c r="E171" s="3439"/>
      <c r="F171" s="3439"/>
      <c r="G171" s="3439"/>
      <c r="H171" s="3439"/>
      <c r="I171" s="3439"/>
      <c r="J171" s="3439"/>
      <c r="K171" s="3440"/>
      <c r="L171" s="3441"/>
      <c r="M171" s="3439"/>
      <c r="N171" s="3439"/>
      <c r="O171" s="3439"/>
      <c r="P171" s="3439"/>
      <c r="Q171" s="3439"/>
      <c r="R171" s="3439"/>
      <c r="S171" s="3439"/>
      <c r="T171" s="3439"/>
      <c r="U171" s="3439"/>
      <c r="V171" s="3439"/>
      <c r="W171" s="3439"/>
      <c r="X171" s="3439"/>
      <c r="Y171" s="3439"/>
      <c r="Z171" s="3439"/>
      <c r="AA171" s="3439"/>
      <c r="AB171" s="3439"/>
      <c r="AC171" s="3439"/>
    </row>
    <row r="172" spans="1:29" s="3442" customFormat="1">
      <c r="A172" s="3439"/>
      <c r="B172" s="3439"/>
      <c r="C172" s="3439"/>
      <c r="D172" s="3439"/>
      <c r="E172" s="3439"/>
      <c r="F172" s="3439"/>
      <c r="G172" s="3439"/>
      <c r="H172" s="3439"/>
      <c r="I172" s="3439"/>
      <c r="J172" s="3439"/>
      <c r="K172" s="3440"/>
      <c r="L172" s="3441"/>
      <c r="M172" s="3439"/>
      <c r="N172" s="3439"/>
      <c r="O172" s="3439"/>
      <c r="P172" s="3439"/>
      <c r="Q172" s="3439"/>
      <c r="R172" s="3439"/>
      <c r="S172" s="3439"/>
      <c r="T172" s="3439"/>
      <c r="U172" s="3439"/>
      <c r="V172" s="3439"/>
      <c r="W172" s="3439"/>
      <c r="X172" s="3439"/>
      <c r="Y172" s="3439"/>
      <c r="Z172" s="3439"/>
      <c r="AA172" s="3439"/>
      <c r="AB172" s="3439"/>
      <c r="AC172" s="3439"/>
    </row>
    <row r="173" spans="1:29" s="3442" customFormat="1">
      <c r="A173" s="3439"/>
      <c r="B173" s="3439"/>
      <c r="C173" s="3439"/>
      <c r="D173" s="3439"/>
      <c r="E173" s="3439"/>
      <c r="F173" s="3439"/>
      <c r="G173" s="3439"/>
      <c r="H173" s="3439"/>
      <c r="I173" s="3439"/>
      <c r="J173" s="3439"/>
      <c r="K173" s="3440"/>
      <c r="L173" s="3441"/>
      <c r="M173" s="3439"/>
      <c r="N173" s="3439"/>
      <c r="O173" s="3439"/>
      <c r="P173" s="3439"/>
      <c r="Q173" s="3439"/>
      <c r="R173" s="3439"/>
      <c r="S173" s="3439"/>
      <c r="T173" s="3439"/>
      <c r="U173" s="3439"/>
      <c r="V173" s="3439"/>
      <c r="W173" s="3439"/>
      <c r="X173" s="3439"/>
      <c r="Y173" s="3439"/>
      <c r="Z173" s="3439"/>
      <c r="AA173" s="3439"/>
      <c r="AB173" s="3439"/>
      <c r="AC173" s="3439"/>
    </row>
    <row r="174" spans="1:29" s="3442" customFormat="1">
      <c r="A174" s="3439"/>
      <c r="B174" s="3439"/>
      <c r="C174" s="3439"/>
      <c r="D174" s="3439"/>
      <c r="E174" s="3439"/>
      <c r="F174" s="3439"/>
      <c r="G174" s="3439"/>
      <c r="H174" s="3439"/>
      <c r="I174" s="3439"/>
      <c r="J174" s="3439"/>
      <c r="K174" s="3440"/>
      <c r="L174" s="3441"/>
      <c r="M174" s="3439"/>
      <c r="N174" s="3439"/>
      <c r="O174" s="3439"/>
      <c r="P174" s="3439"/>
      <c r="Q174" s="3439"/>
      <c r="R174" s="3439"/>
      <c r="S174" s="3439"/>
      <c r="T174" s="3439"/>
      <c r="U174" s="3439"/>
      <c r="V174" s="3439"/>
      <c r="W174" s="3439"/>
      <c r="X174" s="3439"/>
      <c r="Y174" s="3439"/>
      <c r="Z174" s="3439"/>
      <c r="AA174" s="3439"/>
      <c r="AB174" s="3439"/>
      <c r="AC174" s="3439"/>
    </row>
    <row r="175" spans="1:29" s="3442" customFormat="1">
      <c r="A175" s="3439"/>
      <c r="B175" s="3439"/>
      <c r="C175" s="3439"/>
      <c r="D175" s="3439"/>
      <c r="E175" s="3439"/>
      <c r="F175" s="3439"/>
      <c r="G175" s="3439"/>
      <c r="H175" s="3439"/>
      <c r="I175" s="3439"/>
      <c r="J175" s="3439"/>
      <c r="K175" s="3440"/>
      <c r="L175" s="3441"/>
      <c r="M175" s="3439"/>
      <c r="N175" s="3439"/>
      <c r="O175" s="3439"/>
      <c r="P175" s="3439"/>
      <c r="Q175" s="3439"/>
      <c r="R175" s="3439"/>
      <c r="S175" s="3439"/>
      <c r="T175" s="3439"/>
      <c r="U175" s="3439"/>
      <c r="V175" s="3439"/>
      <c r="W175" s="3439"/>
      <c r="X175" s="3439"/>
      <c r="Y175" s="3439"/>
      <c r="Z175" s="3439"/>
      <c r="AA175" s="3439"/>
      <c r="AB175" s="3439"/>
      <c r="AC175" s="3439"/>
    </row>
    <row r="176" spans="1:29" s="3442" customFormat="1">
      <c r="A176" s="3439"/>
      <c r="B176" s="3439"/>
      <c r="C176" s="3439"/>
      <c r="D176" s="3439"/>
      <c r="E176" s="3439"/>
      <c r="F176" s="3439"/>
      <c r="G176" s="3439"/>
      <c r="H176" s="3439"/>
      <c r="I176" s="3439"/>
      <c r="J176" s="3439"/>
      <c r="K176" s="3440"/>
      <c r="L176" s="3441"/>
      <c r="M176" s="3439"/>
      <c r="N176" s="3439"/>
      <c r="O176" s="3439"/>
      <c r="P176" s="3439"/>
      <c r="Q176" s="3439"/>
      <c r="R176" s="3439"/>
      <c r="S176" s="3439"/>
      <c r="T176" s="3439"/>
      <c r="U176" s="3439"/>
      <c r="V176" s="3439"/>
      <c r="W176" s="3439"/>
      <c r="X176" s="3439"/>
      <c r="Y176" s="3439"/>
      <c r="Z176" s="3439"/>
      <c r="AA176" s="3439"/>
      <c r="AB176" s="3439"/>
      <c r="AC176" s="3439"/>
    </row>
    <row r="177" spans="1:29" s="3442" customFormat="1">
      <c r="A177" s="3439"/>
      <c r="B177" s="3439"/>
      <c r="C177" s="3439"/>
      <c r="D177" s="3439"/>
      <c r="E177" s="3439"/>
      <c r="F177" s="3439"/>
      <c r="G177" s="3439"/>
      <c r="H177" s="3439"/>
      <c r="I177" s="3439"/>
      <c r="J177" s="3439"/>
      <c r="K177" s="3440"/>
      <c r="L177" s="3441"/>
      <c r="M177" s="3439"/>
      <c r="N177" s="3439"/>
      <c r="O177" s="3439"/>
      <c r="P177" s="3439"/>
      <c r="Q177" s="3439"/>
      <c r="R177" s="3439"/>
      <c r="S177" s="3439"/>
      <c r="T177" s="3439"/>
      <c r="U177" s="3439"/>
      <c r="V177" s="3439"/>
      <c r="W177" s="3439"/>
      <c r="X177" s="3439"/>
      <c r="Y177" s="3439"/>
      <c r="Z177" s="3439"/>
      <c r="AA177" s="3439"/>
      <c r="AB177" s="3439"/>
      <c r="AC177" s="3439"/>
    </row>
    <row r="178" spans="1:29" s="3442" customFormat="1">
      <c r="A178" s="3439"/>
      <c r="B178" s="3439"/>
      <c r="C178" s="3439"/>
      <c r="D178" s="3439"/>
      <c r="E178" s="3439"/>
      <c r="F178" s="3439"/>
      <c r="G178" s="3439"/>
      <c r="H178" s="3439"/>
      <c r="I178" s="3439"/>
      <c r="J178" s="3439"/>
      <c r="K178" s="3440"/>
      <c r="L178" s="3441"/>
      <c r="M178" s="3439"/>
      <c r="N178" s="3439"/>
      <c r="O178" s="3439"/>
      <c r="P178" s="3439"/>
      <c r="Q178" s="3439"/>
      <c r="R178" s="3439"/>
      <c r="S178" s="3439"/>
      <c r="T178" s="3439"/>
      <c r="U178" s="3439"/>
      <c r="V178" s="3439"/>
      <c r="W178" s="3439"/>
      <c r="X178" s="3439"/>
      <c r="Y178" s="3439"/>
      <c r="Z178" s="3439"/>
      <c r="AA178" s="3439"/>
      <c r="AB178" s="3439"/>
      <c r="AC178" s="3439"/>
    </row>
    <row r="179" spans="1:29" s="3442" customFormat="1">
      <c r="A179" s="3439"/>
      <c r="B179" s="3439"/>
      <c r="C179" s="3439"/>
      <c r="D179" s="3439"/>
      <c r="E179" s="3439"/>
      <c r="F179" s="3439"/>
      <c r="G179" s="3439"/>
      <c r="H179" s="3439"/>
      <c r="I179" s="3439"/>
      <c r="J179" s="3439"/>
      <c r="K179" s="3440"/>
      <c r="L179" s="3441"/>
      <c r="M179" s="3439"/>
      <c r="N179" s="3439"/>
      <c r="O179" s="3439"/>
      <c r="P179" s="3439"/>
      <c r="Q179" s="3439"/>
      <c r="R179" s="3439"/>
      <c r="S179" s="3439"/>
      <c r="T179" s="3439"/>
      <c r="U179" s="3439"/>
      <c r="V179" s="3439"/>
      <c r="W179" s="3439"/>
      <c r="X179" s="3439"/>
      <c r="Y179" s="3439"/>
      <c r="Z179" s="3439"/>
      <c r="AA179" s="3439"/>
      <c r="AB179" s="3439"/>
      <c r="AC179" s="3439"/>
    </row>
    <row r="180" spans="1:29" s="3442" customFormat="1">
      <c r="A180" s="3439"/>
      <c r="B180" s="3439"/>
      <c r="C180" s="3439"/>
      <c r="D180" s="3439"/>
      <c r="E180" s="3439"/>
      <c r="F180" s="3439"/>
      <c r="G180" s="3439"/>
      <c r="H180" s="3439"/>
      <c r="I180" s="3439"/>
      <c r="J180" s="3439"/>
      <c r="K180" s="3440"/>
      <c r="L180" s="3441"/>
      <c r="M180" s="3439"/>
      <c r="N180" s="3439"/>
      <c r="O180" s="3439"/>
      <c r="P180" s="3439"/>
      <c r="Q180" s="3439"/>
      <c r="R180" s="3439"/>
      <c r="S180" s="3439"/>
      <c r="T180" s="3439"/>
      <c r="U180" s="3439"/>
      <c r="V180" s="3439"/>
      <c r="W180" s="3439"/>
      <c r="X180" s="3439"/>
      <c r="Y180" s="3439"/>
      <c r="Z180" s="3439"/>
      <c r="AA180" s="3439"/>
      <c r="AB180" s="3439"/>
      <c r="AC180" s="3439"/>
    </row>
    <row r="181" spans="1:29" s="3442" customFormat="1">
      <c r="A181" s="3439"/>
      <c r="B181" s="3439"/>
      <c r="C181" s="3439"/>
      <c r="D181" s="3439"/>
      <c r="E181" s="3439"/>
      <c r="F181" s="3439"/>
      <c r="G181" s="3439"/>
      <c r="H181" s="3439"/>
      <c r="I181" s="3439"/>
      <c r="J181" s="3439"/>
      <c r="K181" s="3440"/>
      <c r="L181" s="3441"/>
      <c r="M181" s="3439"/>
      <c r="N181" s="3439"/>
      <c r="O181" s="3439"/>
      <c r="P181" s="3439"/>
      <c r="Q181" s="3439"/>
      <c r="R181" s="3439"/>
      <c r="S181" s="3439"/>
      <c r="T181" s="3439"/>
      <c r="U181" s="3439"/>
      <c r="V181" s="3439"/>
      <c r="W181" s="3439"/>
      <c r="X181" s="3439"/>
      <c r="Y181" s="3439"/>
      <c r="Z181" s="3439"/>
      <c r="AA181" s="3439"/>
      <c r="AB181" s="3439"/>
      <c r="AC181" s="3439"/>
    </row>
    <row r="182" spans="1:29" s="3442" customFormat="1">
      <c r="A182" s="3439"/>
      <c r="B182" s="3439"/>
      <c r="C182" s="3439"/>
      <c r="D182" s="3439"/>
      <c r="E182" s="3439"/>
      <c r="F182" s="3439"/>
      <c r="G182" s="3439"/>
      <c r="H182" s="3439"/>
      <c r="I182" s="3439"/>
      <c r="J182" s="3439"/>
      <c r="K182" s="3440"/>
      <c r="L182" s="3441"/>
      <c r="M182" s="3439"/>
      <c r="N182" s="3439"/>
      <c r="O182" s="3439"/>
      <c r="P182" s="3439"/>
      <c r="Q182" s="3439"/>
      <c r="R182" s="3439"/>
      <c r="S182" s="3439"/>
      <c r="T182" s="3439"/>
      <c r="U182" s="3439"/>
      <c r="V182" s="3439"/>
      <c r="W182" s="3439"/>
      <c r="X182" s="3439"/>
      <c r="Y182" s="3439"/>
      <c r="Z182" s="3439"/>
      <c r="AA182" s="3439"/>
      <c r="AB182" s="3439"/>
      <c r="AC182" s="3439"/>
    </row>
    <row r="183" spans="1:29" s="3442" customFormat="1">
      <c r="A183" s="3439"/>
      <c r="B183" s="3439"/>
      <c r="C183" s="3439"/>
      <c r="D183" s="3439"/>
      <c r="E183" s="3439"/>
      <c r="F183" s="3439"/>
      <c r="G183" s="3439"/>
      <c r="H183" s="3439"/>
      <c r="I183" s="3439"/>
      <c r="J183" s="3439"/>
      <c r="K183" s="3440"/>
      <c r="L183" s="3441"/>
      <c r="M183" s="3439"/>
      <c r="N183" s="3439"/>
      <c r="O183" s="3439"/>
      <c r="P183" s="3439"/>
      <c r="Q183" s="3439"/>
      <c r="R183" s="3439"/>
      <c r="S183" s="3439"/>
      <c r="T183" s="3439"/>
      <c r="U183" s="3439"/>
      <c r="V183" s="3439"/>
      <c r="W183" s="3439"/>
      <c r="X183" s="3439"/>
      <c r="Y183" s="3439"/>
      <c r="Z183" s="3439"/>
      <c r="AA183" s="3439"/>
      <c r="AB183" s="3439"/>
      <c r="AC183" s="3439"/>
    </row>
    <row r="184" spans="1:29" s="3442" customFormat="1">
      <c r="A184" s="3439"/>
      <c r="B184" s="3439"/>
      <c r="C184" s="3439"/>
      <c r="D184" s="3439"/>
      <c r="E184" s="3439"/>
      <c r="F184" s="3439"/>
      <c r="G184" s="3439"/>
      <c r="H184" s="3439"/>
      <c r="I184" s="3439"/>
      <c r="J184" s="3439"/>
      <c r="K184" s="3440"/>
      <c r="L184" s="3441"/>
      <c r="M184" s="3439"/>
      <c r="N184" s="3439"/>
      <c r="O184" s="3439"/>
      <c r="P184" s="3439"/>
      <c r="Q184" s="3439"/>
      <c r="R184" s="3439"/>
      <c r="S184" s="3439"/>
      <c r="T184" s="3439"/>
      <c r="U184" s="3439"/>
      <c r="V184" s="3439"/>
      <c r="W184" s="3439"/>
      <c r="X184" s="3439"/>
      <c r="Y184" s="3439"/>
      <c r="Z184" s="3439"/>
      <c r="AA184" s="3439"/>
      <c r="AB184" s="3439"/>
      <c r="AC184" s="3439"/>
    </row>
    <row r="185" spans="1:29" s="3442" customFormat="1">
      <c r="A185" s="3439"/>
      <c r="B185" s="3439"/>
      <c r="C185" s="3439"/>
      <c r="D185" s="3439"/>
      <c r="E185" s="3439"/>
      <c r="F185" s="3439"/>
      <c r="G185" s="3439"/>
      <c r="H185" s="3439"/>
      <c r="I185" s="3439"/>
      <c r="J185" s="3439"/>
      <c r="K185" s="3440"/>
      <c r="L185" s="3441"/>
      <c r="M185" s="3439"/>
      <c r="N185" s="3439"/>
      <c r="O185" s="3439"/>
      <c r="P185" s="3439"/>
      <c r="Q185" s="3439"/>
      <c r="R185" s="3439"/>
      <c r="S185" s="3439"/>
      <c r="T185" s="3439"/>
      <c r="U185" s="3439"/>
      <c r="V185" s="3439"/>
      <c r="W185" s="3439"/>
      <c r="X185" s="3439"/>
      <c r="Y185" s="3439"/>
      <c r="Z185" s="3439"/>
      <c r="AA185" s="3439"/>
      <c r="AB185" s="3439"/>
      <c r="AC185" s="3439"/>
    </row>
    <row r="186" spans="1:29" s="3442" customFormat="1">
      <c r="A186" s="3439"/>
      <c r="B186" s="3439"/>
      <c r="C186" s="3439"/>
      <c r="D186" s="3439"/>
      <c r="E186" s="3439"/>
      <c r="F186" s="3439"/>
      <c r="G186" s="3439"/>
      <c r="H186" s="3439"/>
      <c r="I186" s="3439"/>
      <c r="J186" s="3439"/>
      <c r="K186" s="3440"/>
      <c r="L186" s="3441"/>
      <c r="M186" s="3439"/>
      <c r="N186" s="3439"/>
      <c r="O186" s="3439"/>
      <c r="P186" s="3439"/>
      <c r="Q186" s="3439"/>
      <c r="R186" s="3439"/>
      <c r="S186" s="3439"/>
      <c r="T186" s="3439"/>
      <c r="U186" s="3439"/>
      <c r="V186" s="3439"/>
      <c r="W186" s="3439"/>
      <c r="X186" s="3439"/>
      <c r="Y186" s="3439"/>
      <c r="Z186" s="3439"/>
      <c r="AA186" s="3439"/>
      <c r="AB186" s="3439"/>
      <c r="AC186" s="3439"/>
    </row>
    <row r="187" spans="1:29" s="3442" customFormat="1">
      <c r="A187" s="3439"/>
      <c r="B187" s="3439"/>
      <c r="C187" s="3439"/>
      <c r="D187" s="3439"/>
      <c r="E187" s="3439"/>
      <c r="F187" s="3439"/>
      <c r="G187" s="3439"/>
      <c r="H187" s="3439"/>
      <c r="I187" s="3439"/>
      <c r="J187" s="3439"/>
      <c r="K187" s="3440"/>
      <c r="L187" s="3441"/>
      <c r="M187" s="3439"/>
      <c r="N187" s="3439"/>
      <c r="O187" s="3439"/>
      <c r="P187" s="3439"/>
      <c r="Q187" s="3439"/>
      <c r="R187" s="3439"/>
      <c r="S187" s="3439"/>
      <c r="T187" s="3439"/>
      <c r="U187" s="3439"/>
      <c r="V187" s="3439"/>
      <c r="W187" s="3439"/>
      <c r="X187" s="3439"/>
      <c r="Y187" s="3439"/>
      <c r="Z187" s="3439"/>
      <c r="AA187" s="3439"/>
      <c r="AB187" s="3439"/>
      <c r="AC187" s="3439"/>
    </row>
    <row r="188" spans="1:29" s="3442" customFormat="1">
      <c r="A188" s="3439"/>
      <c r="B188" s="3439"/>
      <c r="C188" s="3439"/>
      <c r="D188" s="3439"/>
      <c r="E188" s="3439"/>
      <c r="F188" s="3439"/>
      <c r="G188" s="3439"/>
      <c r="H188" s="3439"/>
      <c r="I188" s="3439"/>
      <c r="J188" s="3439"/>
      <c r="K188" s="3440"/>
      <c r="L188" s="3441"/>
      <c r="M188" s="3439"/>
      <c r="N188" s="3439"/>
      <c r="O188" s="3439"/>
      <c r="P188" s="3439"/>
      <c r="Q188" s="3439"/>
      <c r="R188" s="3439"/>
      <c r="S188" s="3439"/>
      <c r="T188" s="3439"/>
      <c r="U188" s="3439"/>
      <c r="V188" s="3439"/>
      <c r="W188" s="3439"/>
      <c r="X188" s="3439"/>
      <c r="Y188" s="3439"/>
      <c r="Z188" s="3439"/>
      <c r="AA188" s="3439"/>
      <c r="AB188" s="3439"/>
      <c r="AC188" s="3439"/>
    </row>
    <row r="189" spans="1:29" s="3442" customFormat="1">
      <c r="A189" s="3439"/>
      <c r="B189" s="3439"/>
      <c r="C189" s="3439"/>
      <c r="D189" s="3439"/>
      <c r="E189" s="3439"/>
      <c r="F189" s="3439"/>
      <c r="G189" s="3439"/>
      <c r="H189" s="3439"/>
      <c r="I189" s="3439"/>
      <c r="J189" s="3439"/>
      <c r="K189" s="3440"/>
      <c r="L189" s="3441"/>
      <c r="M189" s="3439"/>
      <c r="N189" s="3439"/>
      <c r="O189" s="3439"/>
      <c r="P189" s="3439"/>
      <c r="Q189" s="3439"/>
      <c r="R189" s="3439"/>
      <c r="S189" s="3439"/>
      <c r="T189" s="3439"/>
      <c r="U189" s="3439"/>
      <c r="V189" s="3439"/>
      <c r="W189" s="3439"/>
      <c r="X189" s="3439"/>
      <c r="Y189" s="3439"/>
      <c r="Z189" s="3439"/>
      <c r="AA189" s="3439"/>
      <c r="AB189" s="3439"/>
      <c r="AC189" s="3439"/>
    </row>
    <row r="190" spans="1:29" s="3442" customFormat="1">
      <c r="A190" s="3439"/>
      <c r="B190" s="3439"/>
      <c r="C190" s="3439"/>
      <c r="D190" s="3439"/>
      <c r="E190" s="3439"/>
      <c r="F190" s="3439"/>
      <c r="G190" s="3439"/>
      <c r="H190" s="3439"/>
      <c r="I190" s="3439"/>
      <c r="J190" s="3439"/>
      <c r="K190" s="3440"/>
      <c r="L190" s="3441"/>
      <c r="M190" s="3439"/>
      <c r="N190" s="3439"/>
      <c r="O190" s="3439"/>
      <c r="P190" s="3439"/>
      <c r="Q190" s="3439"/>
      <c r="R190" s="3439"/>
      <c r="S190" s="3439"/>
      <c r="T190" s="3439"/>
      <c r="U190" s="3439"/>
      <c r="V190" s="3439"/>
      <c r="W190" s="3439"/>
      <c r="X190" s="3439"/>
      <c r="Y190" s="3439"/>
      <c r="Z190" s="3439"/>
      <c r="AA190" s="3439"/>
      <c r="AB190" s="3439"/>
      <c r="AC190" s="3439"/>
    </row>
    <row r="191" spans="1:29" s="3442" customFormat="1">
      <c r="A191" s="3439"/>
      <c r="B191" s="3439"/>
      <c r="C191" s="3439"/>
      <c r="D191" s="3439"/>
      <c r="E191" s="3439"/>
      <c r="F191" s="3439"/>
      <c r="G191" s="3439"/>
      <c r="H191" s="3439"/>
      <c r="I191" s="3439"/>
      <c r="J191" s="3439"/>
      <c r="K191" s="3440"/>
      <c r="L191" s="3441"/>
      <c r="M191" s="3439"/>
      <c r="N191" s="3439"/>
      <c r="O191" s="3439"/>
      <c r="P191" s="3439"/>
      <c r="Q191" s="3439"/>
      <c r="R191" s="3439"/>
      <c r="S191" s="3439"/>
      <c r="T191" s="3439"/>
      <c r="U191" s="3439"/>
      <c r="V191" s="3439"/>
      <c r="W191" s="3439"/>
      <c r="X191" s="3439"/>
      <c r="Y191" s="3439"/>
      <c r="Z191" s="3439"/>
      <c r="AA191" s="3439"/>
      <c r="AB191" s="3439"/>
      <c r="AC191" s="3439"/>
    </row>
    <row r="192" spans="1:29" s="3442" customFormat="1">
      <c r="A192" s="3439"/>
      <c r="B192" s="3439"/>
      <c r="C192" s="3439"/>
      <c r="D192" s="3439"/>
      <c r="E192" s="3439"/>
      <c r="F192" s="3439"/>
      <c r="G192" s="3439"/>
      <c r="H192" s="3439"/>
      <c r="I192" s="3439"/>
      <c r="J192" s="3439"/>
      <c r="K192" s="3440"/>
      <c r="L192" s="3441"/>
      <c r="M192" s="3439"/>
      <c r="N192" s="3439"/>
      <c r="O192" s="3439"/>
      <c r="P192" s="3439"/>
      <c r="Q192" s="3439"/>
      <c r="R192" s="3439"/>
      <c r="S192" s="3439"/>
      <c r="T192" s="3439"/>
      <c r="U192" s="3439"/>
      <c r="V192" s="3439"/>
      <c r="W192" s="3439"/>
      <c r="X192" s="3439"/>
      <c r="Y192" s="3439"/>
      <c r="Z192" s="3439"/>
      <c r="AA192" s="3439"/>
      <c r="AB192" s="3439"/>
      <c r="AC192" s="3439"/>
    </row>
    <row r="193" spans="1:29" s="3442" customFormat="1">
      <c r="A193" s="3439"/>
      <c r="B193" s="3439"/>
      <c r="C193" s="3439"/>
      <c r="D193" s="3439"/>
      <c r="E193" s="3439"/>
      <c r="F193" s="3439"/>
      <c r="G193" s="3439"/>
      <c r="H193" s="3439"/>
      <c r="I193" s="3439"/>
      <c r="J193" s="3439"/>
      <c r="K193" s="3440"/>
      <c r="L193" s="3441"/>
      <c r="M193" s="3439"/>
      <c r="N193" s="3439"/>
      <c r="O193" s="3439"/>
      <c r="P193" s="3439"/>
      <c r="Q193" s="3439"/>
      <c r="R193" s="3439"/>
      <c r="S193" s="3439"/>
      <c r="T193" s="3439"/>
      <c r="U193" s="3439"/>
      <c r="V193" s="3439"/>
      <c r="W193" s="3439"/>
      <c r="X193" s="3439"/>
      <c r="Y193" s="3439"/>
      <c r="Z193" s="3439"/>
      <c r="AA193" s="3439"/>
      <c r="AB193" s="3439"/>
      <c r="AC193" s="3439"/>
    </row>
    <row r="194" spans="1:29" s="3442" customFormat="1">
      <c r="A194" s="3439"/>
      <c r="B194" s="3439"/>
      <c r="C194" s="3439"/>
      <c r="D194" s="3439"/>
      <c r="E194" s="3439"/>
      <c r="F194" s="3439"/>
      <c r="G194" s="3439"/>
      <c r="H194" s="3439"/>
      <c r="I194" s="3439"/>
      <c r="J194" s="3439"/>
      <c r="K194" s="3440"/>
      <c r="L194" s="3441"/>
      <c r="M194" s="3439"/>
      <c r="N194" s="3439"/>
      <c r="O194" s="3439"/>
      <c r="P194" s="3439"/>
      <c r="Q194" s="3439"/>
      <c r="R194" s="3439"/>
      <c r="S194" s="3439"/>
      <c r="T194" s="3439"/>
      <c r="U194" s="3439"/>
      <c r="V194" s="3439"/>
      <c r="W194" s="3439"/>
      <c r="X194" s="3439"/>
      <c r="Y194" s="3439"/>
      <c r="Z194" s="3439"/>
      <c r="AA194" s="3439"/>
      <c r="AB194" s="3439"/>
      <c r="AC194" s="3439"/>
    </row>
    <row r="195" spans="1:29" s="3442" customFormat="1">
      <c r="A195" s="3439"/>
      <c r="B195" s="3439"/>
      <c r="C195" s="3439"/>
      <c r="D195" s="3439"/>
      <c r="E195" s="3439"/>
      <c r="F195" s="3439"/>
      <c r="G195" s="3439"/>
      <c r="H195" s="3439"/>
      <c r="I195" s="3439"/>
      <c r="J195" s="3439"/>
      <c r="K195" s="3440"/>
      <c r="L195" s="3441"/>
      <c r="M195" s="3439"/>
      <c r="N195" s="3439"/>
      <c r="O195" s="3439"/>
      <c r="P195" s="3439"/>
      <c r="Q195" s="3439"/>
      <c r="R195" s="3439"/>
      <c r="S195" s="3439"/>
      <c r="T195" s="3439"/>
      <c r="U195" s="3439"/>
      <c r="V195" s="3439"/>
      <c r="W195" s="3439"/>
      <c r="X195" s="3439"/>
      <c r="Y195" s="3439"/>
      <c r="Z195" s="3439"/>
      <c r="AA195" s="3439"/>
      <c r="AB195" s="3439"/>
      <c r="AC195" s="3439"/>
    </row>
    <row r="196" spans="1:29" s="3442" customFormat="1">
      <c r="A196" s="3439"/>
      <c r="B196" s="3439"/>
      <c r="C196" s="3439"/>
      <c r="D196" s="3439"/>
      <c r="E196" s="3439"/>
      <c r="F196" s="3439"/>
      <c r="G196" s="3439"/>
      <c r="H196" s="3439"/>
      <c r="I196" s="3439"/>
      <c r="J196" s="3439"/>
      <c r="K196" s="3440"/>
      <c r="L196" s="3441"/>
      <c r="M196" s="3439"/>
      <c r="N196" s="3439"/>
      <c r="O196" s="3439"/>
      <c r="P196" s="3439"/>
      <c r="Q196" s="3439"/>
      <c r="R196" s="3439"/>
      <c r="S196" s="3439"/>
      <c r="T196" s="3439"/>
      <c r="U196" s="3439"/>
      <c r="V196" s="3439"/>
      <c r="W196" s="3439"/>
      <c r="X196" s="3439"/>
      <c r="Y196" s="3439"/>
      <c r="Z196" s="3439"/>
      <c r="AA196" s="3439"/>
      <c r="AB196" s="3439"/>
      <c r="AC196" s="3439"/>
    </row>
    <row r="197" spans="1:29" s="3442" customFormat="1">
      <c r="A197" s="3439"/>
      <c r="B197" s="3439"/>
      <c r="C197" s="3439"/>
      <c r="D197" s="3439"/>
      <c r="E197" s="3439"/>
      <c r="F197" s="3439"/>
      <c r="G197" s="3439"/>
      <c r="H197" s="3439"/>
      <c r="I197" s="3439"/>
      <c r="J197" s="3439"/>
      <c r="K197" s="3440"/>
      <c r="L197" s="3441"/>
      <c r="M197" s="3439"/>
      <c r="N197" s="3439"/>
      <c r="O197" s="3439"/>
      <c r="P197" s="3439"/>
      <c r="Q197" s="3439"/>
      <c r="R197" s="3439"/>
      <c r="S197" s="3439"/>
      <c r="T197" s="3439"/>
      <c r="U197" s="3439"/>
      <c r="V197" s="3439"/>
      <c r="W197" s="3439"/>
      <c r="X197" s="3439"/>
      <c r="Y197" s="3439"/>
      <c r="Z197" s="3439"/>
      <c r="AA197" s="3439"/>
      <c r="AB197" s="3439"/>
      <c r="AC197" s="3439"/>
    </row>
    <row r="198" spans="1:29" s="3442" customFormat="1">
      <c r="A198" s="3439"/>
      <c r="B198" s="3439"/>
      <c r="C198" s="3439"/>
      <c r="D198" s="3439"/>
      <c r="E198" s="3439"/>
      <c r="F198" s="3439"/>
      <c r="G198" s="3439"/>
      <c r="H198" s="3439"/>
      <c r="I198" s="3439"/>
      <c r="J198" s="3439"/>
      <c r="K198" s="3440"/>
      <c r="L198" s="3441"/>
      <c r="M198" s="3439"/>
      <c r="N198" s="3439"/>
      <c r="O198" s="3439"/>
      <c r="P198" s="3439"/>
      <c r="Q198" s="3439"/>
      <c r="R198" s="3439"/>
      <c r="S198" s="3439"/>
      <c r="T198" s="3439"/>
      <c r="U198" s="3439"/>
      <c r="V198" s="3439"/>
      <c r="W198" s="3439"/>
      <c r="X198" s="3439"/>
      <c r="Y198" s="3439"/>
      <c r="Z198" s="3439"/>
      <c r="AA198" s="3439"/>
      <c r="AB198" s="3439"/>
      <c r="AC198" s="3439"/>
    </row>
    <row r="199" spans="1:29" s="3442" customFormat="1">
      <c r="A199" s="3439"/>
      <c r="B199" s="3439"/>
      <c r="C199" s="3439"/>
      <c r="D199" s="3439"/>
      <c r="E199" s="3439"/>
      <c r="F199" s="3439"/>
      <c r="G199" s="3439"/>
      <c r="H199" s="3439"/>
      <c r="I199" s="3439"/>
      <c r="J199" s="3439"/>
      <c r="K199" s="3440"/>
      <c r="L199" s="3441"/>
      <c r="M199" s="3439"/>
      <c r="N199" s="3439"/>
      <c r="O199" s="3439"/>
      <c r="P199" s="3439"/>
      <c r="Q199" s="3439"/>
      <c r="R199" s="3439"/>
      <c r="S199" s="3439"/>
      <c r="T199" s="3439"/>
      <c r="U199" s="3439"/>
      <c r="V199" s="3439"/>
      <c r="W199" s="3439"/>
      <c r="X199" s="3439"/>
      <c r="Y199" s="3439"/>
      <c r="Z199" s="3439"/>
      <c r="AA199" s="3439"/>
      <c r="AB199" s="3439"/>
      <c r="AC199" s="3439"/>
    </row>
    <row r="200" spans="1:29" s="3442" customFormat="1">
      <c r="A200" s="3439"/>
      <c r="B200" s="3439"/>
      <c r="C200" s="3439"/>
      <c r="D200" s="3439"/>
      <c r="E200" s="3439"/>
      <c r="F200" s="3439"/>
      <c r="G200" s="3439"/>
      <c r="H200" s="3439"/>
      <c r="I200" s="3439"/>
      <c r="J200" s="3439"/>
      <c r="K200" s="3440"/>
      <c r="L200" s="3441"/>
      <c r="M200" s="3439"/>
      <c r="N200" s="3439"/>
      <c r="O200" s="3439"/>
      <c r="P200" s="3439"/>
      <c r="Q200" s="3439"/>
      <c r="R200" s="3439"/>
      <c r="S200" s="3439"/>
      <c r="T200" s="3439"/>
      <c r="U200" s="3439"/>
      <c r="V200" s="3439"/>
      <c r="W200" s="3439"/>
      <c r="X200" s="3439"/>
      <c r="Y200" s="3439"/>
      <c r="Z200" s="3439"/>
      <c r="AA200" s="3439"/>
      <c r="AB200" s="3439"/>
      <c r="AC200" s="3439"/>
    </row>
    <row r="201" spans="1:29" s="3442" customFormat="1">
      <c r="A201" s="3439"/>
      <c r="B201" s="3439"/>
      <c r="C201" s="3439"/>
      <c r="D201" s="3439"/>
      <c r="E201" s="3439"/>
      <c r="F201" s="3439"/>
      <c r="G201" s="3439"/>
      <c r="H201" s="3439"/>
      <c r="I201" s="3439"/>
      <c r="J201" s="3439"/>
      <c r="K201" s="3440"/>
      <c r="L201" s="3441"/>
      <c r="M201" s="3439"/>
      <c r="N201" s="3439"/>
      <c r="O201" s="3439"/>
      <c r="P201" s="3439"/>
      <c r="Q201" s="3439"/>
      <c r="R201" s="3439"/>
      <c r="S201" s="3439"/>
      <c r="T201" s="3439"/>
      <c r="U201" s="3439"/>
      <c r="V201" s="3439"/>
      <c r="W201" s="3439"/>
      <c r="X201" s="3439"/>
      <c r="Y201" s="3439"/>
      <c r="Z201" s="3439"/>
      <c r="AA201" s="3439"/>
      <c r="AB201" s="3439"/>
      <c r="AC201" s="3439"/>
    </row>
    <row r="202" spans="1:29" s="3442" customFormat="1">
      <c r="A202" s="3439"/>
      <c r="B202" s="3439"/>
      <c r="C202" s="3439"/>
      <c r="D202" s="3439"/>
      <c r="E202" s="3439"/>
      <c r="F202" s="3439"/>
      <c r="G202" s="3439"/>
      <c r="H202" s="3439"/>
      <c r="I202" s="3439"/>
      <c r="J202" s="3439"/>
      <c r="K202" s="3440"/>
      <c r="L202" s="3441"/>
      <c r="M202" s="3439"/>
      <c r="N202" s="3439"/>
      <c r="O202" s="3439"/>
      <c r="P202" s="3439"/>
      <c r="Q202" s="3439"/>
      <c r="R202" s="3439"/>
      <c r="S202" s="3439"/>
      <c r="T202" s="3439"/>
      <c r="U202" s="3439"/>
      <c r="V202" s="3439"/>
      <c r="W202" s="3439"/>
      <c r="X202" s="3439"/>
      <c r="Y202" s="3439"/>
      <c r="Z202" s="3439"/>
      <c r="AA202" s="3439"/>
      <c r="AB202" s="3439"/>
      <c r="AC202" s="3439"/>
    </row>
    <row r="203" spans="1:29" s="3442" customFormat="1">
      <c r="A203" s="3439"/>
      <c r="B203" s="3439"/>
      <c r="C203" s="3439"/>
      <c r="D203" s="3439"/>
      <c r="E203" s="3439"/>
      <c r="F203" s="3439"/>
      <c r="G203" s="3439"/>
      <c r="H203" s="3439"/>
      <c r="I203" s="3439"/>
      <c r="J203" s="3439"/>
      <c r="K203" s="3440"/>
      <c r="L203" s="3441"/>
      <c r="M203" s="3439"/>
      <c r="N203" s="3439"/>
      <c r="O203" s="3439"/>
      <c r="P203" s="3439"/>
      <c r="Q203" s="3439"/>
      <c r="R203" s="3439"/>
      <c r="S203" s="3439"/>
      <c r="T203" s="3439"/>
      <c r="U203" s="3439"/>
      <c r="V203" s="3439"/>
      <c r="W203" s="3439"/>
      <c r="X203" s="3439"/>
      <c r="Y203" s="3439"/>
      <c r="Z203" s="3439"/>
      <c r="AA203" s="3439"/>
      <c r="AB203" s="3439"/>
      <c r="AC203" s="3439"/>
    </row>
    <row r="204" spans="1:29" s="3442" customFormat="1">
      <c r="A204" s="3439"/>
      <c r="B204" s="3439"/>
      <c r="C204" s="3439"/>
      <c r="D204" s="3439"/>
      <c r="E204" s="3439"/>
      <c r="F204" s="3439"/>
      <c r="G204" s="3439"/>
      <c r="H204" s="3439"/>
      <c r="I204" s="3439"/>
      <c r="J204" s="3439"/>
      <c r="K204" s="3440"/>
      <c r="L204" s="3441"/>
      <c r="M204" s="3439"/>
      <c r="N204" s="3439"/>
      <c r="O204" s="3439"/>
      <c r="P204" s="3439"/>
      <c r="Q204" s="3439"/>
      <c r="R204" s="3439"/>
      <c r="S204" s="3439"/>
      <c r="T204" s="3439"/>
      <c r="U204" s="3439"/>
      <c r="V204" s="3439"/>
      <c r="W204" s="3439"/>
      <c r="X204" s="3439"/>
      <c r="Y204" s="3439"/>
      <c r="Z204" s="3439"/>
      <c r="AA204" s="3439"/>
      <c r="AB204" s="3439"/>
      <c r="AC204" s="3439"/>
    </row>
    <row r="205" spans="1:29" s="3442" customFormat="1">
      <c r="A205" s="3439"/>
      <c r="B205" s="3439"/>
      <c r="C205" s="3439"/>
      <c r="D205" s="3439"/>
      <c r="E205" s="3439"/>
      <c r="F205" s="3439"/>
      <c r="G205" s="3439"/>
      <c r="H205" s="3439"/>
      <c r="I205" s="3439"/>
      <c r="J205" s="3439"/>
      <c r="K205" s="3440"/>
      <c r="L205" s="3441"/>
      <c r="M205" s="3439"/>
      <c r="N205" s="3439"/>
      <c r="O205" s="3439"/>
      <c r="P205" s="3439"/>
      <c r="Q205" s="3439"/>
      <c r="R205" s="3439"/>
      <c r="S205" s="3439"/>
      <c r="T205" s="3439"/>
      <c r="U205" s="3439"/>
      <c r="V205" s="3439"/>
      <c r="W205" s="3439"/>
      <c r="X205" s="3439"/>
      <c r="Y205" s="3439"/>
      <c r="Z205" s="3439"/>
      <c r="AA205" s="3439"/>
      <c r="AB205" s="3439"/>
      <c r="AC205" s="3439"/>
    </row>
    <row r="206" spans="1:29" s="3442" customFormat="1">
      <c r="A206" s="3439"/>
      <c r="B206" s="3439"/>
      <c r="C206" s="3439"/>
      <c r="D206" s="3439"/>
      <c r="E206" s="3439"/>
      <c r="F206" s="3439"/>
      <c r="G206" s="3439"/>
      <c r="H206" s="3439"/>
      <c r="I206" s="3439"/>
      <c r="J206" s="3439"/>
      <c r="K206" s="3440"/>
      <c r="L206" s="3441"/>
      <c r="M206" s="3439"/>
      <c r="N206" s="3439"/>
      <c r="O206" s="3439"/>
      <c r="P206" s="3439"/>
      <c r="Q206" s="3439"/>
      <c r="R206" s="3439"/>
      <c r="S206" s="3439"/>
      <c r="T206" s="3439"/>
      <c r="U206" s="3439"/>
      <c r="V206" s="3439"/>
      <c r="W206" s="3439"/>
      <c r="X206" s="3439"/>
      <c r="Y206" s="3439"/>
      <c r="Z206" s="3439"/>
      <c r="AA206" s="3439"/>
      <c r="AB206" s="3439"/>
      <c r="AC206" s="3439"/>
    </row>
    <row r="207" spans="1:29" s="3442" customFormat="1">
      <c r="A207" s="3439"/>
      <c r="B207" s="3439"/>
      <c r="C207" s="3439"/>
      <c r="D207" s="3439"/>
      <c r="E207" s="3439"/>
      <c r="F207" s="3439"/>
      <c r="G207" s="3439"/>
      <c r="H207" s="3439"/>
      <c r="I207" s="3439"/>
      <c r="J207" s="3439"/>
      <c r="K207" s="3440"/>
      <c r="L207" s="3441"/>
      <c r="M207" s="3439"/>
      <c r="N207" s="3439"/>
      <c r="O207" s="3439"/>
      <c r="P207" s="3439"/>
      <c r="Q207" s="3439"/>
      <c r="R207" s="3439"/>
      <c r="S207" s="3439"/>
      <c r="T207" s="3439"/>
      <c r="U207" s="3439"/>
      <c r="V207" s="3439"/>
      <c r="W207" s="3439"/>
      <c r="X207" s="3439"/>
      <c r="Y207" s="3439"/>
      <c r="Z207" s="3439"/>
      <c r="AA207" s="3439"/>
      <c r="AB207" s="3439"/>
      <c r="AC207" s="3439"/>
    </row>
    <row r="208" spans="1:29" s="3442" customFormat="1">
      <c r="A208" s="3439"/>
      <c r="B208" s="3439"/>
      <c r="C208" s="3439"/>
      <c r="D208" s="3439"/>
      <c r="E208" s="3439"/>
      <c r="F208" s="3439"/>
      <c r="G208" s="3439"/>
      <c r="H208" s="3439"/>
      <c r="I208" s="3439"/>
      <c r="J208" s="3439"/>
      <c r="K208" s="3440"/>
      <c r="L208" s="3441"/>
      <c r="M208" s="3439"/>
      <c r="N208" s="3439"/>
      <c r="O208" s="3439"/>
      <c r="P208" s="3439"/>
      <c r="Q208" s="3439"/>
      <c r="R208" s="3439"/>
      <c r="S208" s="3439"/>
      <c r="T208" s="3439"/>
      <c r="U208" s="3439"/>
      <c r="V208" s="3439"/>
      <c r="W208" s="3439"/>
      <c r="X208" s="3439"/>
      <c r="Y208" s="3439"/>
      <c r="Z208" s="3439"/>
      <c r="AA208" s="3439"/>
      <c r="AB208" s="3439"/>
      <c r="AC208" s="3439"/>
    </row>
    <row r="209" spans="1:29" s="3442" customFormat="1">
      <c r="A209" s="3439"/>
      <c r="B209" s="3439"/>
      <c r="C209" s="3439"/>
      <c r="D209" s="3439"/>
      <c r="E209" s="3439"/>
      <c r="F209" s="3439"/>
      <c r="G209" s="3439"/>
      <c r="H209" s="3439"/>
      <c r="I209" s="3439"/>
      <c r="J209" s="3439"/>
      <c r="K209" s="3440"/>
      <c r="L209" s="3441"/>
      <c r="M209" s="3439"/>
      <c r="N209" s="3439"/>
      <c r="O209" s="3439"/>
      <c r="P209" s="3439"/>
      <c r="Q209" s="3439"/>
      <c r="R209" s="3439"/>
      <c r="S209" s="3439"/>
      <c r="T209" s="3439"/>
      <c r="U209" s="3439"/>
      <c r="V209" s="3439"/>
      <c r="W209" s="3439"/>
      <c r="X209" s="3439"/>
      <c r="Y209" s="3439"/>
      <c r="Z209" s="3439"/>
      <c r="AA209" s="3439"/>
      <c r="AB209" s="3439"/>
      <c r="AC209" s="3439"/>
    </row>
    <row r="210" spans="1:29" s="3442" customFormat="1">
      <c r="A210" s="3439"/>
      <c r="B210" s="3439"/>
      <c r="C210" s="3439"/>
      <c r="D210" s="3439"/>
      <c r="E210" s="3439"/>
      <c r="F210" s="3439"/>
      <c r="G210" s="3439"/>
      <c r="H210" s="3439"/>
      <c r="I210" s="3439"/>
      <c r="J210" s="3439"/>
      <c r="K210" s="3440"/>
      <c r="L210" s="3441"/>
      <c r="M210" s="3439"/>
      <c r="N210" s="3439"/>
      <c r="O210" s="3439"/>
      <c r="P210" s="3439"/>
      <c r="Q210" s="3439"/>
      <c r="R210" s="3439"/>
      <c r="S210" s="3439"/>
      <c r="T210" s="3439"/>
      <c r="U210" s="3439"/>
      <c r="V210" s="3439"/>
      <c r="W210" s="3439"/>
      <c r="X210" s="3439"/>
      <c r="Y210" s="3439"/>
      <c r="Z210" s="3439"/>
      <c r="AA210" s="3439"/>
      <c r="AB210" s="3439"/>
      <c r="AC210" s="3439"/>
    </row>
    <row r="211" spans="1:29" s="3442" customFormat="1">
      <c r="A211" s="3439"/>
      <c r="B211" s="3439"/>
      <c r="C211" s="3439"/>
      <c r="D211" s="3439"/>
      <c r="E211" s="3439"/>
      <c r="F211" s="3439"/>
      <c r="G211" s="3439"/>
      <c r="H211" s="3439"/>
      <c r="I211" s="3439"/>
      <c r="J211" s="3439"/>
      <c r="K211" s="3440"/>
      <c r="L211" s="3441"/>
      <c r="M211" s="3439"/>
      <c r="N211" s="3439"/>
      <c r="O211" s="3439"/>
      <c r="P211" s="3439"/>
      <c r="Q211" s="3439"/>
      <c r="R211" s="3439"/>
      <c r="S211" s="3439"/>
      <c r="T211" s="3439"/>
      <c r="U211" s="3439"/>
      <c r="V211" s="3439"/>
      <c r="W211" s="3439"/>
      <c r="X211" s="3439"/>
      <c r="Y211" s="3439"/>
      <c r="Z211" s="3439"/>
      <c r="AA211" s="3439"/>
      <c r="AB211" s="3439"/>
      <c r="AC211" s="3439"/>
    </row>
    <row r="212" spans="1:29" s="3442" customFormat="1">
      <c r="A212" s="3439"/>
      <c r="B212" s="3439"/>
      <c r="C212" s="3439"/>
      <c r="D212" s="3439"/>
      <c r="E212" s="3439"/>
      <c r="F212" s="3439"/>
      <c r="G212" s="3439"/>
      <c r="H212" s="3439"/>
      <c r="I212" s="3439"/>
      <c r="J212" s="3439"/>
      <c r="K212" s="3440"/>
      <c r="L212" s="3441"/>
      <c r="M212" s="3439"/>
      <c r="N212" s="3439"/>
      <c r="O212" s="3439"/>
      <c r="P212" s="3439"/>
      <c r="Q212" s="3439"/>
      <c r="R212" s="3439"/>
      <c r="S212" s="3439"/>
      <c r="T212" s="3439"/>
      <c r="U212" s="3439"/>
      <c r="V212" s="3439"/>
      <c r="W212" s="3439"/>
      <c r="X212" s="3439"/>
      <c r="Y212" s="3439"/>
      <c r="Z212" s="3439"/>
      <c r="AA212" s="3439"/>
      <c r="AB212" s="3439"/>
      <c r="AC212" s="3439"/>
    </row>
    <row r="213" spans="1:29" s="3442" customFormat="1">
      <c r="A213" s="3439"/>
      <c r="B213" s="3439"/>
      <c r="C213" s="3439"/>
      <c r="D213" s="3439"/>
      <c r="E213" s="3439"/>
      <c r="F213" s="3439"/>
      <c r="G213" s="3439"/>
      <c r="H213" s="3439"/>
      <c r="I213" s="3439"/>
      <c r="J213" s="3439"/>
      <c r="K213" s="3440"/>
      <c r="L213" s="3441"/>
      <c r="M213" s="3439"/>
      <c r="N213" s="3439"/>
      <c r="O213" s="3439"/>
      <c r="P213" s="3439"/>
      <c r="Q213" s="3439"/>
      <c r="R213" s="3439"/>
      <c r="S213" s="3439"/>
      <c r="T213" s="3439"/>
      <c r="U213" s="3439"/>
      <c r="V213" s="3439"/>
      <c r="W213" s="3439"/>
      <c r="X213" s="3439"/>
      <c r="Y213" s="3439"/>
      <c r="Z213" s="3439"/>
      <c r="AA213" s="3439"/>
      <c r="AB213" s="3439"/>
      <c r="AC213" s="3439"/>
    </row>
    <row r="214" spans="1:29" s="3442" customFormat="1">
      <c r="A214" s="3439"/>
      <c r="B214" s="3439"/>
      <c r="C214" s="3439"/>
      <c r="D214" s="3439"/>
      <c r="E214" s="3439"/>
      <c r="F214" s="3439"/>
      <c r="G214" s="3439"/>
      <c r="H214" s="3439"/>
      <c r="I214" s="3439"/>
      <c r="J214" s="3439"/>
      <c r="K214" s="3440"/>
      <c r="L214" s="3441"/>
      <c r="M214" s="3439"/>
      <c r="N214" s="3439"/>
      <c r="O214" s="3439"/>
      <c r="P214" s="3439"/>
      <c r="Q214" s="3439"/>
      <c r="R214" s="3439"/>
      <c r="S214" s="3439"/>
      <c r="T214" s="3439"/>
      <c r="U214" s="3439"/>
      <c r="V214" s="3439"/>
      <c r="W214" s="3439"/>
      <c r="X214" s="3439"/>
      <c r="Y214" s="3439"/>
      <c r="Z214" s="3439"/>
      <c r="AA214" s="3439"/>
      <c r="AB214" s="3439"/>
      <c r="AC214" s="3439"/>
    </row>
    <row r="215" spans="1:29" s="3442" customFormat="1">
      <c r="A215" s="3439"/>
      <c r="B215" s="3439"/>
      <c r="C215" s="3439"/>
      <c r="D215" s="3439"/>
      <c r="E215" s="3439"/>
      <c r="F215" s="3439"/>
      <c r="G215" s="3439"/>
      <c r="H215" s="3439"/>
      <c r="I215" s="3439"/>
      <c r="J215" s="3439"/>
      <c r="K215" s="3440"/>
      <c r="L215" s="3441"/>
      <c r="M215" s="3439"/>
      <c r="N215" s="3439"/>
      <c r="O215" s="3439"/>
      <c r="P215" s="3439"/>
      <c r="Q215" s="3439"/>
      <c r="R215" s="3439"/>
      <c r="S215" s="3439"/>
      <c r="T215" s="3439"/>
      <c r="U215" s="3439"/>
      <c r="V215" s="3439"/>
      <c r="W215" s="3439"/>
      <c r="X215" s="3439"/>
      <c r="Y215" s="3439"/>
      <c r="Z215" s="3439"/>
      <c r="AA215" s="3439"/>
      <c r="AB215" s="3439"/>
      <c r="AC215" s="3439"/>
    </row>
    <row r="216" spans="1:29" s="3442" customFormat="1">
      <c r="A216" s="3439"/>
      <c r="B216" s="3439"/>
      <c r="C216" s="3439"/>
      <c r="D216" s="3439"/>
      <c r="E216" s="3439"/>
      <c r="F216" s="3439"/>
      <c r="G216" s="3439"/>
      <c r="H216" s="3439"/>
      <c r="I216" s="3439"/>
      <c r="J216" s="3439"/>
      <c r="K216" s="3440"/>
      <c r="L216" s="3441"/>
      <c r="M216" s="3439"/>
      <c r="N216" s="3439"/>
      <c r="O216" s="3439"/>
      <c r="P216" s="3439"/>
      <c r="Q216" s="3439"/>
      <c r="R216" s="3439"/>
      <c r="S216" s="3439"/>
      <c r="T216" s="3439"/>
      <c r="U216" s="3439"/>
      <c r="V216" s="3439"/>
      <c r="W216" s="3439"/>
      <c r="X216" s="3439"/>
      <c r="Y216" s="3439"/>
      <c r="Z216" s="3439"/>
      <c r="AA216" s="3439"/>
      <c r="AB216" s="3439"/>
      <c r="AC216" s="3439"/>
    </row>
    <row r="217" spans="1:29" s="3442" customFormat="1">
      <c r="A217" s="3439"/>
      <c r="B217" s="3439"/>
      <c r="C217" s="3439"/>
      <c r="D217" s="3439"/>
      <c r="E217" s="3439"/>
      <c r="F217" s="3439"/>
      <c r="G217" s="3439"/>
      <c r="H217" s="3439"/>
      <c r="I217" s="3439"/>
      <c r="J217" s="3439"/>
      <c r="K217" s="3440"/>
      <c r="L217" s="3441"/>
      <c r="M217" s="3439"/>
      <c r="N217" s="3439"/>
      <c r="O217" s="3439"/>
      <c r="P217" s="3439"/>
      <c r="Q217" s="3439"/>
      <c r="R217" s="3439"/>
      <c r="S217" s="3439"/>
      <c r="T217" s="3439"/>
      <c r="U217" s="3439"/>
      <c r="V217" s="3439"/>
      <c r="W217" s="3439"/>
      <c r="X217" s="3439"/>
      <c r="Y217" s="3439"/>
      <c r="Z217" s="3439"/>
      <c r="AA217" s="3439"/>
      <c r="AB217" s="3439"/>
      <c r="AC217" s="3439"/>
    </row>
    <row r="218" spans="1:29" s="3442" customFormat="1">
      <c r="A218" s="3439"/>
      <c r="B218" s="3439"/>
      <c r="C218" s="3439"/>
      <c r="D218" s="3439"/>
      <c r="E218" s="3439"/>
      <c r="F218" s="3439"/>
      <c r="G218" s="3439"/>
      <c r="H218" s="3439"/>
      <c r="I218" s="3439"/>
      <c r="J218" s="3439"/>
      <c r="K218" s="3440"/>
      <c r="L218" s="3441"/>
      <c r="M218" s="3439"/>
      <c r="N218" s="3439"/>
      <c r="O218" s="3439"/>
      <c r="P218" s="3439"/>
      <c r="Q218" s="3439"/>
      <c r="R218" s="3439"/>
      <c r="S218" s="3439"/>
      <c r="T218" s="3439"/>
      <c r="U218" s="3439"/>
      <c r="V218" s="3439"/>
      <c r="W218" s="3439"/>
      <c r="X218" s="3439"/>
      <c r="Y218" s="3439"/>
      <c r="Z218" s="3439"/>
      <c r="AA218" s="3439"/>
      <c r="AB218" s="3439"/>
      <c r="AC218" s="3439"/>
    </row>
    <row r="219" spans="1:29" s="3442" customFormat="1">
      <c r="A219" s="3439"/>
      <c r="B219" s="3439"/>
      <c r="C219" s="3439"/>
      <c r="D219" s="3439"/>
      <c r="E219" s="3439"/>
      <c r="F219" s="3439"/>
      <c r="G219" s="3439"/>
      <c r="H219" s="3439"/>
      <c r="I219" s="3439"/>
      <c r="J219" s="3439"/>
      <c r="K219" s="3440"/>
      <c r="L219" s="3441"/>
      <c r="M219" s="3439"/>
      <c r="N219" s="3439"/>
      <c r="O219" s="3439"/>
      <c r="P219" s="3439"/>
      <c r="Q219" s="3439"/>
      <c r="R219" s="3439"/>
      <c r="S219" s="3439"/>
      <c r="T219" s="3439"/>
      <c r="U219" s="3439"/>
      <c r="V219" s="3439"/>
      <c r="W219" s="3439"/>
      <c r="X219" s="3439"/>
      <c r="Y219" s="3439"/>
      <c r="Z219" s="3439"/>
      <c r="AA219" s="3439"/>
      <c r="AB219" s="3439"/>
      <c r="AC219" s="3439"/>
    </row>
    <row r="220" spans="1:29" s="3442" customFormat="1">
      <c r="A220" s="3439"/>
      <c r="B220" s="3439"/>
      <c r="C220" s="3439"/>
      <c r="D220" s="3439"/>
      <c r="E220" s="3439"/>
      <c r="F220" s="3439"/>
      <c r="G220" s="3439"/>
      <c r="H220" s="3439"/>
      <c r="I220" s="3439"/>
      <c r="J220" s="3439"/>
      <c r="K220" s="3440"/>
      <c r="L220" s="3441"/>
      <c r="M220" s="3439"/>
      <c r="N220" s="3439"/>
      <c r="O220" s="3439"/>
      <c r="P220" s="3439"/>
      <c r="Q220" s="3439"/>
      <c r="R220" s="3439"/>
      <c r="S220" s="3439"/>
      <c r="T220" s="3439"/>
      <c r="U220" s="3439"/>
      <c r="V220" s="3439"/>
      <c r="W220" s="3439"/>
      <c r="X220" s="3439"/>
      <c r="Y220" s="3439"/>
      <c r="Z220" s="3439"/>
      <c r="AA220" s="3439"/>
      <c r="AB220" s="3439"/>
      <c r="AC220" s="3439"/>
    </row>
    <row r="221" spans="1:29" s="3442" customFormat="1">
      <c r="A221" s="3439"/>
      <c r="B221" s="3439"/>
      <c r="C221" s="3439"/>
      <c r="D221" s="3439"/>
      <c r="E221" s="3439"/>
      <c r="F221" s="3439"/>
      <c r="G221" s="3439"/>
      <c r="H221" s="3439"/>
      <c r="I221" s="3439"/>
      <c r="J221" s="3439"/>
      <c r="K221" s="3440"/>
      <c r="L221" s="3441"/>
      <c r="M221" s="3439"/>
      <c r="N221" s="3439"/>
      <c r="O221" s="3439"/>
      <c r="P221" s="3439"/>
      <c r="Q221" s="3439"/>
      <c r="R221" s="3439"/>
      <c r="S221" s="3439"/>
      <c r="T221" s="3439"/>
      <c r="U221" s="3439"/>
      <c r="V221" s="3439"/>
      <c r="W221" s="3439"/>
      <c r="X221" s="3439"/>
      <c r="Y221" s="3439"/>
      <c r="Z221" s="3439"/>
      <c r="AA221" s="3439"/>
      <c r="AB221" s="3439"/>
      <c r="AC221" s="3439"/>
    </row>
    <row r="222" spans="1:29" s="3442" customFormat="1">
      <c r="A222" s="3439"/>
      <c r="B222" s="3439"/>
      <c r="C222" s="3439"/>
      <c r="D222" s="3439"/>
      <c r="E222" s="3439"/>
      <c r="F222" s="3439"/>
      <c r="G222" s="3439"/>
      <c r="H222" s="3439"/>
      <c r="I222" s="3439"/>
      <c r="J222" s="3439"/>
      <c r="K222" s="3440"/>
      <c r="L222" s="3441"/>
      <c r="M222" s="3439"/>
      <c r="N222" s="3439"/>
      <c r="O222" s="3439"/>
      <c r="P222" s="3439"/>
      <c r="Q222" s="3439"/>
      <c r="R222" s="3439"/>
      <c r="S222" s="3439"/>
      <c r="T222" s="3439"/>
      <c r="U222" s="3439"/>
      <c r="V222" s="3439"/>
      <c r="W222" s="3439"/>
      <c r="X222" s="3439"/>
      <c r="Y222" s="3439"/>
      <c r="Z222" s="3439"/>
      <c r="AA222" s="3439"/>
      <c r="AB222" s="3439"/>
      <c r="AC222" s="3439"/>
    </row>
    <row r="223" spans="1:29" s="3442" customFormat="1">
      <c r="A223" s="3439"/>
      <c r="B223" s="3439"/>
      <c r="C223" s="3439"/>
      <c r="D223" s="3439"/>
      <c r="E223" s="3439"/>
      <c r="F223" s="3439"/>
      <c r="G223" s="3439"/>
      <c r="H223" s="3439"/>
      <c r="I223" s="3439"/>
      <c r="J223" s="3439"/>
      <c r="K223" s="3440"/>
      <c r="L223" s="3441"/>
      <c r="M223" s="3439"/>
      <c r="N223" s="3439"/>
      <c r="O223" s="3439"/>
      <c r="P223" s="3439"/>
      <c r="Q223" s="3439"/>
      <c r="R223" s="3439"/>
      <c r="S223" s="3439"/>
      <c r="T223" s="3439"/>
      <c r="U223" s="3439"/>
      <c r="V223" s="3439"/>
      <c r="W223" s="3439"/>
      <c r="X223" s="3439"/>
      <c r="Y223" s="3439"/>
      <c r="Z223" s="3439"/>
      <c r="AA223" s="3439"/>
      <c r="AB223" s="3439"/>
      <c r="AC223" s="3439"/>
    </row>
    <row r="224" spans="1:29" s="3442" customFormat="1">
      <c r="A224" s="3439"/>
      <c r="B224" s="3439"/>
      <c r="C224" s="3439"/>
      <c r="D224" s="3439"/>
      <c r="E224" s="3439"/>
      <c r="F224" s="3439"/>
      <c r="G224" s="3439"/>
      <c r="H224" s="3439"/>
      <c r="I224" s="3439"/>
      <c r="J224" s="3439"/>
      <c r="K224" s="3440"/>
      <c r="L224" s="3441"/>
      <c r="M224" s="3439"/>
      <c r="N224" s="3439"/>
      <c r="O224" s="3439"/>
      <c r="P224" s="3439"/>
      <c r="Q224" s="3439"/>
      <c r="R224" s="3439"/>
      <c r="S224" s="3439"/>
      <c r="T224" s="3439"/>
      <c r="U224" s="3439"/>
      <c r="V224" s="3439"/>
      <c r="W224" s="3439"/>
      <c r="X224" s="3439"/>
      <c r="Y224" s="3439"/>
      <c r="Z224" s="3439"/>
      <c r="AA224" s="3439"/>
      <c r="AB224" s="3439"/>
      <c r="AC224" s="3439"/>
    </row>
    <row r="225" spans="1:29" s="3442" customFormat="1">
      <c r="A225" s="3439"/>
      <c r="B225" s="3439"/>
      <c r="C225" s="3439"/>
      <c r="D225" s="3439"/>
      <c r="E225" s="3439"/>
      <c r="F225" s="3439"/>
      <c r="G225" s="3439"/>
      <c r="H225" s="3439"/>
      <c r="I225" s="3439"/>
      <c r="J225" s="3439"/>
      <c r="K225" s="3440"/>
      <c r="L225" s="3441"/>
      <c r="M225" s="3439"/>
      <c r="N225" s="3439"/>
      <c r="O225" s="3439"/>
      <c r="P225" s="3439"/>
      <c r="Q225" s="3439"/>
      <c r="R225" s="3439"/>
      <c r="S225" s="3439"/>
      <c r="T225" s="3439"/>
      <c r="U225" s="3439"/>
      <c r="V225" s="3439"/>
      <c r="W225" s="3439"/>
      <c r="X225" s="3439"/>
      <c r="Y225" s="3439"/>
      <c r="Z225" s="3439"/>
      <c r="AA225" s="3439"/>
      <c r="AB225" s="3439"/>
      <c r="AC225" s="3439"/>
    </row>
    <row r="226" spans="1:29" s="3442" customFormat="1">
      <c r="A226" s="3439"/>
      <c r="B226" s="3439"/>
      <c r="C226" s="3439"/>
      <c r="D226" s="3439"/>
      <c r="E226" s="3439"/>
      <c r="F226" s="3439"/>
      <c r="G226" s="3439"/>
      <c r="H226" s="3439"/>
      <c r="I226" s="3439"/>
      <c r="J226" s="3439"/>
      <c r="K226" s="3440"/>
      <c r="L226" s="3441"/>
      <c r="M226" s="3439"/>
      <c r="N226" s="3439"/>
      <c r="O226" s="3439"/>
      <c r="P226" s="3439"/>
      <c r="Q226" s="3439"/>
      <c r="R226" s="3439"/>
      <c r="S226" s="3439"/>
      <c r="T226" s="3439"/>
      <c r="U226" s="3439"/>
      <c r="V226" s="3439"/>
      <c r="W226" s="3439"/>
      <c r="X226" s="3439"/>
      <c r="Y226" s="3439"/>
      <c r="Z226" s="3439"/>
      <c r="AA226" s="3439"/>
      <c r="AB226" s="3439"/>
      <c r="AC226" s="3439"/>
    </row>
    <row r="227" spans="1:29" s="3442" customFormat="1">
      <c r="A227" s="3439"/>
      <c r="B227" s="3439"/>
      <c r="C227" s="3439"/>
      <c r="D227" s="3439"/>
      <c r="E227" s="3439"/>
      <c r="F227" s="3439"/>
      <c r="G227" s="3439"/>
      <c r="H227" s="3439"/>
      <c r="I227" s="3439"/>
      <c r="J227" s="3439"/>
      <c r="K227" s="3440"/>
      <c r="L227" s="3441"/>
      <c r="M227" s="3439"/>
      <c r="N227" s="3439"/>
      <c r="O227" s="3439"/>
      <c r="P227" s="3439"/>
      <c r="Q227" s="3439"/>
      <c r="R227" s="3439"/>
      <c r="S227" s="3439"/>
      <c r="T227" s="3439"/>
      <c r="U227" s="3439"/>
      <c r="V227" s="3439"/>
      <c r="W227" s="3439"/>
      <c r="X227" s="3439"/>
      <c r="Y227" s="3439"/>
      <c r="Z227" s="3439"/>
      <c r="AA227" s="3439"/>
      <c r="AB227" s="3439"/>
      <c r="AC227" s="3439"/>
    </row>
    <row r="228" spans="1:29" s="3442" customFormat="1">
      <c r="A228" s="3439"/>
      <c r="B228" s="3439"/>
      <c r="C228" s="3439"/>
      <c r="D228" s="3439"/>
      <c r="E228" s="3439"/>
      <c r="F228" s="3439"/>
      <c r="G228" s="3439"/>
      <c r="H228" s="3439"/>
      <c r="I228" s="3439"/>
      <c r="J228" s="3439"/>
      <c r="K228" s="3440"/>
      <c r="L228" s="3441"/>
      <c r="M228" s="3439"/>
      <c r="N228" s="3439"/>
      <c r="O228" s="3439"/>
      <c r="P228" s="3439"/>
      <c r="Q228" s="3439"/>
      <c r="R228" s="3439"/>
      <c r="S228" s="3439"/>
      <c r="T228" s="3439"/>
      <c r="U228" s="3439"/>
      <c r="V228" s="3439"/>
      <c r="W228" s="3439"/>
      <c r="X228" s="3439"/>
      <c r="Y228" s="3439"/>
      <c r="Z228" s="3439"/>
      <c r="AA228" s="3439"/>
      <c r="AB228" s="3439"/>
      <c r="AC228" s="3439"/>
    </row>
    <row r="229" spans="1:29" s="3442" customFormat="1">
      <c r="A229" s="3439"/>
      <c r="B229" s="3439"/>
      <c r="C229" s="3439"/>
      <c r="D229" s="3439"/>
      <c r="E229" s="3439"/>
      <c r="F229" s="3439"/>
      <c r="G229" s="3439"/>
      <c r="H229" s="3439"/>
      <c r="I229" s="3439"/>
      <c r="J229" s="3439"/>
      <c r="K229" s="3440"/>
      <c r="L229" s="3441"/>
      <c r="M229" s="3439"/>
      <c r="N229" s="3439"/>
      <c r="O229" s="3439"/>
      <c r="P229" s="3439"/>
      <c r="Q229" s="3439"/>
      <c r="R229" s="3439"/>
      <c r="S229" s="3439"/>
      <c r="T229" s="3439"/>
      <c r="U229" s="3439"/>
      <c r="V229" s="3439"/>
      <c r="W229" s="3439"/>
      <c r="X229" s="3439"/>
      <c r="Y229" s="3439"/>
      <c r="Z229" s="3439"/>
      <c r="AA229" s="3439"/>
      <c r="AB229" s="3439"/>
      <c r="AC229" s="3439"/>
    </row>
    <row r="230" spans="1:29" s="3442" customFormat="1">
      <c r="A230" s="3439"/>
      <c r="B230" s="3439"/>
      <c r="C230" s="3439"/>
      <c r="D230" s="3439"/>
      <c r="E230" s="3439"/>
      <c r="F230" s="3439"/>
      <c r="G230" s="3439"/>
      <c r="H230" s="3439"/>
      <c r="I230" s="3439"/>
      <c r="J230" s="3439"/>
      <c r="K230" s="3440"/>
      <c r="L230" s="3441"/>
      <c r="M230" s="3439"/>
      <c r="N230" s="3439"/>
      <c r="O230" s="3439"/>
      <c r="P230" s="3439"/>
      <c r="Q230" s="3439"/>
      <c r="R230" s="3439"/>
      <c r="S230" s="3439"/>
      <c r="T230" s="3439"/>
      <c r="U230" s="3439"/>
      <c r="V230" s="3439"/>
      <c r="W230" s="3439"/>
      <c r="X230" s="3439"/>
      <c r="Y230" s="3439"/>
      <c r="Z230" s="3439"/>
      <c r="AA230" s="3439"/>
      <c r="AB230" s="3439"/>
      <c r="AC230" s="3439"/>
    </row>
    <row r="231" spans="1:29" s="3442" customFormat="1">
      <c r="A231" s="3439"/>
      <c r="B231" s="3439"/>
      <c r="C231" s="3439"/>
      <c r="D231" s="3439"/>
      <c r="E231" s="3439"/>
      <c r="F231" s="3439"/>
      <c r="G231" s="3439"/>
      <c r="H231" s="3439"/>
      <c r="I231" s="3439"/>
      <c r="J231" s="3439"/>
      <c r="K231" s="3440"/>
      <c r="L231" s="3441"/>
      <c r="M231" s="3439"/>
      <c r="N231" s="3439"/>
      <c r="O231" s="3439"/>
      <c r="P231" s="3439"/>
      <c r="Q231" s="3439"/>
      <c r="R231" s="3439"/>
      <c r="S231" s="3439"/>
      <c r="T231" s="3439"/>
      <c r="U231" s="3439"/>
      <c r="V231" s="3439"/>
      <c r="W231" s="3439"/>
      <c r="X231" s="3439"/>
      <c r="Y231" s="3439"/>
      <c r="Z231" s="3439"/>
      <c r="AA231" s="3439"/>
      <c r="AB231" s="3439"/>
      <c r="AC231" s="3439"/>
    </row>
    <row r="232" spans="1:29" s="3442" customFormat="1">
      <c r="A232" s="3439"/>
      <c r="B232" s="3439"/>
      <c r="C232" s="3439"/>
      <c r="D232" s="3439"/>
      <c r="E232" s="3439"/>
      <c r="F232" s="3439"/>
      <c r="G232" s="3439"/>
      <c r="H232" s="3439"/>
      <c r="I232" s="3439"/>
      <c r="J232" s="3439"/>
      <c r="K232" s="3440"/>
      <c r="L232" s="3441"/>
      <c r="M232" s="3439"/>
      <c r="N232" s="3439"/>
      <c r="O232" s="3439"/>
      <c r="P232" s="3439"/>
      <c r="Q232" s="3439"/>
      <c r="R232" s="3439"/>
      <c r="S232" s="3439"/>
      <c r="T232" s="3439"/>
      <c r="U232" s="3439"/>
      <c r="V232" s="3439"/>
      <c r="W232" s="3439"/>
      <c r="X232" s="3439"/>
      <c r="Y232" s="3439"/>
      <c r="Z232" s="3439"/>
      <c r="AA232" s="3439"/>
      <c r="AB232" s="3439"/>
      <c r="AC232" s="3439"/>
    </row>
    <row r="233" spans="1:29" s="3442" customFormat="1">
      <c r="A233" s="3439"/>
      <c r="B233" s="3439"/>
      <c r="C233" s="3439"/>
      <c r="D233" s="3439"/>
      <c r="E233" s="3439"/>
      <c r="F233" s="3439"/>
      <c r="G233" s="3439"/>
      <c r="H233" s="3439"/>
      <c r="I233" s="3439"/>
      <c r="J233" s="3439"/>
      <c r="K233" s="3440"/>
      <c r="L233" s="3441"/>
      <c r="M233" s="3439"/>
      <c r="N233" s="3439"/>
      <c r="O233" s="3439"/>
      <c r="P233" s="3439"/>
      <c r="Q233" s="3439"/>
      <c r="R233" s="3439"/>
      <c r="S233" s="3439"/>
      <c r="T233" s="3439"/>
      <c r="U233" s="3439"/>
      <c r="V233" s="3439"/>
      <c r="W233" s="3439"/>
      <c r="X233" s="3439"/>
      <c r="Y233" s="3439"/>
      <c r="Z233" s="3439"/>
      <c r="AA233" s="3439"/>
      <c r="AB233" s="3439"/>
      <c r="AC233" s="3439"/>
    </row>
    <row r="234" spans="1:29" s="3442" customFormat="1">
      <c r="A234" s="3439"/>
      <c r="B234" s="3439"/>
      <c r="C234" s="3439"/>
      <c r="D234" s="3439"/>
      <c r="E234" s="3439"/>
      <c r="F234" s="3439"/>
      <c r="G234" s="3439"/>
      <c r="H234" s="3439"/>
      <c r="I234" s="3439"/>
      <c r="J234" s="3439"/>
      <c r="K234" s="3440"/>
      <c r="L234" s="3441"/>
      <c r="M234" s="3439"/>
      <c r="N234" s="3439"/>
      <c r="O234" s="3439"/>
      <c r="P234" s="3439"/>
      <c r="Q234" s="3439"/>
      <c r="R234" s="3439"/>
      <c r="S234" s="3439"/>
      <c r="T234" s="3439"/>
      <c r="U234" s="3439"/>
      <c r="V234" s="3439"/>
      <c r="W234" s="3439"/>
      <c r="X234" s="3439"/>
      <c r="Y234" s="3439"/>
      <c r="Z234" s="3439"/>
      <c r="AA234" s="3439"/>
      <c r="AB234" s="3439"/>
      <c r="AC234" s="3439"/>
    </row>
    <row r="235" spans="1:29" s="3442" customFormat="1">
      <c r="A235" s="3439"/>
      <c r="B235" s="3439"/>
      <c r="C235" s="3439"/>
      <c r="D235" s="3439"/>
      <c r="E235" s="3439"/>
      <c r="F235" s="3439"/>
      <c r="G235" s="3439"/>
      <c r="H235" s="3439"/>
      <c r="I235" s="3439"/>
      <c r="J235" s="3439"/>
      <c r="K235" s="3440"/>
      <c r="L235" s="3441"/>
      <c r="M235" s="3439"/>
      <c r="N235" s="3439"/>
      <c r="O235" s="3439"/>
      <c r="P235" s="3439"/>
      <c r="Q235" s="3439"/>
      <c r="R235" s="3439"/>
      <c r="S235" s="3439"/>
      <c r="T235" s="3439"/>
      <c r="U235" s="3439"/>
      <c r="V235" s="3439"/>
      <c r="W235" s="3439"/>
      <c r="X235" s="3439"/>
      <c r="Y235" s="3439"/>
      <c r="Z235" s="3439"/>
      <c r="AA235" s="3439"/>
      <c r="AB235" s="3439"/>
      <c r="AC235" s="3439"/>
    </row>
    <row r="236" spans="1:29" s="3442" customFormat="1">
      <c r="A236" s="3439"/>
      <c r="B236" s="3439"/>
      <c r="C236" s="3439"/>
      <c r="D236" s="3439"/>
      <c r="E236" s="3439"/>
      <c r="F236" s="3439"/>
      <c r="G236" s="3439"/>
      <c r="H236" s="3439"/>
      <c r="I236" s="3439"/>
      <c r="J236" s="3439"/>
      <c r="K236" s="3440"/>
      <c r="L236" s="3441"/>
      <c r="M236" s="3439"/>
      <c r="N236" s="3439"/>
      <c r="O236" s="3439"/>
      <c r="P236" s="3439"/>
      <c r="Q236" s="3439"/>
      <c r="R236" s="3439"/>
      <c r="S236" s="3439"/>
      <c r="T236" s="3439"/>
      <c r="U236" s="3439"/>
      <c r="V236" s="3439"/>
      <c r="W236" s="3439"/>
      <c r="X236" s="3439"/>
      <c r="Y236" s="3439"/>
      <c r="Z236" s="3439"/>
      <c r="AA236" s="3439"/>
      <c r="AB236" s="3439"/>
      <c r="AC236" s="3439"/>
    </row>
    <row r="237" spans="1:29" s="3442" customFormat="1">
      <c r="A237" s="3439"/>
      <c r="B237" s="3439"/>
      <c r="C237" s="3439"/>
      <c r="D237" s="3439"/>
      <c r="E237" s="3439"/>
      <c r="F237" s="3439"/>
      <c r="G237" s="3439"/>
      <c r="H237" s="3439"/>
      <c r="I237" s="3439"/>
      <c r="J237" s="3439"/>
      <c r="K237" s="3440"/>
      <c r="L237" s="3441"/>
      <c r="M237" s="3439"/>
      <c r="N237" s="3439"/>
      <c r="O237" s="3439"/>
      <c r="P237" s="3439"/>
      <c r="Q237" s="3439"/>
      <c r="R237" s="3439"/>
      <c r="S237" s="3439"/>
      <c r="T237" s="3439"/>
      <c r="U237" s="3439"/>
      <c r="V237" s="3439"/>
      <c r="W237" s="3439"/>
      <c r="X237" s="3439"/>
      <c r="Y237" s="3439"/>
      <c r="Z237" s="3439"/>
      <c r="AA237" s="3439"/>
      <c r="AB237" s="3439"/>
      <c r="AC237" s="3439"/>
    </row>
    <row r="238" spans="1:29" s="3442" customFormat="1">
      <c r="A238" s="3439"/>
      <c r="B238" s="3439"/>
      <c r="C238" s="3439"/>
      <c r="D238" s="3439"/>
      <c r="E238" s="3439"/>
      <c r="F238" s="3439"/>
      <c r="G238" s="3439"/>
      <c r="H238" s="3439"/>
      <c r="I238" s="3439"/>
      <c r="J238" s="3439"/>
      <c r="K238" s="3440"/>
      <c r="L238" s="3441"/>
      <c r="M238" s="3439"/>
      <c r="N238" s="3439"/>
      <c r="O238" s="3439"/>
      <c r="P238" s="3439"/>
      <c r="Q238" s="3439"/>
      <c r="R238" s="3439"/>
      <c r="S238" s="3439"/>
      <c r="T238" s="3439"/>
      <c r="U238" s="3439"/>
      <c r="V238" s="3439"/>
      <c r="W238" s="3439"/>
      <c r="X238" s="3439"/>
      <c r="Y238" s="3439"/>
      <c r="Z238" s="3439"/>
      <c r="AA238" s="3439"/>
      <c r="AB238" s="3439"/>
      <c r="AC238" s="3439"/>
    </row>
    <row r="239" spans="1:29" s="3442" customFormat="1">
      <c r="A239" s="3439"/>
      <c r="B239" s="3439"/>
      <c r="C239" s="3439"/>
      <c r="D239" s="3439"/>
      <c r="E239" s="3439"/>
      <c r="F239" s="3439"/>
      <c r="G239" s="3439"/>
      <c r="H239" s="3439"/>
      <c r="I239" s="3439"/>
      <c r="J239" s="3439"/>
      <c r="K239" s="3440"/>
      <c r="L239" s="3441"/>
      <c r="M239" s="3439"/>
      <c r="N239" s="3439"/>
      <c r="O239" s="3439"/>
      <c r="P239" s="3439"/>
      <c r="Q239" s="3439"/>
      <c r="R239" s="3439"/>
      <c r="S239" s="3439"/>
      <c r="T239" s="3439"/>
      <c r="U239" s="3439"/>
      <c r="V239" s="3439"/>
      <c r="W239" s="3439"/>
      <c r="X239" s="3439"/>
      <c r="Y239" s="3439"/>
      <c r="Z239" s="3439"/>
      <c r="AA239" s="3439"/>
      <c r="AB239" s="3439"/>
      <c r="AC239" s="3439"/>
    </row>
    <row r="240" spans="1:29" s="3442" customFormat="1">
      <c r="A240" s="3439"/>
      <c r="B240" s="3439"/>
      <c r="C240" s="3439"/>
      <c r="D240" s="3439"/>
      <c r="E240" s="3439"/>
      <c r="F240" s="3439"/>
      <c r="G240" s="3439"/>
      <c r="H240" s="3439"/>
      <c r="I240" s="3439"/>
      <c r="J240" s="3439"/>
      <c r="K240" s="3440"/>
      <c r="L240" s="3441"/>
      <c r="M240" s="3439"/>
      <c r="N240" s="3439"/>
      <c r="O240" s="3439"/>
      <c r="P240" s="3439"/>
      <c r="Q240" s="3439"/>
      <c r="R240" s="3439"/>
      <c r="S240" s="3439"/>
      <c r="T240" s="3439"/>
      <c r="U240" s="3439"/>
      <c r="V240" s="3439"/>
      <c r="W240" s="3439"/>
      <c r="X240" s="3439"/>
      <c r="Y240" s="3439"/>
      <c r="Z240" s="3439"/>
      <c r="AA240" s="3439"/>
      <c r="AB240" s="3439"/>
      <c r="AC240" s="3439"/>
    </row>
    <row r="241" spans="1:29" s="3442" customFormat="1">
      <c r="A241" s="3439"/>
      <c r="B241" s="3439"/>
      <c r="C241" s="3439"/>
      <c r="D241" s="3439"/>
      <c r="E241" s="3439"/>
      <c r="F241" s="3439"/>
      <c r="G241" s="3439"/>
      <c r="H241" s="3439"/>
      <c r="I241" s="3439"/>
      <c r="J241" s="3439"/>
      <c r="K241" s="3440"/>
      <c r="L241" s="3441"/>
      <c r="M241" s="3439"/>
      <c r="N241" s="3439"/>
      <c r="O241" s="3439"/>
      <c r="P241" s="3439"/>
      <c r="Q241" s="3439"/>
      <c r="R241" s="3439"/>
      <c r="S241" s="3439"/>
      <c r="T241" s="3439"/>
      <c r="U241" s="3439"/>
      <c r="V241" s="3439"/>
      <c r="W241" s="3439"/>
      <c r="X241" s="3439"/>
      <c r="Y241" s="3439"/>
      <c r="Z241" s="3439"/>
      <c r="AA241" s="3439"/>
      <c r="AB241" s="3439"/>
      <c r="AC241" s="3439"/>
    </row>
    <row r="242" spans="1:29" s="3442" customFormat="1">
      <c r="A242" s="3439"/>
      <c r="B242" s="3439"/>
      <c r="C242" s="3439"/>
      <c r="D242" s="3439"/>
      <c r="E242" s="3439"/>
      <c r="F242" s="3439"/>
      <c r="G242" s="3439"/>
      <c r="H242" s="3439"/>
      <c r="I242" s="3439"/>
      <c r="J242" s="3439"/>
      <c r="K242" s="3440"/>
      <c r="L242" s="3441"/>
      <c r="M242" s="3439"/>
      <c r="N242" s="3439"/>
      <c r="O242" s="3439"/>
      <c r="P242" s="3439"/>
      <c r="Q242" s="3439"/>
      <c r="R242" s="3439"/>
      <c r="S242" s="3439"/>
      <c r="T242" s="3439"/>
      <c r="U242" s="3439"/>
      <c r="V242" s="3439"/>
      <c r="W242" s="3439"/>
      <c r="X242" s="3439"/>
      <c r="Y242" s="3439"/>
      <c r="Z242" s="3439"/>
      <c r="AA242" s="3439"/>
      <c r="AB242" s="3439"/>
      <c r="AC242" s="3439"/>
    </row>
    <row r="243" spans="1:29" s="3442" customFormat="1">
      <c r="A243" s="3439"/>
      <c r="B243" s="3439"/>
      <c r="C243" s="3439"/>
      <c r="D243" s="3439"/>
      <c r="E243" s="3439"/>
      <c r="F243" s="3439"/>
      <c r="G243" s="3439"/>
      <c r="H243" s="3439"/>
      <c r="I243" s="3439"/>
      <c r="J243" s="3439"/>
      <c r="K243" s="3440"/>
      <c r="L243" s="3441"/>
      <c r="M243" s="3439"/>
      <c r="N243" s="3439"/>
      <c r="O243" s="3439"/>
      <c r="P243" s="3439"/>
      <c r="Q243" s="3439"/>
      <c r="R243" s="3439"/>
      <c r="S243" s="3439"/>
      <c r="T243" s="3439"/>
      <c r="U243" s="3439"/>
      <c r="V243" s="3439"/>
      <c r="W243" s="3439"/>
      <c r="X243" s="3439"/>
      <c r="Y243" s="3439"/>
      <c r="Z243" s="3439"/>
      <c r="AA243" s="3439"/>
      <c r="AB243" s="3439"/>
      <c r="AC243" s="3439"/>
    </row>
    <row r="244" spans="1:29" s="3442" customFormat="1">
      <c r="A244" s="3439"/>
      <c r="B244" s="3439"/>
      <c r="C244" s="3439"/>
      <c r="D244" s="3439"/>
      <c r="E244" s="3439"/>
      <c r="F244" s="3439"/>
      <c r="G244" s="3439"/>
      <c r="H244" s="3439"/>
      <c r="I244" s="3439"/>
      <c r="J244" s="3439"/>
      <c r="K244" s="3440"/>
      <c r="L244" s="3441"/>
      <c r="M244" s="3439"/>
      <c r="N244" s="3439"/>
      <c r="O244" s="3439"/>
      <c r="P244" s="3439"/>
      <c r="Q244" s="3439"/>
      <c r="R244" s="3439"/>
      <c r="S244" s="3439"/>
      <c r="T244" s="3439"/>
      <c r="U244" s="3439"/>
      <c r="V244" s="3439"/>
      <c r="W244" s="3439"/>
      <c r="X244" s="3439"/>
      <c r="Y244" s="3439"/>
      <c r="Z244" s="3439"/>
      <c r="AA244" s="3439"/>
      <c r="AB244" s="3439"/>
      <c r="AC244" s="3439"/>
    </row>
    <row r="245" spans="1:29" s="3442" customFormat="1">
      <c r="A245" s="3439"/>
      <c r="B245" s="3439"/>
      <c r="C245" s="3439"/>
      <c r="D245" s="3439"/>
      <c r="E245" s="3439"/>
      <c r="F245" s="3439"/>
      <c r="G245" s="3439"/>
      <c r="H245" s="3439"/>
      <c r="I245" s="3439"/>
      <c r="J245" s="3439"/>
      <c r="K245" s="3440"/>
      <c r="L245" s="3441"/>
      <c r="M245" s="3439"/>
      <c r="N245" s="3439"/>
      <c r="O245" s="3439"/>
      <c r="P245" s="3439"/>
      <c r="Q245" s="3439"/>
      <c r="R245" s="3439"/>
      <c r="S245" s="3439"/>
      <c r="T245" s="3439"/>
      <c r="U245" s="3439"/>
      <c r="V245" s="3439"/>
      <c r="W245" s="3439"/>
      <c r="X245" s="3439"/>
      <c r="Y245" s="3439"/>
      <c r="Z245" s="3439"/>
      <c r="AA245" s="3439"/>
      <c r="AB245" s="3439"/>
      <c r="AC245" s="3439"/>
    </row>
    <row r="246" spans="1:29" s="3442" customFormat="1">
      <c r="A246" s="3439"/>
      <c r="B246" s="3439"/>
      <c r="C246" s="3439"/>
      <c r="D246" s="3439"/>
      <c r="E246" s="3439"/>
      <c r="F246" s="3439"/>
      <c r="G246" s="3439"/>
      <c r="H246" s="3439"/>
      <c r="I246" s="3439"/>
      <c r="J246" s="3439"/>
      <c r="K246" s="3440"/>
      <c r="L246" s="3441"/>
      <c r="M246" s="3439"/>
      <c r="N246" s="3439"/>
      <c r="O246" s="3439"/>
      <c r="P246" s="3439"/>
      <c r="Q246" s="3439"/>
      <c r="R246" s="3439"/>
      <c r="S246" s="3439"/>
      <c r="T246" s="3439"/>
      <c r="U246" s="3439"/>
      <c r="V246" s="3439"/>
      <c r="W246" s="3439"/>
      <c r="X246" s="3439"/>
      <c r="Y246" s="3439"/>
      <c r="Z246" s="3439"/>
      <c r="AA246" s="3439"/>
      <c r="AB246" s="3439"/>
      <c r="AC246" s="3439"/>
    </row>
    <row r="247" spans="1:29" s="3442" customFormat="1">
      <c r="A247" s="3439"/>
      <c r="B247" s="3439"/>
      <c r="C247" s="3439"/>
      <c r="D247" s="3439"/>
      <c r="E247" s="3439"/>
      <c r="F247" s="3439"/>
      <c r="G247" s="3439"/>
      <c r="H247" s="3439"/>
      <c r="I247" s="3439"/>
      <c r="J247" s="3439"/>
      <c r="K247" s="3440"/>
      <c r="L247" s="3441"/>
      <c r="M247" s="3439"/>
      <c r="N247" s="3439"/>
      <c r="O247" s="3439"/>
      <c r="P247" s="3439"/>
      <c r="Q247" s="3439"/>
      <c r="R247" s="3439"/>
      <c r="S247" s="3439"/>
      <c r="T247" s="3439"/>
      <c r="U247" s="3439"/>
      <c r="V247" s="3439"/>
      <c r="W247" s="3439"/>
      <c r="X247" s="3439"/>
      <c r="Y247" s="3439"/>
      <c r="Z247" s="3439"/>
      <c r="AA247" s="3439"/>
      <c r="AB247" s="3439"/>
      <c r="AC247" s="3439"/>
    </row>
    <row r="248" spans="1:29" s="3442" customFormat="1">
      <c r="A248" s="3439"/>
      <c r="B248" s="3439"/>
      <c r="C248" s="3439"/>
      <c r="D248" s="3439"/>
      <c r="E248" s="3439"/>
      <c r="F248" s="3439"/>
      <c r="G248" s="3439"/>
      <c r="H248" s="3439"/>
      <c r="I248" s="3439"/>
      <c r="J248" s="3439"/>
      <c r="K248" s="3440"/>
      <c r="L248" s="3441"/>
      <c r="M248" s="3439"/>
      <c r="N248" s="3439"/>
      <c r="O248" s="3439"/>
      <c r="P248" s="3439"/>
      <c r="Q248" s="3439"/>
      <c r="R248" s="3439"/>
      <c r="S248" s="3439"/>
      <c r="T248" s="3439"/>
      <c r="U248" s="3439"/>
      <c r="V248" s="3439"/>
      <c r="W248" s="3439"/>
      <c r="X248" s="3439"/>
      <c r="Y248" s="3439"/>
      <c r="Z248" s="3439"/>
      <c r="AA248" s="3439"/>
      <c r="AB248" s="3439"/>
      <c r="AC248" s="3439"/>
    </row>
    <row r="249" spans="1:29" s="3442" customFormat="1">
      <c r="A249" s="3439"/>
      <c r="B249" s="3439"/>
      <c r="C249" s="3439"/>
      <c r="D249" s="3439"/>
      <c r="E249" s="3439"/>
      <c r="F249" s="3439"/>
      <c r="G249" s="3439"/>
      <c r="H249" s="3439"/>
      <c r="I249" s="3439"/>
      <c r="J249" s="3439"/>
      <c r="K249" s="3440"/>
      <c r="L249" s="3441"/>
      <c r="M249" s="3439"/>
      <c r="N249" s="3439"/>
      <c r="O249" s="3439"/>
      <c r="P249" s="3439"/>
      <c r="Q249" s="3439"/>
      <c r="R249" s="3439"/>
      <c r="S249" s="3439"/>
      <c r="T249" s="3439"/>
      <c r="U249" s="3439"/>
      <c r="V249" s="3439"/>
      <c r="W249" s="3439"/>
      <c r="X249" s="3439"/>
      <c r="Y249" s="3439"/>
      <c r="Z249" s="3439"/>
      <c r="AA249" s="3439"/>
      <c r="AB249" s="3439"/>
      <c r="AC249" s="3439"/>
    </row>
    <row r="250" spans="1:29" s="3442" customFormat="1">
      <c r="A250" s="3439"/>
      <c r="B250" s="3439"/>
      <c r="C250" s="3439"/>
      <c r="D250" s="3439"/>
      <c r="E250" s="3439"/>
      <c r="F250" s="3439"/>
      <c r="G250" s="3439"/>
      <c r="H250" s="3439"/>
      <c r="I250" s="3439"/>
      <c r="J250" s="3439"/>
      <c r="K250" s="3440"/>
      <c r="L250" s="3441"/>
      <c r="M250" s="3439"/>
      <c r="N250" s="3439"/>
      <c r="O250" s="3439"/>
      <c r="P250" s="3439"/>
      <c r="Q250" s="3439"/>
      <c r="R250" s="3439"/>
      <c r="S250" s="3439"/>
      <c r="T250" s="3439"/>
      <c r="U250" s="3439"/>
      <c r="V250" s="3439"/>
      <c r="W250" s="3439"/>
      <c r="X250" s="3439"/>
      <c r="Y250" s="3439"/>
      <c r="Z250" s="3439"/>
      <c r="AA250" s="3439"/>
      <c r="AB250" s="3439"/>
      <c r="AC250" s="3439"/>
    </row>
    <row r="251" spans="1:29" s="3442" customFormat="1">
      <c r="A251" s="3439"/>
      <c r="B251" s="3439"/>
      <c r="C251" s="3439"/>
      <c r="D251" s="3439"/>
      <c r="E251" s="3439"/>
      <c r="F251" s="3439"/>
      <c r="G251" s="3439"/>
      <c r="H251" s="3439"/>
      <c r="I251" s="3439"/>
      <c r="J251" s="3439"/>
      <c r="K251" s="3440"/>
      <c r="L251" s="3441"/>
      <c r="M251" s="3439"/>
      <c r="N251" s="3439"/>
      <c r="O251" s="3439"/>
      <c r="P251" s="3439"/>
      <c r="Q251" s="3439"/>
      <c r="R251" s="3439"/>
      <c r="S251" s="3439"/>
      <c r="T251" s="3439"/>
      <c r="U251" s="3439"/>
      <c r="V251" s="3439"/>
      <c r="W251" s="3439"/>
      <c r="X251" s="3439"/>
      <c r="Y251" s="3439"/>
      <c r="Z251" s="3439"/>
      <c r="AA251" s="3439"/>
      <c r="AB251" s="3439"/>
      <c r="AC251" s="3439"/>
    </row>
    <row r="252" spans="1:29" s="3442" customFormat="1">
      <c r="A252" s="3439"/>
      <c r="B252" s="3439"/>
      <c r="C252" s="3439"/>
      <c r="D252" s="3439"/>
      <c r="E252" s="3439"/>
      <c r="F252" s="3439"/>
      <c r="G252" s="3439"/>
      <c r="H252" s="3439"/>
      <c r="I252" s="3439"/>
      <c r="J252" s="3439"/>
      <c r="K252" s="3440"/>
      <c r="L252" s="3441"/>
      <c r="M252" s="3439"/>
      <c r="N252" s="3439"/>
      <c r="O252" s="3439"/>
      <c r="P252" s="3439"/>
      <c r="Q252" s="3439"/>
      <c r="R252" s="3439"/>
      <c r="S252" s="3439"/>
      <c r="T252" s="3439"/>
      <c r="U252" s="3439"/>
      <c r="V252" s="3439"/>
      <c r="W252" s="3439"/>
      <c r="X252" s="3439"/>
      <c r="Y252" s="3439"/>
      <c r="Z252" s="3439"/>
      <c r="AA252" s="3439"/>
      <c r="AB252" s="3439"/>
      <c r="AC252" s="3439"/>
    </row>
    <row r="253" spans="1:29" s="3442" customFormat="1">
      <c r="A253" s="3439"/>
      <c r="B253" s="3439"/>
      <c r="C253" s="3439"/>
      <c r="D253" s="3439"/>
      <c r="E253" s="3439"/>
      <c r="F253" s="3439"/>
      <c r="G253" s="3439"/>
      <c r="H253" s="3439"/>
      <c r="I253" s="3439"/>
      <c r="J253" s="3439"/>
      <c r="K253" s="3440"/>
      <c r="L253" s="3441"/>
      <c r="M253" s="3439"/>
      <c r="N253" s="3439"/>
      <c r="O253" s="3439"/>
      <c r="P253" s="3439"/>
      <c r="Q253" s="3439"/>
      <c r="R253" s="3439"/>
      <c r="S253" s="3439"/>
      <c r="T253" s="3439"/>
      <c r="U253" s="3439"/>
      <c r="V253" s="3439"/>
      <c r="W253" s="3439"/>
      <c r="X253" s="3439"/>
      <c r="Y253" s="3439"/>
      <c r="Z253" s="3439"/>
      <c r="AA253" s="3439"/>
      <c r="AB253" s="3439"/>
      <c r="AC253" s="3439"/>
    </row>
    <row r="254" spans="1:29" s="3442" customFormat="1">
      <c r="A254" s="3439"/>
      <c r="B254" s="3439"/>
      <c r="C254" s="3439"/>
      <c r="D254" s="3439"/>
      <c r="E254" s="3439"/>
      <c r="F254" s="3439"/>
      <c r="G254" s="3439"/>
      <c r="H254" s="3439"/>
      <c r="I254" s="3439"/>
      <c r="J254" s="3439"/>
      <c r="K254" s="3440"/>
      <c r="L254" s="3441"/>
      <c r="M254" s="3439"/>
      <c r="N254" s="3439"/>
      <c r="O254" s="3439"/>
      <c r="P254" s="3439"/>
      <c r="Q254" s="3439"/>
      <c r="R254" s="3439"/>
      <c r="S254" s="3439"/>
      <c r="T254" s="3439"/>
      <c r="U254" s="3439"/>
      <c r="V254" s="3439"/>
      <c r="W254" s="3439"/>
      <c r="X254" s="3439"/>
      <c r="Y254" s="3439"/>
      <c r="Z254" s="3439"/>
      <c r="AA254" s="3439"/>
      <c r="AB254" s="3439"/>
      <c r="AC254" s="3439"/>
    </row>
    <row r="255" spans="1:29" s="3442" customFormat="1">
      <c r="A255" s="3439"/>
      <c r="B255" s="3439"/>
      <c r="C255" s="3439"/>
      <c r="D255" s="3439"/>
      <c r="E255" s="3439"/>
      <c r="F255" s="3439"/>
      <c r="G255" s="3439"/>
      <c r="H255" s="3439"/>
      <c r="I255" s="3439"/>
      <c r="J255" s="3439"/>
      <c r="K255" s="3440"/>
      <c r="L255" s="3441"/>
      <c r="M255" s="3439"/>
      <c r="N255" s="3439"/>
      <c r="O255" s="3439"/>
      <c r="P255" s="3439"/>
      <c r="Q255" s="3439"/>
      <c r="R255" s="3439"/>
      <c r="S255" s="3439"/>
      <c r="T255" s="3439"/>
      <c r="U255" s="3439"/>
      <c r="V255" s="3439"/>
      <c r="W255" s="3439"/>
      <c r="X255" s="3439"/>
      <c r="Y255" s="3439"/>
      <c r="Z255" s="3439"/>
      <c r="AA255" s="3439"/>
      <c r="AB255" s="3439"/>
      <c r="AC255" s="3439"/>
    </row>
    <row r="256" spans="1:29" s="3442" customFormat="1">
      <c r="K256" s="3443"/>
      <c r="L256" s="3444"/>
    </row>
    <row r="257" spans="11:12" s="3442" customFormat="1">
      <c r="K257" s="3443"/>
      <c r="L257" s="3444"/>
    </row>
    <row r="258" spans="11:12" s="3442" customFormat="1">
      <c r="K258" s="3443"/>
      <c r="L258" s="3444"/>
    </row>
    <row r="259" spans="11:12" s="3442" customFormat="1">
      <c r="K259" s="3443"/>
      <c r="L259" s="3444"/>
    </row>
  </sheetData>
  <sheetProtection password="CEE9" sheet="1" objects="1" scenarios="1" formatCells="0" formatColumns="0" formatRows="0"/>
  <mergeCells count="42">
    <mergeCell ref="G57:H58"/>
    <mergeCell ref="G59:G62"/>
    <mergeCell ref="P49:Q49"/>
    <mergeCell ref="R49:S49"/>
    <mergeCell ref="T49:U49"/>
    <mergeCell ref="P17:P37"/>
    <mergeCell ref="Y17:Y37"/>
    <mergeCell ref="V49:W49"/>
    <mergeCell ref="P50:Q50"/>
    <mergeCell ref="R50:W50"/>
    <mergeCell ref="P38:P47"/>
    <mergeCell ref="Y38:Y47"/>
    <mergeCell ref="P48:Q48"/>
    <mergeCell ref="R48:S48"/>
    <mergeCell ref="T48:U48"/>
    <mergeCell ref="V48:W48"/>
    <mergeCell ref="P10:Q10"/>
    <mergeCell ref="Y10:Z10"/>
    <mergeCell ref="P11:P16"/>
    <mergeCell ref="Y11:Y16"/>
    <mergeCell ref="Y9:Z9"/>
    <mergeCell ref="V6:W8"/>
    <mergeCell ref="Y6:Z8"/>
    <mergeCell ref="AA6:AA8"/>
    <mergeCell ref="AB6:AB8"/>
    <mergeCell ref="P9:Q9"/>
    <mergeCell ref="AC6:AC8"/>
    <mergeCell ref="C6:D6"/>
    <mergeCell ref="E6:F6"/>
    <mergeCell ref="G6:H6"/>
    <mergeCell ref="I6:J6"/>
    <mergeCell ref="P6:Q8"/>
    <mergeCell ref="R6:S8"/>
    <mergeCell ref="C7:D7"/>
    <mergeCell ref="E7:F7"/>
    <mergeCell ref="G7:H7"/>
    <mergeCell ref="I7:J7"/>
    <mergeCell ref="C8:D8"/>
    <mergeCell ref="E8:F8"/>
    <mergeCell ref="G8:H8"/>
    <mergeCell ref="I8:J8"/>
    <mergeCell ref="T6:U8"/>
  </mergeCells>
  <phoneticPr fontId="140" type="noConversion"/>
  <conditionalFormatting sqref="F53 H53 J53">
    <cfRule type="containsText" dxfId="17" priority="18" stopIfTrue="1" operator="containsText" text="超过">
      <formula>NOT(ISERROR(SEARCH("超过",F53)))</formula>
    </cfRule>
  </conditionalFormatting>
  <conditionalFormatting sqref="J55">
    <cfRule type="containsText" dxfId="16" priority="17" stopIfTrue="1" operator="containsText" text="超过">
      <formula>NOT(ISERROR(SEARCH("超过",J55)))</formula>
    </cfRule>
  </conditionalFormatting>
  <conditionalFormatting sqref="H55">
    <cfRule type="containsText" dxfId="15" priority="16" stopIfTrue="1" operator="containsText" text="超过">
      <formula>NOT(ISERROR(SEARCH("超过",H55)))</formula>
    </cfRule>
  </conditionalFormatting>
  <conditionalFormatting sqref="F55">
    <cfRule type="containsText" dxfId="14" priority="15" stopIfTrue="1" operator="containsText" text="超过">
      <formula>NOT(ISERROR(SEARCH("超过",F55)))</formula>
    </cfRule>
  </conditionalFormatting>
  <conditionalFormatting sqref="F54 H54 J54">
    <cfRule type="containsText" dxfId="13" priority="14" stopIfTrue="1" operator="containsText" text="超过">
      <formula>NOT(ISERROR(SEARCH("超过",F54)))</formula>
    </cfRule>
  </conditionalFormatting>
  <conditionalFormatting sqref="E53">
    <cfRule type="expression" dxfId="12" priority="13" stopIfTrue="1">
      <formula>$F$53="超过30%"</formula>
    </cfRule>
  </conditionalFormatting>
  <conditionalFormatting sqref="G55">
    <cfRule type="expression" dxfId="11" priority="12" stopIfTrue="1">
      <formula>$H$55="超过30%"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3">
    <cfRule type="expression" dxfId="8" priority="9" stopIfTrue="1">
      <formula>$H$55+$H$53="超过30%"</formula>
    </cfRule>
  </conditionalFormatting>
  <conditionalFormatting sqref="G54">
    <cfRule type="expression" dxfId="7" priority="8" stopIfTrue="1">
      <formula>$H$54="超过20%"</formula>
    </cfRule>
  </conditionalFormatting>
  <conditionalFormatting sqref="I53">
    <cfRule type="expression" dxfId="6" priority="7" stopIfTrue="1">
      <formula>$J$53="超过30%"</formula>
    </cfRule>
  </conditionalFormatting>
  <conditionalFormatting sqref="I54">
    <cfRule type="expression" dxfId="5" priority="6" stopIfTrue="1">
      <formula>$J$54="超过20%"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9:F47 H9:H47 J9:J47">
    <cfRule type="cellIs" dxfId="0" priority="1" operator="notEqual">
      <formula>100</formula>
    </cfRule>
  </conditionalFormatting>
  <dataValidations count="25">
    <dataValidation type="list" allowBlank="1" showInputMessage="1" showErrorMessage="1" sqref="D49" xr:uid="{00000000-0002-0000-2D00-000000000000}">
      <formula1>"简单平均,加权平均"</formula1>
    </dataValidation>
    <dataValidation type="list" allowBlank="1" showInputMessage="1" showErrorMessage="1" sqref="A73" xr:uid="{00000000-0002-0000-2D00-000001000000}">
      <formula1>"综合,商业,办公,住宅"</formula1>
    </dataValidation>
    <dataValidation type="list" allowBlank="1" showInputMessage="1" showErrorMessage="1" sqref="C32 E32 G32 I32" xr:uid="{00000000-0002-0000-2D00-000002000000}">
      <formula1>基础设施水平</formula1>
    </dataValidation>
    <dataValidation type="list" allowBlank="1" showInputMessage="1" showErrorMessage="1" sqref="D59:D67" xr:uid="{00000000-0002-0000-2D00-000003000000}">
      <formula1>"25%,1"</formula1>
    </dataValidation>
    <dataValidation type="list" allowBlank="1" showInputMessage="1" showErrorMessage="1" sqref="G64" xr:uid="{00000000-0002-0000-2D00-000004000000}">
      <formula1>"商业,办公,住宅,工业"</formula1>
    </dataValidation>
    <dataValidation type="list" allowBlank="1" showInputMessage="1" showErrorMessage="1" sqref="G65" xr:uid="{00000000-0002-0000-2D00-000005000000}">
      <formula1>"住宅,工业"</formula1>
    </dataValidation>
    <dataValidation type="list" allowBlank="1" showInputMessage="1" showErrorMessage="1" sqref="C57" xr:uid="{00000000-0002-0000-2D00-000006000000}">
      <formula1>"北京市系数,其他省市系数"</formula1>
    </dataValidation>
    <dataValidation type="list" allowBlank="1" showInputMessage="1" showErrorMessage="1" sqref="E26 G26 I26 C26" xr:uid="{00000000-0002-0000-2D00-000007000000}">
      <formula1>区域土地利用方向</formula1>
    </dataValidation>
    <dataValidation type="list" allowBlank="1" showInputMessage="1" showErrorMessage="1" sqref="C33 E33 G33 I33" xr:uid="{00000000-0002-0000-2D00-000008000000}">
      <formula1>临街状况</formula1>
    </dataValidation>
    <dataValidation type="list" allowBlank="1" showInputMessage="1" showErrorMessage="1" sqref="C44 E44 G44 I44" xr:uid="{00000000-0002-0000-2D00-000009000000}">
      <formula1>套综工程地质条件</formula1>
    </dataValidation>
    <dataValidation type="list" allowBlank="1" showInputMessage="1" showErrorMessage="1" sqref="C43 E43 G43 I43" xr:uid="{00000000-0002-0000-2D00-00000A000000}">
      <formula1>套综宗地内开发程度</formula1>
    </dataValidation>
    <dataValidation type="list" allowBlank="1" showInputMessage="1" showErrorMessage="1" sqref="C42 E42 G42 I42" xr:uid="{00000000-0002-0000-2D00-00000B000000}">
      <formula1>套综临街宽度及深度</formula1>
    </dataValidation>
    <dataValidation type="list" allowBlank="1" showInputMessage="1" showErrorMessage="1" sqref="C41 E41 G41 I41" xr:uid="{00000000-0002-0000-2D00-00000C000000}">
      <formula1>套综宗地形状</formula1>
    </dataValidation>
    <dataValidation type="list" allowBlank="1" showInputMessage="1" showErrorMessage="1" sqref="C36 E36 G36 I36" xr:uid="{00000000-0002-0000-2D00-00000D000000}">
      <formula1>套综土地级别</formula1>
    </dataValidation>
    <dataValidation type="list" allowBlank="1" showInputMessage="1" showErrorMessage="1" sqref="C35 E35 G35 I35" xr:uid="{00000000-0002-0000-2D00-00000E000000}">
      <formula1>套综道路等级</formula1>
    </dataValidation>
    <dataValidation type="list" allowBlank="1" showInputMessage="1" showErrorMessage="1" sqref="E22 C22 G22 I22" xr:uid="{00000000-0002-0000-2D00-00000F000000}">
      <formula1>办公集聚程度</formula1>
    </dataValidation>
    <dataValidation type="list" allowBlank="1" showInputMessage="1" showErrorMessage="1" sqref="E20 C20 G20 I20" xr:uid="{00000000-0002-0000-2D00-000010000000}">
      <formula1>商业繁华度</formula1>
    </dataValidation>
    <dataValidation type="list" allowBlank="1" showInputMessage="1" showErrorMessage="1" sqref="C11 E11 G11 I11" xr:uid="{00000000-0002-0000-2D00-000011000000}">
      <formula1>套综用途</formula1>
    </dataValidation>
    <dataValidation type="list" allowBlank="1" showInputMessage="1" showErrorMessage="1" sqref="C10 E10 G10 I10" xr:uid="{00000000-0002-0000-2D00-000012000000}">
      <formula1>套综交易情况</formula1>
    </dataValidation>
    <dataValidation type="list" allowBlank="1" showInputMessage="1" showErrorMessage="1" sqref="B48" xr:uid="{00000000-0002-0000-2D00-000013000000}">
      <formula1>单价内涵</formula1>
    </dataValidation>
    <dataValidation type="list" allowBlank="1" showInputMessage="1" showErrorMessage="1" sqref="C28 E28 G28 I28" xr:uid="{00000000-0002-0000-2D00-000014000000}">
      <formula1>环境</formula1>
    </dataValidation>
    <dataValidation type="list" allowBlank="1" showInputMessage="1" showErrorMessage="1" sqref="E18 G18 I18 C18" xr:uid="{00000000-0002-0000-2D00-000015000000}">
      <formula1>居住社区成熟度</formula1>
    </dataValidation>
    <dataValidation type="list" allowBlank="1" showInputMessage="1" showErrorMessage="1" sqref="E24 C24 G24 I24" xr:uid="{00000000-0002-0000-2D00-000016000000}">
      <formula1>交通便捷度</formula1>
    </dataValidation>
    <dataValidation type="list" allowBlank="1" showInputMessage="1" showErrorMessage="1" sqref="E30 C30 I30 G30" xr:uid="{00000000-0002-0000-2D00-000017000000}">
      <formula1>公共配套设施</formula1>
    </dataValidation>
    <dataValidation type="list" allowBlank="1" showInputMessage="1" showErrorMessage="1" sqref="C27" xr:uid="{00000000-0002-0000-2D00-000018000000}">
      <formula1>住宅朝向</formula1>
    </dataValidation>
  </dataValidations>
  <pageMargins left="0.70866141732283472" right="0.70866141732283472" top="1.0629921259842521" bottom="0.94488188976377963" header="0.31496062992125984" footer="0.31496062992125984"/>
  <pageSetup paperSize="9" scale="46" fitToHeight="0" orientation="portrait" r:id="rId1"/>
  <rowBreaks count="1" manualBreakCount="1">
    <brk id="55" max="13" man="1"/>
  </rowBreaks>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pageSetUpPr autoPageBreaks="0" fitToPage="1"/>
  </sheetPr>
  <dimension ref="A1:S51"/>
  <sheetViews>
    <sheetView topLeftCell="A10" workbookViewId="0">
      <selection activeCell="M32" sqref="M32"/>
    </sheetView>
  </sheetViews>
  <sheetFormatPr defaultColWidth="8.875" defaultRowHeight="12.75"/>
  <cols>
    <col min="1" max="1" width="25.375" style="3447" customWidth="1"/>
    <col min="2" max="2" width="14.5" style="3447" customWidth="1"/>
    <col min="3" max="3" width="11.625" style="3447" customWidth="1"/>
    <col min="4" max="4" width="13.875" style="3447" customWidth="1"/>
    <col min="5" max="5" width="7.625" style="3447" customWidth="1"/>
    <col min="6" max="6" width="19" style="3447" customWidth="1"/>
    <col min="7" max="7" width="6.375" style="3447" customWidth="1"/>
    <col min="8" max="8" width="11.125" style="3447" customWidth="1"/>
    <col min="9" max="9" width="7.875" style="3447" hidden="1" customWidth="1"/>
    <col min="10" max="11" width="9" style="3447" customWidth="1"/>
    <col min="12" max="13" width="10.625" style="3447" customWidth="1"/>
    <col min="14" max="14" width="14.375" style="3447" customWidth="1"/>
    <col min="15" max="15" width="9.625" style="3447" customWidth="1"/>
    <col min="16" max="16" width="6.125" style="3447" customWidth="1"/>
    <col min="17" max="17" width="32.625" style="3447" customWidth="1"/>
    <col min="18" max="18" width="7.875" style="3447" customWidth="1"/>
    <col min="19" max="19" width="9" style="3450"/>
    <col min="20" max="256" width="9" style="3447"/>
    <col min="257" max="257" width="25.375" style="3447" customWidth="1"/>
    <col min="258" max="258" width="14.5" style="3447" customWidth="1"/>
    <col min="259" max="259" width="11.625" style="3447" customWidth="1"/>
    <col min="260" max="261" width="13.875" style="3447" customWidth="1"/>
    <col min="262" max="262" width="10.5" style="3447" customWidth="1"/>
    <col min="263" max="263" width="6.375" style="3447" customWidth="1"/>
    <col min="264" max="264" width="11.125" style="3447" customWidth="1"/>
    <col min="265" max="265" width="0" style="3447" hidden="1" customWidth="1"/>
    <col min="266" max="267" width="9" style="3447" customWidth="1"/>
    <col min="268" max="269" width="10.625" style="3447" customWidth="1"/>
    <col min="270" max="270" width="14.375" style="3447" customWidth="1"/>
    <col min="271" max="271" width="9.625" style="3447" customWidth="1"/>
    <col min="272" max="272" width="6.125" style="3447" customWidth="1"/>
    <col min="273" max="273" width="32.625" style="3447" customWidth="1"/>
    <col min="274" max="274" width="7.875" style="3447" customWidth="1"/>
    <col min="275" max="512" width="9" style="3447"/>
    <col min="513" max="513" width="25.375" style="3447" customWidth="1"/>
    <col min="514" max="514" width="14.5" style="3447" customWidth="1"/>
    <col min="515" max="515" width="11.625" style="3447" customWidth="1"/>
    <col min="516" max="517" width="13.875" style="3447" customWidth="1"/>
    <col min="518" max="518" width="10.5" style="3447" customWidth="1"/>
    <col min="519" max="519" width="6.375" style="3447" customWidth="1"/>
    <col min="520" max="520" width="11.125" style="3447" customWidth="1"/>
    <col min="521" max="521" width="0" style="3447" hidden="1" customWidth="1"/>
    <col min="522" max="523" width="9" style="3447" customWidth="1"/>
    <col min="524" max="525" width="10.625" style="3447" customWidth="1"/>
    <col min="526" max="526" width="14.375" style="3447" customWidth="1"/>
    <col min="527" max="527" width="9.625" style="3447" customWidth="1"/>
    <col min="528" max="528" width="6.125" style="3447" customWidth="1"/>
    <col min="529" max="529" width="32.625" style="3447" customWidth="1"/>
    <col min="530" max="530" width="7.875" style="3447" customWidth="1"/>
    <col min="531" max="768" width="9" style="3447"/>
    <col min="769" max="769" width="25.375" style="3447" customWidth="1"/>
    <col min="770" max="770" width="14.5" style="3447" customWidth="1"/>
    <col min="771" max="771" width="11.625" style="3447" customWidth="1"/>
    <col min="772" max="773" width="13.875" style="3447" customWidth="1"/>
    <col min="774" max="774" width="10.5" style="3447" customWidth="1"/>
    <col min="775" max="775" width="6.375" style="3447" customWidth="1"/>
    <col min="776" max="776" width="11.125" style="3447" customWidth="1"/>
    <col min="777" max="777" width="0" style="3447" hidden="1" customWidth="1"/>
    <col min="778" max="779" width="9" style="3447" customWidth="1"/>
    <col min="780" max="781" width="10.625" style="3447" customWidth="1"/>
    <col min="782" max="782" width="14.375" style="3447" customWidth="1"/>
    <col min="783" max="783" width="9.625" style="3447" customWidth="1"/>
    <col min="784" max="784" width="6.125" style="3447" customWidth="1"/>
    <col min="785" max="785" width="32.625" style="3447" customWidth="1"/>
    <col min="786" max="786" width="7.875" style="3447" customWidth="1"/>
    <col min="787" max="1024" width="9" style="3447"/>
    <col min="1025" max="1025" width="25.375" style="3447" customWidth="1"/>
    <col min="1026" max="1026" width="14.5" style="3447" customWidth="1"/>
    <col min="1027" max="1027" width="11.625" style="3447" customWidth="1"/>
    <col min="1028" max="1029" width="13.875" style="3447" customWidth="1"/>
    <col min="1030" max="1030" width="10.5" style="3447" customWidth="1"/>
    <col min="1031" max="1031" width="6.375" style="3447" customWidth="1"/>
    <col min="1032" max="1032" width="11.125" style="3447" customWidth="1"/>
    <col min="1033" max="1033" width="0" style="3447" hidden="1" customWidth="1"/>
    <col min="1034" max="1035" width="9" style="3447" customWidth="1"/>
    <col min="1036" max="1037" width="10.625" style="3447" customWidth="1"/>
    <col min="1038" max="1038" width="14.375" style="3447" customWidth="1"/>
    <col min="1039" max="1039" width="9.625" style="3447" customWidth="1"/>
    <col min="1040" max="1040" width="6.125" style="3447" customWidth="1"/>
    <col min="1041" max="1041" width="32.625" style="3447" customWidth="1"/>
    <col min="1042" max="1042" width="7.875" style="3447" customWidth="1"/>
    <col min="1043" max="1280" width="9" style="3447"/>
    <col min="1281" max="1281" width="25.375" style="3447" customWidth="1"/>
    <col min="1282" max="1282" width="14.5" style="3447" customWidth="1"/>
    <col min="1283" max="1283" width="11.625" style="3447" customWidth="1"/>
    <col min="1284" max="1285" width="13.875" style="3447" customWidth="1"/>
    <col min="1286" max="1286" width="10.5" style="3447" customWidth="1"/>
    <col min="1287" max="1287" width="6.375" style="3447" customWidth="1"/>
    <col min="1288" max="1288" width="11.125" style="3447" customWidth="1"/>
    <col min="1289" max="1289" width="0" style="3447" hidden="1" customWidth="1"/>
    <col min="1290" max="1291" width="9" style="3447" customWidth="1"/>
    <col min="1292" max="1293" width="10.625" style="3447" customWidth="1"/>
    <col min="1294" max="1294" width="14.375" style="3447" customWidth="1"/>
    <col min="1295" max="1295" width="9.625" style="3447" customWidth="1"/>
    <col min="1296" max="1296" width="6.125" style="3447" customWidth="1"/>
    <col min="1297" max="1297" width="32.625" style="3447" customWidth="1"/>
    <col min="1298" max="1298" width="7.875" style="3447" customWidth="1"/>
    <col min="1299" max="1536" width="9" style="3447"/>
    <col min="1537" max="1537" width="25.375" style="3447" customWidth="1"/>
    <col min="1538" max="1538" width="14.5" style="3447" customWidth="1"/>
    <col min="1539" max="1539" width="11.625" style="3447" customWidth="1"/>
    <col min="1540" max="1541" width="13.875" style="3447" customWidth="1"/>
    <col min="1542" max="1542" width="10.5" style="3447" customWidth="1"/>
    <col min="1543" max="1543" width="6.375" style="3447" customWidth="1"/>
    <col min="1544" max="1544" width="11.125" style="3447" customWidth="1"/>
    <col min="1545" max="1545" width="0" style="3447" hidden="1" customWidth="1"/>
    <col min="1546" max="1547" width="9" style="3447" customWidth="1"/>
    <col min="1548" max="1549" width="10.625" style="3447" customWidth="1"/>
    <col min="1550" max="1550" width="14.375" style="3447" customWidth="1"/>
    <col min="1551" max="1551" width="9.625" style="3447" customWidth="1"/>
    <col min="1552" max="1552" width="6.125" style="3447" customWidth="1"/>
    <col min="1553" max="1553" width="32.625" style="3447" customWidth="1"/>
    <col min="1554" max="1554" width="7.875" style="3447" customWidth="1"/>
    <col min="1555" max="1792" width="9" style="3447"/>
    <col min="1793" max="1793" width="25.375" style="3447" customWidth="1"/>
    <col min="1794" max="1794" width="14.5" style="3447" customWidth="1"/>
    <col min="1795" max="1795" width="11.625" style="3447" customWidth="1"/>
    <col min="1796" max="1797" width="13.875" style="3447" customWidth="1"/>
    <col min="1798" max="1798" width="10.5" style="3447" customWidth="1"/>
    <col min="1799" max="1799" width="6.375" style="3447" customWidth="1"/>
    <col min="1800" max="1800" width="11.125" style="3447" customWidth="1"/>
    <col min="1801" max="1801" width="0" style="3447" hidden="1" customWidth="1"/>
    <col min="1802" max="1803" width="9" style="3447" customWidth="1"/>
    <col min="1804" max="1805" width="10.625" style="3447" customWidth="1"/>
    <col min="1806" max="1806" width="14.375" style="3447" customWidth="1"/>
    <col min="1807" max="1807" width="9.625" style="3447" customWidth="1"/>
    <col min="1808" max="1808" width="6.125" style="3447" customWidth="1"/>
    <col min="1809" max="1809" width="32.625" style="3447" customWidth="1"/>
    <col min="1810" max="1810" width="7.875" style="3447" customWidth="1"/>
    <col min="1811" max="2048" width="9" style="3447"/>
    <col min="2049" max="2049" width="25.375" style="3447" customWidth="1"/>
    <col min="2050" max="2050" width="14.5" style="3447" customWidth="1"/>
    <col min="2051" max="2051" width="11.625" style="3447" customWidth="1"/>
    <col min="2052" max="2053" width="13.875" style="3447" customWidth="1"/>
    <col min="2054" max="2054" width="10.5" style="3447" customWidth="1"/>
    <col min="2055" max="2055" width="6.375" style="3447" customWidth="1"/>
    <col min="2056" max="2056" width="11.125" style="3447" customWidth="1"/>
    <col min="2057" max="2057" width="0" style="3447" hidden="1" customWidth="1"/>
    <col min="2058" max="2059" width="9" style="3447" customWidth="1"/>
    <col min="2060" max="2061" width="10.625" style="3447" customWidth="1"/>
    <col min="2062" max="2062" width="14.375" style="3447" customWidth="1"/>
    <col min="2063" max="2063" width="9.625" style="3447" customWidth="1"/>
    <col min="2064" max="2064" width="6.125" style="3447" customWidth="1"/>
    <col min="2065" max="2065" width="32.625" style="3447" customWidth="1"/>
    <col min="2066" max="2066" width="7.875" style="3447" customWidth="1"/>
    <col min="2067" max="2304" width="9" style="3447"/>
    <col min="2305" max="2305" width="25.375" style="3447" customWidth="1"/>
    <col min="2306" max="2306" width="14.5" style="3447" customWidth="1"/>
    <col min="2307" max="2307" width="11.625" style="3447" customWidth="1"/>
    <col min="2308" max="2309" width="13.875" style="3447" customWidth="1"/>
    <col min="2310" max="2310" width="10.5" style="3447" customWidth="1"/>
    <col min="2311" max="2311" width="6.375" style="3447" customWidth="1"/>
    <col min="2312" max="2312" width="11.125" style="3447" customWidth="1"/>
    <col min="2313" max="2313" width="0" style="3447" hidden="1" customWidth="1"/>
    <col min="2314" max="2315" width="9" style="3447" customWidth="1"/>
    <col min="2316" max="2317" width="10.625" style="3447" customWidth="1"/>
    <col min="2318" max="2318" width="14.375" style="3447" customWidth="1"/>
    <col min="2319" max="2319" width="9.625" style="3447" customWidth="1"/>
    <col min="2320" max="2320" width="6.125" style="3447" customWidth="1"/>
    <col min="2321" max="2321" width="32.625" style="3447" customWidth="1"/>
    <col min="2322" max="2322" width="7.875" style="3447" customWidth="1"/>
    <col min="2323" max="2560" width="9" style="3447"/>
    <col min="2561" max="2561" width="25.375" style="3447" customWidth="1"/>
    <col min="2562" max="2562" width="14.5" style="3447" customWidth="1"/>
    <col min="2563" max="2563" width="11.625" style="3447" customWidth="1"/>
    <col min="2564" max="2565" width="13.875" style="3447" customWidth="1"/>
    <col min="2566" max="2566" width="10.5" style="3447" customWidth="1"/>
    <col min="2567" max="2567" width="6.375" style="3447" customWidth="1"/>
    <col min="2568" max="2568" width="11.125" style="3447" customWidth="1"/>
    <col min="2569" max="2569" width="0" style="3447" hidden="1" customWidth="1"/>
    <col min="2570" max="2571" width="9" style="3447" customWidth="1"/>
    <col min="2572" max="2573" width="10.625" style="3447" customWidth="1"/>
    <col min="2574" max="2574" width="14.375" style="3447" customWidth="1"/>
    <col min="2575" max="2575" width="9.625" style="3447" customWidth="1"/>
    <col min="2576" max="2576" width="6.125" style="3447" customWidth="1"/>
    <col min="2577" max="2577" width="32.625" style="3447" customWidth="1"/>
    <col min="2578" max="2578" width="7.875" style="3447" customWidth="1"/>
    <col min="2579" max="2816" width="9" style="3447"/>
    <col min="2817" max="2817" width="25.375" style="3447" customWidth="1"/>
    <col min="2818" max="2818" width="14.5" style="3447" customWidth="1"/>
    <col min="2819" max="2819" width="11.625" style="3447" customWidth="1"/>
    <col min="2820" max="2821" width="13.875" style="3447" customWidth="1"/>
    <col min="2822" max="2822" width="10.5" style="3447" customWidth="1"/>
    <col min="2823" max="2823" width="6.375" style="3447" customWidth="1"/>
    <col min="2824" max="2824" width="11.125" style="3447" customWidth="1"/>
    <col min="2825" max="2825" width="0" style="3447" hidden="1" customWidth="1"/>
    <col min="2826" max="2827" width="9" style="3447" customWidth="1"/>
    <col min="2828" max="2829" width="10.625" style="3447" customWidth="1"/>
    <col min="2830" max="2830" width="14.375" style="3447" customWidth="1"/>
    <col min="2831" max="2831" width="9.625" style="3447" customWidth="1"/>
    <col min="2832" max="2832" width="6.125" style="3447" customWidth="1"/>
    <col min="2833" max="2833" width="32.625" style="3447" customWidth="1"/>
    <col min="2834" max="2834" width="7.875" style="3447" customWidth="1"/>
    <col min="2835" max="3072" width="9" style="3447"/>
    <col min="3073" max="3073" width="25.375" style="3447" customWidth="1"/>
    <col min="3074" max="3074" width="14.5" style="3447" customWidth="1"/>
    <col min="3075" max="3075" width="11.625" style="3447" customWidth="1"/>
    <col min="3076" max="3077" width="13.875" style="3447" customWidth="1"/>
    <col min="3078" max="3078" width="10.5" style="3447" customWidth="1"/>
    <col min="3079" max="3079" width="6.375" style="3447" customWidth="1"/>
    <col min="3080" max="3080" width="11.125" style="3447" customWidth="1"/>
    <col min="3081" max="3081" width="0" style="3447" hidden="1" customWidth="1"/>
    <col min="3082" max="3083" width="9" style="3447" customWidth="1"/>
    <col min="3084" max="3085" width="10.625" style="3447" customWidth="1"/>
    <col min="3086" max="3086" width="14.375" style="3447" customWidth="1"/>
    <col min="3087" max="3087" width="9.625" style="3447" customWidth="1"/>
    <col min="3088" max="3088" width="6.125" style="3447" customWidth="1"/>
    <col min="3089" max="3089" width="32.625" style="3447" customWidth="1"/>
    <col min="3090" max="3090" width="7.875" style="3447" customWidth="1"/>
    <col min="3091" max="3328" width="9" style="3447"/>
    <col min="3329" max="3329" width="25.375" style="3447" customWidth="1"/>
    <col min="3330" max="3330" width="14.5" style="3447" customWidth="1"/>
    <col min="3331" max="3331" width="11.625" style="3447" customWidth="1"/>
    <col min="3332" max="3333" width="13.875" style="3447" customWidth="1"/>
    <col min="3334" max="3334" width="10.5" style="3447" customWidth="1"/>
    <col min="3335" max="3335" width="6.375" style="3447" customWidth="1"/>
    <col min="3336" max="3336" width="11.125" style="3447" customWidth="1"/>
    <col min="3337" max="3337" width="0" style="3447" hidden="1" customWidth="1"/>
    <col min="3338" max="3339" width="9" style="3447" customWidth="1"/>
    <col min="3340" max="3341" width="10.625" style="3447" customWidth="1"/>
    <col min="3342" max="3342" width="14.375" style="3447" customWidth="1"/>
    <col min="3343" max="3343" width="9.625" style="3447" customWidth="1"/>
    <col min="3344" max="3344" width="6.125" style="3447" customWidth="1"/>
    <col min="3345" max="3345" width="32.625" style="3447" customWidth="1"/>
    <col min="3346" max="3346" width="7.875" style="3447" customWidth="1"/>
    <col min="3347" max="3584" width="9" style="3447"/>
    <col min="3585" max="3585" width="25.375" style="3447" customWidth="1"/>
    <col min="3586" max="3586" width="14.5" style="3447" customWidth="1"/>
    <col min="3587" max="3587" width="11.625" style="3447" customWidth="1"/>
    <col min="3588" max="3589" width="13.875" style="3447" customWidth="1"/>
    <col min="3590" max="3590" width="10.5" style="3447" customWidth="1"/>
    <col min="3591" max="3591" width="6.375" style="3447" customWidth="1"/>
    <col min="3592" max="3592" width="11.125" style="3447" customWidth="1"/>
    <col min="3593" max="3593" width="0" style="3447" hidden="1" customWidth="1"/>
    <col min="3594" max="3595" width="9" style="3447" customWidth="1"/>
    <col min="3596" max="3597" width="10.625" style="3447" customWidth="1"/>
    <col min="3598" max="3598" width="14.375" style="3447" customWidth="1"/>
    <col min="3599" max="3599" width="9.625" style="3447" customWidth="1"/>
    <col min="3600" max="3600" width="6.125" style="3447" customWidth="1"/>
    <col min="3601" max="3601" width="32.625" style="3447" customWidth="1"/>
    <col min="3602" max="3602" width="7.875" style="3447" customWidth="1"/>
    <col min="3603" max="3840" width="9" style="3447"/>
    <col min="3841" max="3841" width="25.375" style="3447" customWidth="1"/>
    <col min="3842" max="3842" width="14.5" style="3447" customWidth="1"/>
    <col min="3843" max="3843" width="11.625" style="3447" customWidth="1"/>
    <col min="3844" max="3845" width="13.875" style="3447" customWidth="1"/>
    <col min="3846" max="3846" width="10.5" style="3447" customWidth="1"/>
    <col min="3847" max="3847" width="6.375" style="3447" customWidth="1"/>
    <col min="3848" max="3848" width="11.125" style="3447" customWidth="1"/>
    <col min="3849" max="3849" width="0" style="3447" hidden="1" customWidth="1"/>
    <col min="3850" max="3851" width="9" style="3447" customWidth="1"/>
    <col min="3852" max="3853" width="10.625" style="3447" customWidth="1"/>
    <col min="3854" max="3854" width="14.375" style="3447" customWidth="1"/>
    <col min="3855" max="3855" width="9.625" style="3447" customWidth="1"/>
    <col min="3856" max="3856" width="6.125" style="3447" customWidth="1"/>
    <col min="3857" max="3857" width="32.625" style="3447" customWidth="1"/>
    <col min="3858" max="3858" width="7.875" style="3447" customWidth="1"/>
    <col min="3859" max="4096" width="9" style="3447"/>
    <col min="4097" max="4097" width="25.375" style="3447" customWidth="1"/>
    <col min="4098" max="4098" width="14.5" style="3447" customWidth="1"/>
    <col min="4099" max="4099" width="11.625" style="3447" customWidth="1"/>
    <col min="4100" max="4101" width="13.875" style="3447" customWidth="1"/>
    <col min="4102" max="4102" width="10.5" style="3447" customWidth="1"/>
    <col min="4103" max="4103" width="6.375" style="3447" customWidth="1"/>
    <col min="4104" max="4104" width="11.125" style="3447" customWidth="1"/>
    <col min="4105" max="4105" width="0" style="3447" hidden="1" customWidth="1"/>
    <col min="4106" max="4107" width="9" style="3447" customWidth="1"/>
    <col min="4108" max="4109" width="10.625" style="3447" customWidth="1"/>
    <col min="4110" max="4110" width="14.375" style="3447" customWidth="1"/>
    <col min="4111" max="4111" width="9.625" style="3447" customWidth="1"/>
    <col min="4112" max="4112" width="6.125" style="3447" customWidth="1"/>
    <col min="4113" max="4113" width="32.625" style="3447" customWidth="1"/>
    <col min="4114" max="4114" width="7.875" style="3447" customWidth="1"/>
    <col min="4115" max="4352" width="9" style="3447"/>
    <col min="4353" max="4353" width="25.375" style="3447" customWidth="1"/>
    <col min="4354" max="4354" width="14.5" style="3447" customWidth="1"/>
    <col min="4355" max="4355" width="11.625" style="3447" customWidth="1"/>
    <col min="4356" max="4357" width="13.875" style="3447" customWidth="1"/>
    <col min="4358" max="4358" width="10.5" style="3447" customWidth="1"/>
    <col min="4359" max="4359" width="6.375" style="3447" customWidth="1"/>
    <col min="4360" max="4360" width="11.125" style="3447" customWidth="1"/>
    <col min="4361" max="4361" width="0" style="3447" hidden="1" customWidth="1"/>
    <col min="4362" max="4363" width="9" style="3447" customWidth="1"/>
    <col min="4364" max="4365" width="10.625" style="3447" customWidth="1"/>
    <col min="4366" max="4366" width="14.375" style="3447" customWidth="1"/>
    <col min="4367" max="4367" width="9.625" style="3447" customWidth="1"/>
    <col min="4368" max="4368" width="6.125" style="3447" customWidth="1"/>
    <col min="4369" max="4369" width="32.625" style="3447" customWidth="1"/>
    <col min="4370" max="4370" width="7.875" style="3447" customWidth="1"/>
    <col min="4371" max="4608" width="9" style="3447"/>
    <col min="4609" max="4609" width="25.375" style="3447" customWidth="1"/>
    <col min="4610" max="4610" width="14.5" style="3447" customWidth="1"/>
    <col min="4611" max="4611" width="11.625" style="3447" customWidth="1"/>
    <col min="4612" max="4613" width="13.875" style="3447" customWidth="1"/>
    <col min="4614" max="4614" width="10.5" style="3447" customWidth="1"/>
    <col min="4615" max="4615" width="6.375" style="3447" customWidth="1"/>
    <col min="4616" max="4616" width="11.125" style="3447" customWidth="1"/>
    <col min="4617" max="4617" width="0" style="3447" hidden="1" customWidth="1"/>
    <col min="4618" max="4619" width="9" style="3447" customWidth="1"/>
    <col min="4620" max="4621" width="10.625" style="3447" customWidth="1"/>
    <col min="4622" max="4622" width="14.375" style="3447" customWidth="1"/>
    <col min="4623" max="4623" width="9.625" style="3447" customWidth="1"/>
    <col min="4624" max="4624" width="6.125" style="3447" customWidth="1"/>
    <col min="4625" max="4625" width="32.625" style="3447" customWidth="1"/>
    <col min="4626" max="4626" width="7.875" style="3447" customWidth="1"/>
    <col min="4627" max="4864" width="9" style="3447"/>
    <col min="4865" max="4865" width="25.375" style="3447" customWidth="1"/>
    <col min="4866" max="4866" width="14.5" style="3447" customWidth="1"/>
    <col min="4867" max="4867" width="11.625" style="3447" customWidth="1"/>
    <col min="4868" max="4869" width="13.875" style="3447" customWidth="1"/>
    <col min="4870" max="4870" width="10.5" style="3447" customWidth="1"/>
    <col min="4871" max="4871" width="6.375" style="3447" customWidth="1"/>
    <col min="4872" max="4872" width="11.125" style="3447" customWidth="1"/>
    <col min="4873" max="4873" width="0" style="3447" hidden="1" customWidth="1"/>
    <col min="4874" max="4875" width="9" style="3447" customWidth="1"/>
    <col min="4876" max="4877" width="10.625" style="3447" customWidth="1"/>
    <col min="4878" max="4878" width="14.375" style="3447" customWidth="1"/>
    <col min="4879" max="4879" width="9.625" style="3447" customWidth="1"/>
    <col min="4880" max="4880" width="6.125" style="3447" customWidth="1"/>
    <col min="4881" max="4881" width="32.625" style="3447" customWidth="1"/>
    <col min="4882" max="4882" width="7.875" style="3447" customWidth="1"/>
    <col min="4883" max="5120" width="9" style="3447"/>
    <col min="5121" max="5121" width="25.375" style="3447" customWidth="1"/>
    <col min="5122" max="5122" width="14.5" style="3447" customWidth="1"/>
    <col min="5123" max="5123" width="11.625" style="3447" customWidth="1"/>
    <col min="5124" max="5125" width="13.875" style="3447" customWidth="1"/>
    <col min="5126" max="5126" width="10.5" style="3447" customWidth="1"/>
    <col min="5127" max="5127" width="6.375" style="3447" customWidth="1"/>
    <col min="5128" max="5128" width="11.125" style="3447" customWidth="1"/>
    <col min="5129" max="5129" width="0" style="3447" hidden="1" customWidth="1"/>
    <col min="5130" max="5131" width="9" style="3447" customWidth="1"/>
    <col min="5132" max="5133" width="10.625" style="3447" customWidth="1"/>
    <col min="5134" max="5134" width="14.375" style="3447" customWidth="1"/>
    <col min="5135" max="5135" width="9.625" style="3447" customWidth="1"/>
    <col min="5136" max="5136" width="6.125" style="3447" customWidth="1"/>
    <col min="5137" max="5137" width="32.625" style="3447" customWidth="1"/>
    <col min="5138" max="5138" width="7.875" style="3447" customWidth="1"/>
    <col min="5139" max="5376" width="9" style="3447"/>
    <col min="5377" max="5377" width="25.375" style="3447" customWidth="1"/>
    <col min="5378" max="5378" width="14.5" style="3447" customWidth="1"/>
    <col min="5379" max="5379" width="11.625" style="3447" customWidth="1"/>
    <col min="5380" max="5381" width="13.875" style="3447" customWidth="1"/>
    <col min="5382" max="5382" width="10.5" style="3447" customWidth="1"/>
    <col min="5383" max="5383" width="6.375" style="3447" customWidth="1"/>
    <col min="5384" max="5384" width="11.125" style="3447" customWidth="1"/>
    <col min="5385" max="5385" width="0" style="3447" hidden="1" customWidth="1"/>
    <col min="5386" max="5387" width="9" style="3447" customWidth="1"/>
    <col min="5388" max="5389" width="10.625" style="3447" customWidth="1"/>
    <col min="5390" max="5390" width="14.375" style="3447" customWidth="1"/>
    <col min="5391" max="5391" width="9.625" style="3447" customWidth="1"/>
    <col min="5392" max="5392" width="6.125" style="3447" customWidth="1"/>
    <col min="5393" max="5393" width="32.625" style="3447" customWidth="1"/>
    <col min="5394" max="5394" width="7.875" style="3447" customWidth="1"/>
    <col min="5395" max="5632" width="9" style="3447"/>
    <col min="5633" max="5633" width="25.375" style="3447" customWidth="1"/>
    <col min="5634" max="5634" width="14.5" style="3447" customWidth="1"/>
    <col min="5635" max="5635" width="11.625" style="3447" customWidth="1"/>
    <col min="5636" max="5637" width="13.875" style="3447" customWidth="1"/>
    <col min="5638" max="5638" width="10.5" style="3447" customWidth="1"/>
    <col min="5639" max="5639" width="6.375" style="3447" customWidth="1"/>
    <col min="5640" max="5640" width="11.125" style="3447" customWidth="1"/>
    <col min="5641" max="5641" width="0" style="3447" hidden="1" customWidth="1"/>
    <col min="5642" max="5643" width="9" style="3447" customWidth="1"/>
    <col min="5644" max="5645" width="10.625" style="3447" customWidth="1"/>
    <col min="5646" max="5646" width="14.375" style="3447" customWidth="1"/>
    <col min="5647" max="5647" width="9.625" style="3447" customWidth="1"/>
    <col min="5648" max="5648" width="6.125" style="3447" customWidth="1"/>
    <col min="5649" max="5649" width="32.625" style="3447" customWidth="1"/>
    <col min="5650" max="5650" width="7.875" style="3447" customWidth="1"/>
    <col min="5651" max="5888" width="9" style="3447"/>
    <col min="5889" max="5889" width="25.375" style="3447" customWidth="1"/>
    <col min="5890" max="5890" width="14.5" style="3447" customWidth="1"/>
    <col min="5891" max="5891" width="11.625" style="3447" customWidth="1"/>
    <col min="5892" max="5893" width="13.875" style="3447" customWidth="1"/>
    <col min="5894" max="5894" width="10.5" style="3447" customWidth="1"/>
    <col min="5895" max="5895" width="6.375" style="3447" customWidth="1"/>
    <col min="5896" max="5896" width="11.125" style="3447" customWidth="1"/>
    <col min="5897" max="5897" width="0" style="3447" hidden="1" customWidth="1"/>
    <col min="5898" max="5899" width="9" style="3447" customWidth="1"/>
    <col min="5900" max="5901" width="10.625" style="3447" customWidth="1"/>
    <col min="5902" max="5902" width="14.375" style="3447" customWidth="1"/>
    <col min="5903" max="5903" width="9.625" style="3447" customWidth="1"/>
    <col min="5904" max="5904" width="6.125" style="3447" customWidth="1"/>
    <col min="5905" max="5905" width="32.625" style="3447" customWidth="1"/>
    <col min="5906" max="5906" width="7.875" style="3447" customWidth="1"/>
    <col min="5907" max="6144" width="9" style="3447"/>
    <col min="6145" max="6145" width="25.375" style="3447" customWidth="1"/>
    <col min="6146" max="6146" width="14.5" style="3447" customWidth="1"/>
    <col min="6147" max="6147" width="11.625" style="3447" customWidth="1"/>
    <col min="6148" max="6149" width="13.875" style="3447" customWidth="1"/>
    <col min="6150" max="6150" width="10.5" style="3447" customWidth="1"/>
    <col min="6151" max="6151" width="6.375" style="3447" customWidth="1"/>
    <col min="6152" max="6152" width="11.125" style="3447" customWidth="1"/>
    <col min="6153" max="6153" width="0" style="3447" hidden="1" customWidth="1"/>
    <col min="6154" max="6155" width="9" style="3447" customWidth="1"/>
    <col min="6156" max="6157" width="10.625" style="3447" customWidth="1"/>
    <col min="6158" max="6158" width="14.375" style="3447" customWidth="1"/>
    <col min="6159" max="6159" width="9.625" style="3447" customWidth="1"/>
    <col min="6160" max="6160" width="6.125" style="3447" customWidth="1"/>
    <col min="6161" max="6161" width="32.625" style="3447" customWidth="1"/>
    <col min="6162" max="6162" width="7.875" style="3447" customWidth="1"/>
    <col min="6163" max="6400" width="9" style="3447"/>
    <col min="6401" max="6401" width="25.375" style="3447" customWidth="1"/>
    <col min="6402" max="6402" width="14.5" style="3447" customWidth="1"/>
    <col min="6403" max="6403" width="11.625" style="3447" customWidth="1"/>
    <col min="6404" max="6405" width="13.875" style="3447" customWidth="1"/>
    <col min="6406" max="6406" width="10.5" style="3447" customWidth="1"/>
    <col min="6407" max="6407" width="6.375" style="3447" customWidth="1"/>
    <col min="6408" max="6408" width="11.125" style="3447" customWidth="1"/>
    <col min="6409" max="6409" width="0" style="3447" hidden="1" customWidth="1"/>
    <col min="6410" max="6411" width="9" style="3447" customWidth="1"/>
    <col min="6412" max="6413" width="10.625" style="3447" customWidth="1"/>
    <col min="6414" max="6414" width="14.375" style="3447" customWidth="1"/>
    <col min="6415" max="6415" width="9.625" style="3447" customWidth="1"/>
    <col min="6416" max="6416" width="6.125" style="3447" customWidth="1"/>
    <col min="6417" max="6417" width="32.625" style="3447" customWidth="1"/>
    <col min="6418" max="6418" width="7.875" style="3447" customWidth="1"/>
    <col min="6419" max="6656" width="9" style="3447"/>
    <col min="6657" max="6657" width="25.375" style="3447" customWidth="1"/>
    <col min="6658" max="6658" width="14.5" style="3447" customWidth="1"/>
    <col min="6659" max="6659" width="11.625" style="3447" customWidth="1"/>
    <col min="6660" max="6661" width="13.875" style="3447" customWidth="1"/>
    <col min="6662" max="6662" width="10.5" style="3447" customWidth="1"/>
    <col min="6663" max="6663" width="6.375" style="3447" customWidth="1"/>
    <col min="6664" max="6664" width="11.125" style="3447" customWidth="1"/>
    <col min="6665" max="6665" width="0" style="3447" hidden="1" customWidth="1"/>
    <col min="6666" max="6667" width="9" style="3447" customWidth="1"/>
    <col min="6668" max="6669" width="10.625" style="3447" customWidth="1"/>
    <col min="6670" max="6670" width="14.375" style="3447" customWidth="1"/>
    <col min="6671" max="6671" width="9.625" style="3447" customWidth="1"/>
    <col min="6672" max="6672" width="6.125" style="3447" customWidth="1"/>
    <col min="6673" max="6673" width="32.625" style="3447" customWidth="1"/>
    <col min="6674" max="6674" width="7.875" style="3447" customWidth="1"/>
    <col min="6675" max="6912" width="9" style="3447"/>
    <col min="6913" max="6913" width="25.375" style="3447" customWidth="1"/>
    <col min="6914" max="6914" width="14.5" style="3447" customWidth="1"/>
    <col min="6915" max="6915" width="11.625" style="3447" customWidth="1"/>
    <col min="6916" max="6917" width="13.875" style="3447" customWidth="1"/>
    <col min="6918" max="6918" width="10.5" style="3447" customWidth="1"/>
    <col min="6919" max="6919" width="6.375" style="3447" customWidth="1"/>
    <col min="6920" max="6920" width="11.125" style="3447" customWidth="1"/>
    <col min="6921" max="6921" width="0" style="3447" hidden="1" customWidth="1"/>
    <col min="6922" max="6923" width="9" style="3447" customWidth="1"/>
    <col min="6924" max="6925" width="10.625" style="3447" customWidth="1"/>
    <col min="6926" max="6926" width="14.375" style="3447" customWidth="1"/>
    <col min="6927" max="6927" width="9.625" style="3447" customWidth="1"/>
    <col min="6928" max="6928" width="6.125" style="3447" customWidth="1"/>
    <col min="6929" max="6929" width="32.625" style="3447" customWidth="1"/>
    <col min="6930" max="6930" width="7.875" style="3447" customWidth="1"/>
    <col min="6931" max="7168" width="9" style="3447"/>
    <col min="7169" max="7169" width="25.375" style="3447" customWidth="1"/>
    <col min="7170" max="7170" width="14.5" style="3447" customWidth="1"/>
    <col min="7171" max="7171" width="11.625" style="3447" customWidth="1"/>
    <col min="7172" max="7173" width="13.875" style="3447" customWidth="1"/>
    <col min="7174" max="7174" width="10.5" style="3447" customWidth="1"/>
    <col min="7175" max="7175" width="6.375" style="3447" customWidth="1"/>
    <col min="7176" max="7176" width="11.125" style="3447" customWidth="1"/>
    <col min="7177" max="7177" width="0" style="3447" hidden="1" customWidth="1"/>
    <col min="7178" max="7179" width="9" style="3447" customWidth="1"/>
    <col min="7180" max="7181" width="10.625" style="3447" customWidth="1"/>
    <col min="7182" max="7182" width="14.375" style="3447" customWidth="1"/>
    <col min="7183" max="7183" width="9.625" style="3447" customWidth="1"/>
    <col min="7184" max="7184" width="6.125" style="3447" customWidth="1"/>
    <col min="7185" max="7185" width="32.625" style="3447" customWidth="1"/>
    <col min="7186" max="7186" width="7.875" style="3447" customWidth="1"/>
    <col min="7187" max="7424" width="9" style="3447"/>
    <col min="7425" max="7425" width="25.375" style="3447" customWidth="1"/>
    <col min="7426" max="7426" width="14.5" style="3447" customWidth="1"/>
    <col min="7427" max="7427" width="11.625" style="3447" customWidth="1"/>
    <col min="7428" max="7429" width="13.875" style="3447" customWidth="1"/>
    <col min="7430" max="7430" width="10.5" style="3447" customWidth="1"/>
    <col min="7431" max="7431" width="6.375" style="3447" customWidth="1"/>
    <col min="7432" max="7432" width="11.125" style="3447" customWidth="1"/>
    <col min="7433" max="7433" width="0" style="3447" hidden="1" customWidth="1"/>
    <col min="7434" max="7435" width="9" style="3447" customWidth="1"/>
    <col min="7436" max="7437" width="10.625" style="3447" customWidth="1"/>
    <col min="7438" max="7438" width="14.375" style="3447" customWidth="1"/>
    <col min="7439" max="7439" width="9.625" style="3447" customWidth="1"/>
    <col min="7440" max="7440" width="6.125" style="3447" customWidth="1"/>
    <col min="7441" max="7441" width="32.625" style="3447" customWidth="1"/>
    <col min="7442" max="7442" width="7.875" style="3447" customWidth="1"/>
    <col min="7443" max="7680" width="9" style="3447"/>
    <col min="7681" max="7681" width="25.375" style="3447" customWidth="1"/>
    <col min="7682" max="7682" width="14.5" style="3447" customWidth="1"/>
    <col min="7683" max="7683" width="11.625" style="3447" customWidth="1"/>
    <col min="7684" max="7685" width="13.875" style="3447" customWidth="1"/>
    <col min="7686" max="7686" width="10.5" style="3447" customWidth="1"/>
    <col min="7687" max="7687" width="6.375" style="3447" customWidth="1"/>
    <col min="7688" max="7688" width="11.125" style="3447" customWidth="1"/>
    <col min="7689" max="7689" width="0" style="3447" hidden="1" customWidth="1"/>
    <col min="7690" max="7691" width="9" style="3447" customWidth="1"/>
    <col min="7692" max="7693" width="10.625" style="3447" customWidth="1"/>
    <col min="7694" max="7694" width="14.375" style="3447" customWidth="1"/>
    <col min="7695" max="7695" width="9.625" style="3447" customWidth="1"/>
    <col min="7696" max="7696" width="6.125" style="3447" customWidth="1"/>
    <col min="7697" max="7697" width="32.625" style="3447" customWidth="1"/>
    <col min="7698" max="7698" width="7.875" style="3447" customWidth="1"/>
    <col min="7699" max="7936" width="9" style="3447"/>
    <col min="7937" max="7937" width="25.375" style="3447" customWidth="1"/>
    <col min="7938" max="7938" width="14.5" style="3447" customWidth="1"/>
    <col min="7939" max="7939" width="11.625" style="3447" customWidth="1"/>
    <col min="7940" max="7941" width="13.875" style="3447" customWidth="1"/>
    <col min="7942" max="7942" width="10.5" style="3447" customWidth="1"/>
    <col min="7943" max="7943" width="6.375" style="3447" customWidth="1"/>
    <col min="7944" max="7944" width="11.125" style="3447" customWidth="1"/>
    <col min="7945" max="7945" width="0" style="3447" hidden="1" customWidth="1"/>
    <col min="7946" max="7947" width="9" style="3447" customWidth="1"/>
    <col min="7948" max="7949" width="10.625" style="3447" customWidth="1"/>
    <col min="7950" max="7950" width="14.375" style="3447" customWidth="1"/>
    <col min="7951" max="7951" width="9.625" style="3447" customWidth="1"/>
    <col min="7952" max="7952" width="6.125" style="3447" customWidth="1"/>
    <col min="7953" max="7953" width="32.625" style="3447" customWidth="1"/>
    <col min="7954" max="7954" width="7.875" style="3447" customWidth="1"/>
    <col min="7955" max="8192" width="9" style="3447"/>
    <col min="8193" max="8193" width="25.375" style="3447" customWidth="1"/>
    <col min="8194" max="8194" width="14.5" style="3447" customWidth="1"/>
    <col min="8195" max="8195" width="11.625" style="3447" customWidth="1"/>
    <col min="8196" max="8197" width="13.875" style="3447" customWidth="1"/>
    <col min="8198" max="8198" width="10.5" style="3447" customWidth="1"/>
    <col min="8199" max="8199" width="6.375" style="3447" customWidth="1"/>
    <col min="8200" max="8200" width="11.125" style="3447" customWidth="1"/>
    <col min="8201" max="8201" width="0" style="3447" hidden="1" customWidth="1"/>
    <col min="8202" max="8203" width="9" style="3447" customWidth="1"/>
    <col min="8204" max="8205" width="10.625" style="3447" customWidth="1"/>
    <col min="8206" max="8206" width="14.375" style="3447" customWidth="1"/>
    <col min="8207" max="8207" width="9.625" style="3447" customWidth="1"/>
    <col min="8208" max="8208" width="6.125" style="3447" customWidth="1"/>
    <col min="8209" max="8209" width="32.625" style="3447" customWidth="1"/>
    <col min="8210" max="8210" width="7.875" style="3447" customWidth="1"/>
    <col min="8211" max="8448" width="9" style="3447"/>
    <col min="8449" max="8449" width="25.375" style="3447" customWidth="1"/>
    <col min="8450" max="8450" width="14.5" style="3447" customWidth="1"/>
    <col min="8451" max="8451" width="11.625" style="3447" customWidth="1"/>
    <col min="8452" max="8453" width="13.875" style="3447" customWidth="1"/>
    <col min="8454" max="8454" width="10.5" style="3447" customWidth="1"/>
    <col min="8455" max="8455" width="6.375" style="3447" customWidth="1"/>
    <col min="8456" max="8456" width="11.125" style="3447" customWidth="1"/>
    <col min="8457" max="8457" width="0" style="3447" hidden="1" customWidth="1"/>
    <col min="8458" max="8459" width="9" style="3447" customWidth="1"/>
    <col min="8460" max="8461" width="10.625" style="3447" customWidth="1"/>
    <col min="8462" max="8462" width="14.375" style="3447" customWidth="1"/>
    <col min="8463" max="8463" width="9.625" style="3447" customWidth="1"/>
    <col min="8464" max="8464" width="6.125" style="3447" customWidth="1"/>
    <col min="8465" max="8465" width="32.625" style="3447" customWidth="1"/>
    <col min="8466" max="8466" width="7.875" style="3447" customWidth="1"/>
    <col min="8467" max="8704" width="9" style="3447"/>
    <col min="8705" max="8705" width="25.375" style="3447" customWidth="1"/>
    <col min="8706" max="8706" width="14.5" style="3447" customWidth="1"/>
    <col min="8707" max="8707" width="11.625" style="3447" customWidth="1"/>
    <col min="8708" max="8709" width="13.875" style="3447" customWidth="1"/>
    <col min="8710" max="8710" width="10.5" style="3447" customWidth="1"/>
    <col min="8711" max="8711" width="6.375" style="3447" customWidth="1"/>
    <col min="8712" max="8712" width="11.125" style="3447" customWidth="1"/>
    <col min="8713" max="8713" width="0" style="3447" hidden="1" customWidth="1"/>
    <col min="8714" max="8715" width="9" style="3447" customWidth="1"/>
    <col min="8716" max="8717" width="10.625" style="3447" customWidth="1"/>
    <col min="8718" max="8718" width="14.375" style="3447" customWidth="1"/>
    <col min="8719" max="8719" width="9.625" style="3447" customWidth="1"/>
    <col min="8720" max="8720" width="6.125" style="3447" customWidth="1"/>
    <col min="8721" max="8721" width="32.625" style="3447" customWidth="1"/>
    <col min="8722" max="8722" width="7.875" style="3447" customWidth="1"/>
    <col min="8723" max="8960" width="9" style="3447"/>
    <col min="8961" max="8961" width="25.375" style="3447" customWidth="1"/>
    <col min="8962" max="8962" width="14.5" style="3447" customWidth="1"/>
    <col min="8963" max="8963" width="11.625" style="3447" customWidth="1"/>
    <col min="8964" max="8965" width="13.875" style="3447" customWidth="1"/>
    <col min="8966" max="8966" width="10.5" style="3447" customWidth="1"/>
    <col min="8967" max="8967" width="6.375" style="3447" customWidth="1"/>
    <col min="8968" max="8968" width="11.125" style="3447" customWidth="1"/>
    <col min="8969" max="8969" width="0" style="3447" hidden="1" customWidth="1"/>
    <col min="8970" max="8971" width="9" style="3447" customWidth="1"/>
    <col min="8972" max="8973" width="10.625" style="3447" customWidth="1"/>
    <col min="8974" max="8974" width="14.375" style="3447" customWidth="1"/>
    <col min="8975" max="8975" width="9.625" style="3447" customWidth="1"/>
    <col min="8976" max="8976" width="6.125" style="3447" customWidth="1"/>
    <col min="8977" max="8977" width="32.625" style="3447" customWidth="1"/>
    <col min="8978" max="8978" width="7.875" style="3447" customWidth="1"/>
    <col min="8979" max="9216" width="9" style="3447"/>
    <col min="9217" max="9217" width="25.375" style="3447" customWidth="1"/>
    <col min="9218" max="9218" width="14.5" style="3447" customWidth="1"/>
    <col min="9219" max="9219" width="11.625" style="3447" customWidth="1"/>
    <col min="9220" max="9221" width="13.875" style="3447" customWidth="1"/>
    <col min="9222" max="9222" width="10.5" style="3447" customWidth="1"/>
    <col min="9223" max="9223" width="6.375" style="3447" customWidth="1"/>
    <col min="9224" max="9224" width="11.125" style="3447" customWidth="1"/>
    <col min="9225" max="9225" width="0" style="3447" hidden="1" customWidth="1"/>
    <col min="9226" max="9227" width="9" style="3447" customWidth="1"/>
    <col min="9228" max="9229" width="10.625" style="3447" customWidth="1"/>
    <col min="9230" max="9230" width="14.375" style="3447" customWidth="1"/>
    <col min="9231" max="9231" width="9.625" style="3447" customWidth="1"/>
    <col min="9232" max="9232" width="6.125" style="3447" customWidth="1"/>
    <col min="9233" max="9233" width="32.625" style="3447" customWidth="1"/>
    <col min="9234" max="9234" width="7.875" style="3447" customWidth="1"/>
    <col min="9235" max="9472" width="9" style="3447"/>
    <col min="9473" max="9473" width="25.375" style="3447" customWidth="1"/>
    <col min="9474" max="9474" width="14.5" style="3447" customWidth="1"/>
    <col min="9475" max="9475" width="11.625" style="3447" customWidth="1"/>
    <col min="9476" max="9477" width="13.875" style="3447" customWidth="1"/>
    <col min="9478" max="9478" width="10.5" style="3447" customWidth="1"/>
    <col min="9479" max="9479" width="6.375" style="3447" customWidth="1"/>
    <col min="9480" max="9480" width="11.125" style="3447" customWidth="1"/>
    <col min="9481" max="9481" width="0" style="3447" hidden="1" customWidth="1"/>
    <col min="9482" max="9483" width="9" style="3447" customWidth="1"/>
    <col min="9484" max="9485" width="10.625" style="3447" customWidth="1"/>
    <col min="9486" max="9486" width="14.375" style="3447" customWidth="1"/>
    <col min="9487" max="9487" width="9.625" style="3447" customWidth="1"/>
    <col min="9488" max="9488" width="6.125" style="3447" customWidth="1"/>
    <col min="9489" max="9489" width="32.625" style="3447" customWidth="1"/>
    <col min="9490" max="9490" width="7.875" style="3447" customWidth="1"/>
    <col min="9491" max="9728" width="9" style="3447"/>
    <col min="9729" max="9729" width="25.375" style="3447" customWidth="1"/>
    <col min="9730" max="9730" width="14.5" style="3447" customWidth="1"/>
    <col min="9731" max="9731" width="11.625" style="3447" customWidth="1"/>
    <col min="9732" max="9733" width="13.875" style="3447" customWidth="1"/>
    <col min="9734" max="9734" width="10.5" style="3447" customWidth="1"/>
    <col min="9735" max="9735" width="6.375" style="3447" customWidth="1"/>
    <col min="9736" max="9736" width="11.125" style="3447" customWidth="1"/>
    <col min="9737" max="9737" width="0" style="3447" hidden="1" customWidth="1"/>
    <col min="9738" max="9739" width="9" style="3447" customWidth="1"/>
    <col min="9740" max="9741" width="10.625" style="3447" customWidth="1"/>
    <col min="9742" max="9742" width="14.375" style="3447" customWidth="1"/>
    <col min="9743" max="9743" width="9.625" style="3447" customWidth="1"/>
    <col min="9744" max="9744" width="6.125" style="3447" customWidth="1"/>
    <col min="9745" max="9745" width="32.625" style="3447" customWidth="1"/>
    <col min="9746" max="9746" width="7.875" style="3447" customWidth="1"/>
    <col min="9747" max="9984" width="9" style="3447"/>
    <col min="9985" max="9985" width="25.375" style="3447" customWidth="1"/>
    <col min="9986" max="9986" width="14.5" style="3447" customWidth="1"/>
    <col min="9987" max="9987" width="11.625" style="3447" customWidth="1"/>
    <col min="9988" max="9989" width="13.875" style="3447" customWidth="1"/>
    <col min="9990" max="9990" width="10.5" style="3447" customWidth="1"/>
    <col min="9991" max="9991" width="6.375" style="3447" customWidth="1"/>
    <col min="9992" max="9992" width="11.125" style="3447" customWidth="1"/>
    <col min="9993" max="9993" width="0" style="3447" hidden="1" customWidth="1"/>
    <col min="9994" max="9995" width="9" style="3447" customWidth="1"/>
    <col min="9996" max="9997" width="10.625" style="3447" customWidth="1"/>
    <col min="9998" max="9998" width="14.375" style="3447" customWidth="1"/>
    <col min="9999" max="9999" width="9.625" style="3447" customWidth="1"/>
    <col min="10000" max="10000" width="6.125" style="3447" customWidth="1"/>
    <col min="10001" max="10001" width="32.625" style="3447" customWidth="1"/>
    <col min="10002" max="10002" width="7.875" style="3447" customWidth="1"/>
    <col min="10003" max="10240" width="9" style="3447"/>
    <col min="10241" max="10241" width="25.375" style="3447" customWidth="1"/>
    <col min="10242" max="10242" width="14.5" style="3447" customWidth="1"/>
    <col min="10243" max="10243" width="11.625" style="3447" customWidth="1"/>
    <col min="10244" max="10245" width="13.875" style="3447" customWidth="1"/>
    <col min="10246" max="10246" width="10.5" style="3447" customWidth="1"/>
    <col min="10247" max="10247" width="6.375" style="3447" customWidth="1"/>
    <col min="10248" max="10248" width="11.125" style="3447" customWidth="1"/>
    <col min="10249" max="10249" width="0" style="3447" hidden="1" customWidth="1"/>
    <col min="10250" max="10251" width="9" style="3447" customWidth="1"/>
    <col min="10252" max="10253" width="10.625" style="3447" customWidth="1"/>
    <col min="10254" max="10254" width="14.375" style="3447" customWidth="1"/>
    <col min="10255" max="10255" width="9.625" style="3447" customWidth="1"/>
    <col min="10256" max="10256" width="6.125" style="3447" customWidth="1"/>
    <col min="10257" max="10257" width="32.625" style="3447" customWidth="1"/>
    <col min="10258" max="10258" width="7.875" style="3447" customWidth="1"/>
    <col min="10259" max="10496" width="9" style="3447"/>
    <col min="10497" max="10497" width="25.375" style="3447" customWidth="1"/>
    <col min="10498" max="10498" width="14.5" style="3447" customWidth="1"/>
    <col min="10499" max="10499" width="11.625" style="3447" customWidth="1"/>
    <col min="10500" max="10501" width="13.875" style="3447" customWidth="1"/>
    <col min="10502" max="10502" width="10.5" style="3447" customWidth="1"/>
    <col min="10503" max="10503" width="6.375" style="3447" customWidth="1"/>
    <col min="10504" max="10504" width="11.125" style="3447" customWidth="1"/>
    <col min="10505" max="10505" width="0" style="3447" hidden="1" customWidth="1"/>
    <col min="10506" max="10507" width="9" style="3447" customWidth="1"/>
    <col min="10508" max="10509" width="10.625" style="3447" customWidth="1"/>
    <col min="10510" max="10510" width="14.375" style="3447" customWidth="1"/>
    <col min="10511" max="10511" width="9.625" style="3447" customWidth="1"/>
    <col min="10512" max="10512" width="6.125" style="3447" customWidth="1"/>
    <col min="10513" max="10513" width="32.625" style="3447" customWidth="1"/>
    <col min="10514" max="10514" width="7.875" style="3447" customWidth="1"/>
    <col min="10515" max="10752" width="9" style="3447"/>
    <col min="10753" max="10753" width="25.375" style="3447" customWidth="1"/>
    <col min="10754" max="10754" width="14.5" style="3447" customWidth="1"/>
    <col min="10755" max="10755" width="11.625" style="3447" customWidth="1"/>
    <col min="10756" max="10757" width="13.875" style="3447" customWidth="1"/>
    <col min="10758" max="10758" width="10.5" style="3447" customWidth="1"/>
    <col min="10759" max="10759" width="6.375" style="3447" customWidth="1"/>
    <col min="10760" max="10760" width="11.125" style="3447" customWidth="1"/>
    <col min="10761" max="10761" width="0" style="3447" hidden="1" customWidth="1"/>
    <col min="10762" max="10763" width="9" style="3447" customWidth="1"/>
    <col min="10764" max="10765" width="10.625" style="3447" customWidth="1"/>
    <col min="10766" max="10766" width="14.375" style="3447" customWidth="1"/>
    <col min="10767" max="10767" width="9.625" style="3447" customWidth="1"/>
    <col min="10768" max="10768" width="6.125" style="3447" customWidth="1"/>
    <col min="10769" max="10769" width="32.625" style="3447" customWidth="1"/>
    <col min="10770" max="10770" width="7.875" style="3447" customWidth="1"/>
    <col min="10771" max="11008" width="9" style="3447"/>
    <col min="11009" max="11009" width="25.375" style="3447" customWidth="1"/>
    <col min="11010" max="11010" width="14.5" style="3447" customWidth="1"/>
    <col min="11011" max="11011" width="11.625" style="3447" customWidth="1"/>
    <col min="11012" max="11013" width="13.875" style="3447" customWidth="1"/>
    <col min="11014" max="11014" width="10.5" style="3447" customWidth="1"/>
    <col min="11015" max="11015" width="6.375" style="3447" customWidth="1"/>
    <col min="11016" max="11016" width="11.125" style="3447" customWidth="1"/>
    <col min="11017" max="11017" width="0" style="3447" hidden="1" customWidth="1"/>
    <col min="11018" max="11019" width="9" style="3447" customWidth="1"/>
    <col min="11020" max="11021" width="10.625" style="3447" customWidth="1"/>
    <col min="11022" max="11022" width="14.375" style="3447" customWidth="1"/>
    <col min="11023" max="11023" width="9.625" style="3447" customWidth="1"/>
    <col min="11024" max="11024" width="6.125" style="3447" customWidth="1"/>
    <col min="11025" max="11025" width="32.625" style="3447" customWidth="1"/>
    <col min="11026" max="11026" width="7.875" style="3447" customWidth="1"/>
    <col min="11027" max="11264" width="9" style="3447"/>
    <col min="11265" max="11265" width="25.375" style="3447" customWidth="1"/>
    <col min="11266" max="11266" width="14.5" style="3447" customWidth="1"/>
    <col min="11267" max="11267" width="11.625" style="3447" customWidth="1"/>
    <col min="11268" max="11269" width="13.875" style="3447" customWidth="1"/>
    <col min="11270" max="11270" width="10.5" style="3447" customWidth="1"/>
    <col min="11271" max="11271" width="6.375" style="3447" customWidth="1"/>
    <col min="11272" max="11272" width="11.125" style="3447" customWidth="1"/>
    <col min="11273" max="11273" width="0" style="3447" hidden="1" customWidth="1"/>
    <col min="11274" max="11275" width="9" style="3447" customWidth="1"/>
    <col min="11276" max="11277" width="10.625" style="3447" customWidth="1"/>
    <col min="11278" max="11278" width="14.375" style="3447" customWidth="1"/>
    <col min="11279" max="11279" width="9.625" style="3447" customWidth="1"/>
    <col min="11280" max="11280" width="6.125" style="3447" customWidth="1"/>
    <col min="11281" max="11281" width="32.625" style="3447" customWidth="1"/>
    <col min="11282" max="11282" width="7.875" style="3447" customWidth="1"/>
    <col min="11283" max="11520" width="9" style="3447"/>
    <col min="11521" max="11521" width="25.375" style="3447" customWidth="1"/>
    <col min="11522" max="11522" width="14.5" style="3447" customWidth="1"/>
    <col min="11523" max="11523" width="11.625" style="3447" customWidth="1"/>
    <col min="11524" max="11525" width="13.875" style="3447" customWidth="1"/>
    <col min="11526" max="11526" width="10.5" style="3447" customWidth="1"/>
    <col min="11527" max="11527" width="6.375" style="3447" customWidth="1"/>
    <col min="11528" max="11528" width="11.125" style="3447" customWidth="1"/>
    <col min="11529" max="11529" width="0" style="3447" hidden="1" customWidth="1"/>
    <col min="11530" max="11531" width="9" style="3447" customWidth="1"/>
    <col min="11532" max="11533" width="10.625" style="3447" customWidth="1"/>
    <col min="11534" max="11534" width="14.375" style="3447" customWidth="1"/>
    <col min="11535" max="11535" width="9.625" style="3447" customWidth="1"/>
    <col min="11536" max="11536" width="6.125" style="3447" customWidth="1"/>
    <col min="11537" max="11537" width="32.625" style="3447" customWidth="1"/>
    <col min="11538" max="11538" width="7.875" style="3447" customWidth="1"/>
    <col min="11539" max="11776" width="9" style="3447"/>
    <col min="11777" max="11777" width="25.375" style="3447" customWidth="1"/>
    <col min="11778" max="11778" width="14.5" style="3447" customWidth="1"/>
    <col min="11779" max="11779" width="11.625" style="3447" customWidth="1"/>
    <col min="11780" max="11781" width="13.875" style="3447" customWidth="1"/>
    <col min="11782" max="11782" width="10.5" style="3447" customWidth="1"/>
    <col min="11783" max="11783" width="6.375" style="3447" customWidth="1"/>
    <col min="11784" max="11784" width="11.125" style="3447" customWidth="1"/>
    <col min="11785" max="11785" width="0" style="3447" hidden="1" customWidth="1"/>
    <col min="11786" max="11787" width="9" style="3447" customWidth="1"/>
    <col min="11788" max="11789" width="10.625" style="3447" customWidth="1"/>
    <col min="11790" max="11790" width="14.375" style="3447" customWidth="1"/>
    <col min="11791" max="11791" width="9.625" style="3447" customWidth="1"/>
    <col min="11792" max="11792" width="6.125" style="3447" customWidth="1"/>
    <col min="11793" max="11793" width="32.625" style="3447" customWidth="1"/>
    <col min="11794" max="11794" width="7.875" style="3447" customWidth="1"/>
    <col min="11795" max="12032" width="9" style="3447"/>
    <col min="12033" max="12033" width="25.375" style="3447" customWidth="1"/>
    <col min="12034" max="12034" width="14.5" style="3447" customWidth="1"/>
    <col min="12035" max="12035" width="11.625" style="3447" customWidth="1"/>
    <col min="12036" max="12037" width="13.875" style="3447" customWidth="1"/>
    <col min="12038" max="12038" width="10.5" style="3447" customWidth="1"/>
    <col min="12039" max="12039" width="6.375" style="3447" customWidth="1"/>
    <col min="12040" max="12040" width="11.125" style="3447" customWidth="1"/>
    <col min="12041" max="12041" width="0" style="3447" hidden="1" customWidth="1"/>
    <col min="12042" max="12043" width="9" style="3447" customWidth="1"/>
    <col min="12044" max="12045" width="10.625" style="3447" customWidth="1"/>
    <col min="12046" max="12046" width="14.375" style="3447" customWidth="1"/>
    <col min="12047" max="12047" width="9.625" style="3447" customWidth="1"/>
    <col min="12048" max="12048" width="6.125" style="3447" customWidth="1"/>
    <col min="12049" max="12049" width="32.625" style="3447" customWidth="1"/>
    <col min="12050" max="12050" width="7.875" style="3447" customWidth="1"/>
    <col min="12051" max="12288" width="9" style="3447"/>
    <col min="12289" max="12289" width="25.375" style="3447" customWidth="1"/>
    <col min="12290" max="12290" width="14.5" style="3447" customWidth="1"/>
    <col min="12291" max="12291" width="11.625" style="3447" customWidth="1"/>
    <col min="12292" max="12293" width="13.875" style="3447" customWidth="1"/>
    <col min="12294" max="12294" width="10.5" style="3447" customWidth="1"/>
    <col min="12295" max="12295" width="6.375" style="3447" customWidth="1"/>
    <col min="12296" max="12296" width="11.125" style="3447" customWidth="1"/>
    <col min="12297" max="12297" width="0" style="3447" hidden="1" customWidth="1"/>
    <col min="12298" max="12299" width="9" style="3447" customWidth="1"/>
    <col min="12300" max="12301" width="10.625" style="3447" customWidth="1"/>
    <col min="12302" max="12302" width="14.375" style="3447" customWidth="1"/>
    <col min="12303" max="12303" width="9.625" style="3447" customWidth="1"/>
    <col min="12304" max="12304" width="6.125" style="3447" customWidth="1"/>
    <col min="12305" max="12305" width="32.625" style="3447" customWidth="1"/>
    <col min="12306" max="12306" width="7.875" style="3447" customWidth="1"/>
    <col min="12307" max="12544" width="9" style="3447"/>
    <col min="12545" max="12545" width="25.375" style="3447" customWidth="1"/>
    <col min="12546" max="12546" width="14.5" style="3447" customWidth="1"/>
    <col min="12547" max="12547" width="11.625" style="3447" customWidth="1"/>
    <col min="12548" max="12549" width="13.875" style="3447" customWidth="1"/>
    <col min="12550" max="12550" width="10.5" style="3447" customWidth="1"/>
    <col min="12551" max="12551" width="6.375" style="3447" customWidth="1"/>
    <col min="12552" max="12552" width="11.125" style="3447" customWidth="1"/>
    <col min="12553" max="12553" width="0" style="3447" hidden="1" customWidth="1"/>
    <col min="12554" max="12555" width="9" style="3447" customWidth="1"/>
    <col min="12556" max="12557" width="10.625" style="3447" customWidth="1"/>
    <col min="12558" max="12558" width="14.375" style="3447" customWidth="1"/>
    <col min="12559" max="12559" width="9.625" style="3447" customWidth="1"/>
    <col min="12560" max="12560" width="6.125" style="3447" customWidth="1"/>
    <col min="12561" max="12561" width="32.625" style="3447" customWidth="1"/>
    <col min="12562" max="12562" width="7.875" style="3447" customWidth="1"/>
    <col min="12563" max="12800" width="9" style="3447"/>
    <col min="12801" max="12801" width="25.375" style="3447" customWidth="1"/>
    <col min="12802" max="12802" width="14.5" style="3447" customWidth="1"/>
    <col min="12803" max="12803" width="11.625" style="3447" customWidth="1"/>
    <col min="12804" max="12805" width="13.875" style="3447" customWidth="1"/>
    <col min="12806" max="12806" width="10.5" style="3447" customWidth="1"/>
    <col min="12807" max="12807" width="6.375" style="3447" customWidth="1"/>
    <col min="12808" max="12808" width="11.125" style="3447" customWidth="1"/>
    <col min="12809" max="12809" width="0" style="3447" hidden="1" customWidth="1"/>
    <col min="12810" max="12811" width="9" style="3447" customWidth="1"/>
    <col min="12812" max="12813" width="10.625" style="3447" customWidth="1"/>
    <col min="12814" max="12814" width="14.375" style="3447" customWidth="1"/>
    <col min="12815" max="12815" width="9.625" style="3447" customWidth="1"/>
    <col min="12816" max="12816" width="6.125" style="3447" customWidth="1"/>
    <col min="12817" max="12817" width="32.625" style="3447" customWidth="1"/>
    <col min="12818" max="12818" width="7.875" style="3447" customWidth="1"/>
    <col min="12819" max="13056" width="9" style="3447"/>
    <col min="13057" max="13057" width="25.375" style="3447" customWidth="1"/>
    <col min="13058" max="13058" width="14.5" style="3447" customWidth="1"/>
    <col min="13059" max="13059" width="11.625" style="3447" customWidth="1"/>
    <col min="13060" max="13061" width="13.875" style="3447" customWidth="1"/>
    <col min="13062" max="13062" width="10.5" style="3447" customWidth="1"/>
    <col min="13063" max="13063" width="6.375" style="3447" customWidth="1"/>
    <col min="13064" max="13064" width="11.125" style="3447" customWidth="1"/>
    <col min="13065" max="13065" width="0" style="3447" hidden="1" customWidth="1"/>
    <col min="13066" max="13067" width="9" style="3447" customWidth="1"/>
    <col min="13068" max="13069" width="10.625" style="3447" customWidth="1"/>
    <col min="13070" max="13070" width="14.375" style="3447" customWidth="1"/>
    <col min="13071" max="13071" width="9.625" style="3447" customWidth="1"/>
    <col min="13072" max="13072" width="6.125" style="3447" customWidth="1"/>
    <col min="13073" max="13073" width="32.625" style="3447" customWidth="1"/>
    <col min="13074" max="13074" width="7.875" style="3447" customWidth="1"/>
    <col min="13075" max="13312" width="9" style="3447"/>
    <col min="13313" max="13313" width="25.375" style="3447" customWidth="1"/>
    <col min="13314" max="13314" width="14.5" style="3447" customWidth="1"/>
    <col min="13315" max="13315" width="11.625" style="3447" customWidth="1"/>
    <col min="13316" max="13317" width="13.875" style="3447" customWidth="1"/>
    <col min="13318" max="13318" width="10.5" style="3447" customWidth="1"/>
    <col min="13319" max="13319" width="6.375" style="3447" customWidth="1"/>
    <col min="13320" max="13320" width="11.125" style="3447" customWidth="1"/>
    <col min="13321" max="13321" width="0" style="3447" hidden="1" customWidth="1"/>
    <col min="13322" max="13323" width="9" style="3447" customWidth="1"/>
    <col min="13324" max="13325" width="10.625" style="3447" customWidth="1"/>
    <col min="13326" max="13326" width="14.375" style="3447" customWidth="1"/>
    <col min="13327" max="13327" width="9.625" style="3447" customWidth="1"/>
    <col min="13328" max="13328" width="6.125" style="3447" customWidth="1"/>
    <col min="13329" max="13329" width="32.625" style="3447" customWidth="1"/>
    <col min="13330" max="13330" width="7.875" style="3447" customWidth="1"/>
    <col min="13331" max="13568" width="9" style="3447"/>
    <col min="13569" max="13569" width="25.375" style="3447" customWidth="1"/>
    <col min="13570" max="13570" width="14.5" style="3447" customWidth="1"/>
    <col min="13571" max="13571" width="11.625" style="3447" customWidth="1"/>
    <col min="13572" max="13573" width="13.875" style="3447" customWidth="1"/>
    <col min="13574" max="13574" width="10.5" style="3447" customWidth="1"/>
    <col min="13575" max="13575" width="6.375" style="3447" customWidth="1"/>
    <col min="13576" max="13576" width="11.125" style="3447" customWidth="1"/>
    <col min="13577" max="13577" width="0" style="3447" hidden="1" customWidth="1"/>
    <col min="13578" max="13579" width="9" style="3447" customWidth="1"/>
    <col min="13580" max="13581" width="10.625" style="3447" customWidth="1"/>
    <col min="13582" max="13582" width="14.375" style="3447" customWidth="1"/>
    <col min="13583" max="13583" width="9.625" style="3447" customWidth="1"/>
    <col min="13584" max="13584" width="6.125" style="3447" customWidth="1"/>
    <col min="13585" max="13585" width="32.625" style="3447" customWidth="1"/>
    <col min="13586" max="13586" width="7.875" style="3447" customWidth="1"/>
    <col min="13587" max="13824" width="9" style="3447"/>
    <col min="13825" max="13825" width="25.375" style="3447" customWidth="1"/>
    <col min="13826" max="13826" width="14.5" style="3447" customWidth="1"/>
    <col min="13827" max="13827" width="11.625" style="3447" customWidth="1"/>
    <col min="13828" max="13829" width="13.875" style="3447" customWidth="1"/>
    <col min="13830" max="13830" width="10.5" style="3447" customWidth="1"/>
    <col min="13831" max="13831" width="6.375" style="3447" customWidth="1"/>
    <col min="13832" max="13832" width="11.125" style="3447" customWidth="1"/>
    <col min="13833" max="13833" width="0" style="3447" hidden="1" customWidth="1"/>
    <col min="13834" max="13835" width="9" style="3447" customWidth="1"/>
    <col min="13836" max="13837" width="10.625" style="3447" customWidth="1"/>
    <col min="13838" max="13838" width="14.375" style="3447" customWidth="1"/>
    <col min="13839" max="13839" width="9.625" style="3447" customWidth="1"/>
    <col min="13840" max="13840" width="6.125" style="3447" customWidth="1"/>
    <col min="13841" max="13841" width="32.625" style="3447" customWidth="1"/>
    <col min="13842" max="13842" width="7.875" style="3447" customWidth="1"/>
    <col min="13843" max="14080" width="9" style="3447"/>
    <col min="14081" max="14081" width="25.375" style="3447" customWidth="1"/>
    <col min="14082" max="14082" width="14.5" style="3447" customWidth="1"/>
    <col min="14083" max="14083" width="11.625" style="3447" customWidth="1"/>
    <col min="14084" max="14085" width="13.875" style="3447" customWidth="1"/>
    <col min="14086" max="14086" width="10.5" style="3447" customWidth="1"/>
    <col min="14087" max="14087" width="6.375" style="3447" customWidth="1"/>
    <col min="14088" max="14088" width="11.125" style="3447" customWidth="1"/>
    <col min="14089" max="14089" width="0" style="3447" hidden="1" customWidth="1"/>
    <col min="14090" max="14091" width="9" style="3447" customWidth="1"/>
    <col min="14092" max="14093" width="10.625" style="3447" customWidth="1"/>
    <col min="14094" max="14094" width="14.375" style="3447" customWidth="1"/>
    <col min="14095" max="14095" width="9.625" style="3447" customWidth="1"/>
    <col min="14096" max="14096" width="6.125" style="3447" customWidth="1"/>
    <col min="14097" max="14097" width="32.625" style="3447" customWidth="1"/>
    <col min="14098" max="14098" width="7.875" style="3447" customWidth="1"/>
    <col min="14099" max="14336" width="9" style="3447"/>
    <col min="14337" max="14337" width="25.375" style="3447" customWidth="1"/>
    <col min="14338" max="14338" width="14.5" style="3447" customWidth="1"/>
    <col min="14339" max="14339" width="11.625" style="3447" customWidth="1"/>
    <col min="14340" max="14341" width="13.875" style="3447" customWidth="1"/>
    <col min="14342" max="14342" width="10.5" style="3447" customWidth="1"/>
    <col min="14343" max="14343" width="6.375" style="3447" customWidth="1"/>
    <col min="14344" max="14344" width="11.125" style="3447" customWidth="1"/>
    <col min="14345" max="14345" width="0" style="3447" hidden="1" customWidth="1"/>
    <col min="14346" max="14347" width="9" style="3447" customWidth="1"/>
    <col min="14348" max="14349" width="10.625" style="3447" customWidth="1"/>
    <col min="14350" max="14350" width="14.375" style="3447" customWidth="1"/>
    <col min="14351" max="14351" width="9.625" style="3447" customWidth="1"/>
    <col min="14352" max="14352" width="6.125" style="3447" customWidth="1"/>
    <col min="14353" max="14353" width="32.625" style="3447" customWidth="1"/>
    <col min="14354" max="14354" width="7.875" style="3447" customWidth="1"/>
    <col min="14355" max="14592" width="9" style="3447"/>
    <col min="14593" max="14593" width="25.375" style="3447" customWidth="1"/>
    <col min="14594" max="14594" width="14.5" style="3447" customWidth="1"/>
    <col min="14595" max="14595" width="11.625" style="3447" customWidth="1"/>
    <col min="14596" max="14597" width="13.875" style="3447" customWidth="1"/>
    <col min="14598" max="14598" width="10.5" style="3447" customWidth="1"/>
    <col min="14599" max="14599" width="6.375" style="3447" customWidth="1"/>
    <col min="14600" max="14600" width="11.125" style="3447" customWidth="1"/>
    <col min="14601" max="14601" width="0" style="3447" hidden="1" customWidth="1"/>
    <col min="14602" max="14603" width="9" style="3447" customWidth="1"/>
    <col min="14604" max="14605" width="10.625" style="3447" customWidth="1"/>
    <col min="14606" max="14606" width="14.375" style="3447" customWidth="1"/>
    <col min="14607" max="14607" width="9.625" style="3447" customWidth="1"/>
    <col min="14608" max="14608" width="6.125" style="3447" customWidth="1"/>
    <col min="14609" max="14609" width="32.625" style="3447" customWidth="1"/>
    <col min="14610" max="14610" width="7.875" style="3447" customWidth="1"/>
    <col min="14611" max="14848" width="9" style="3447"/>
    <col min="14849" max="14849" width="25.375" style="3447" customWidth="1"/>
    <col min="14850" max="14850" width="14.5" style="3447" customWidth="1"/>
    <col min="14851" max="14851" width="11.625" style="3447" customWidth="1"/>
    <col min="14852" max="14853" width="13.875" style="3447" customWidth="1"/>
    <col min="14854" max="14854" width="10.5" style="3447" customWidth="1"/>
    <col min="14855" max="14855" width="6.375" style="3447" customWidth="1"/>
    <col min="14856" max="14856" width="11.125" style="3447" customWidth="1"/>
    <col min="14857" max="14857" width="0" style="3447" hidden="1" customWidth="1"/>
    <col min="14858" max="14859" width="9" style="3447" customWidth="1"/>
    <col min="14860" max="14861" width="10.625" style="3447" customWidth="1"/>
    <col min="14862" max="14862" width="14.375" style="3447" customWidth="1"/>
    <col min="14863" max="14863" width="9.625" style="3447" customWidth="1"/>
    <col min="14864" max="14864" width="6.125" style="3447" customWidth="1"/>
    <col min="14865" max="14865" width="32.625" style="3447" customWidth="1"/>
    <col min="14866" max="14866" width="7.875" style="3447" customWidth="1"/>
    <col min="14867" max="15104" width="9" style="3447"/>
    <col min="15105" max="15105" width="25.375" style="3447" customWidth="1"/>
    <col min="15106" max="15106" width="14.5" style="3447" customWidth="1"/>
    <col min="15107" max="15107" width="11.625" style="3447" customWidth="1"/>
    <col min="15108" max="15109" width="13.875" style="3447" customWidth="1"/>
    <col min="15110" max="15110" width="10.5" style="3447" customWidth="1"/>
    <col min="15111" max="15111" width="6.375" style="3447" customWidth="1"/>
    <col min="15112" max="15112" width="11.125" style="3447" customWidth="1"/>
    <col min="15113" max="15113" width="0" style="3447" hidden="1" customWidth="1"/>
    <col min="15114" max="15115" width="9" style="3447" customWidth="1"/>
    <col min="15116" max="15117" width="10.625" style="3447" customWidth="1"/>
    <col min="15118" max="15118" width="14.375" style="3447" customWidth="1"/>
    <col min="15119" max="15119" width="9.625" style="3447" customWidth="1"/>
    <col min="15120" max="15120" width="6.125" style="3447" customWidth="1"/>
    <col min="15121" max="15121" width="32.625" style="3447" customWidth="1"/>
    <col min="15122" max="15122" width="7.875" style="3447" customWidth="1"/>
    <col min="15123" max="15360" width="9" style="3447"/>
    <col min="15361" max="15361" width="25.375" style="3447" customWidth="1"/>
    <col min="15362" max="15362" width="14.5" style="3447" customWidth="1"/>
    <col min="15363" max="15363" width="11.625" style="3447" customWidth="1"/>
    <col min="15364" max="15365" width="13.875" style="3447" customWidth="1"/>
    <col min="15366" max="15366" width="10.5" style="3447" customWidth="1"/>
    <col min="15367" max="15367" width="6.375" style="3447" customWidth="1"/>
    <col min="15368" max="15368" width="11.125" style="3447" customWidth="1"/>
    <col min="15369" max="15369" width="0" style="3447" hidden="1" customWidth="1"/>
    <col min="15370" max="15371" width="9" style="3447" customWidth="1"/>
    <col min="15372" max="15373" width="10.625" style="3447" customWidth="1"/>
    <col min="15374" max="15374" width="14.375" style="3447" customWidth="1"/>
    <col min="15375" max="15375" width="9.625" style="3447" customWidth="1"/>
    <col min="15376" max="15376" width="6.125" style="3447" customWidth="1"/>
    <col min="15377" max="15377" width="32.625" style="3447" customWidth="1"/>
    <col min="15378" max="15378" width="7.875" style="3447" customWidth="1"/>
    <col min="15379" max="15616" width="9" style="3447"/>
    <col min="15617" max="15617" width="25.375" style="3447" customWidth="1"/>
    <col min="15618" max="15618" width="14.5" style="3447" customWidth="1"/>
    <col min="15619" max="15619" width="11.625" style="3447" customWidth="1"/>
    <col min="15620" max="15621" width="13.875" style="3447" customWidth="1"/>
    <col min="15622" max="15622" width="10.5" style="3447" customWidth="1"/>
    <col min="15623" max="15623" width="6.375" style="3447" customWidth="1"/>
    <col min="15624" max="15624" width="11.125" style="3447" customWidth="1"/>
    <col min="15625" max="15625" width="0" style="3447" hidden="1" customWidth="1"/>
    <col min="15626" max="15627" width="9" style="3447" customWidth="1"/>
    <col min="15628" max="15629" width="10.625" style="3447" customWidth="1"/>
    <col min="15630" max="15630" width="14.375" style="3447" customWidth="1"/>
    <col min="15631" max="15631" width="9.625" style="3447" customWidth="1"/>
    <col min="15632" max="15632" width="6.125" style="3447" customWidth="1"/>
    <col min="15633" max="15633" width="32.625" style="3447" customWidth="1"/>
    <col min="15634" max="15634" width="7.875" style="3447" customWidth="1"/>
    <col min="15635" max="15872" width="9" style="3447"/>
    <col min="15873" max="15873" width="25.375" style="3447" customWidth="1"/>
    <col min="15874" max="15874" width="14.5" style="3447" customWidth="1"/>
    <col min="15875" max="15875" width="11.625" style="3447" customWidth="1"/>
    <col min="15876" max="15877" width="13.875" style="3447" customWidth="1"/>
    <col min="15878" max="15878" width="10.5" style="3447" customWidth="1"/>
    <col min="15879" max="15879" width="6.375" style="3447" customWidth="1"/>
    <col min="15880" max="15880" width="11.125" style="3447" customWidth="1"/>
    <col min="15881" max="15881" width="0" style="3447" hidden="1" customWidth="1"/>
    <col min="15882" max="15883" width="9" style="3447" customWidth="1"/>
    <col min="15884" max="15885" width="10.625" style="3447" customWidth="1"/>
    <col min="15886" max="15886" width="14.375" style="3447" customWidth="1"/>
    <col min="15887" max="15887" width="9.625" style="3447" customWidth="1"/>
    <col min="15888" max="15888" width="6.125" style="3447" customWidth="1"/>
    <col min="15889" max="15889" width="32.625" style="3447" customWidth="1"/>
    <col min="15890" max="15890" width="7.875" style="3447" customWidth="1"/>
    <col min="15891" max="16128" width="9" style="3447"/>
    <col min="16129" max="16129" width="25.375" style="3447" customWidth="1"/>
    <col min="16130" max="16130" width="14.5" style="3447" customWidth="1"/>
    <col min="16131" max="16131" width="11.625" style="3447" customWidth="1"/>
    <col min="16132" max="16133" width="13.875" style="3447" customWidth="1"/>
    <col min="16134" max="16134" width="10.5" style="3447" customWidth="1"/>
    <col min="16135" max="16135" width="6.375" style="3447" customWidth="1"/>
    <col min="16136" max="16136" width="11.125" style="3447" customWidth="1"/>
    <col min="16137" max="16137" width="0" style="3447" hidden="1" customWidth="1"/>
    <col min="16138" max="16139" width="9" style="3447" customWidth="1"/>
    <col min="16140" max="16141" width="10.625" style="3447" customWidth="1"/>
    <col min="16142" max="16142" width="14.375" style="3447" customWidth="1"/>
    <col min="16143" max="16143" width="9.625" style="3447" customWidth="1"/>
    <col min="16144" max="16144" width="6.125" style="3447" customWidth="1"/>
    <col min="16145" max="16145" width="32.625" style="3447" customWidth="1"/>
    <col min="16146" max="16146" width="7.875" style="3447" customWidth="1"/>
    <col min="16147" max="16384" width="9" style="3447"/>
  </cols>
  <sheetData>
    <row r="1" spans="1:19" ht="14.25">
      <c r="A1" s="3447" t="s">
        <v>3210</v>
      </c>
      <c r="B1" s="3447" t="s">
        <v>3211</v>
      </c>
      <c r="C1" s="3447" t="s">
        <v>3212</v>
      </c>
      <c r="D1" s="3447" t="s">
        <v>3213</v>
      </c>
      <c r="E1" s="3447" t="s">
        <v>3214</v>
      </c>
      <c r="F1" s="3447" t="s">
        <v>3215</v>
      </c>
      <c r="G1" s="3447" t="s">
        <v>3216</v>
      </c>
      <c r="H1" s="3447" t="s">
        <v>3217</v>
      </c>
      <c r="I1" s="3447" t="s">
        <v>3218</v>
      </c>
      <c r="J1" s="3447" t="s">
        <v>3219</v>
      </c>
      <c r="K1" s="3447" t="s">
        <v>3220</v>
      </c>
      <c r="L1" s="3447" t="s">
        <v>3221</v>
      </c>
      <c r="M1" s="3447" t="s">
        <v>3222</v>
      </c>
      <c r="N1" s="3448" t="s">
        <v>3223</v>
      </c>
      <c r="O1" s="3449" t="s">
        <v>3224</v>
      </c>
      <c r="P1" s="3447" t="s">
        <v>3225</v>
      </c>
      <c r="Q1" s="3447" t="s">
        <v>3226</v>
      </c>
      <c r="R1" s="3447" t="s">
        <v>3227</v>
      </c>
    </row>
    <row r="2" spans="1:19">
      <c r="A2" s="3447" t="s">
        <v>3228</v>
      </c>
      <c r="B2" s="3447" t="s">
        <v>3229</v>
      </c>
      <c r="C2" s="3447" t="s">
        <v>3230</v>
      </c>
      <c r="D2" s="3447">
        <v>2692.88</v>
      </c>
      <c r="E2" s="3447">
        <v>807.86</v>
      </c>
      <c r="F2" s="3447" t="s">
        <v>3231</v>
      </c>
      <c r="G2" s="3447" t="s">
        <v>3232</v>
      </c>
      <c r="H2" s="3447" t="s">
        <v>3113</v>
      </c>
      <c r="I2" s="3447">
        <v>0</v>
      </c>
      <c r="J2" s="3447" t="s">
        <v>3233</v>
      </c>
      <c r="K2" s="3447" t="s">
        <v>3233</v>
      </c>
      <c r="L2" s="3447">
        <v>102.84</v>
      </c>
      <c r="M2" s="3447">
        <v>102.84</v>
      </c>
      <c r="N2" s="3447">
        <v>1272.99</v>
      </c>
      <c r="O2" s="3447">
        <f>N2*0.3</f>
        <v>381.89699999999999</v>
      </c>
      <c r="P2" s="3447">
        <v>0</v>
      </c>
      <c r="Q2" s="3447" t="s">
        <v>3234</v>
      </c>
      <c r="R2" s="3447" t="s">
        <v>3235</v>
      </c>
      <c r="S2" s="3450">
        <f>M2/(D2/666.67)</f>
        <v>25.459858144440151</v>
      </c>
    </row>
    <row r="3" spans="1:19">
      <c r="A3" s="3447" t="s">
        <v>3236</v>
      </c>
      <c r="B3" s="3447" t="s">
        <v>3229</v>
      </c>
      <c r="C3" s="3447" t="s">
        <v>3237</v>
      </c>
      <c r="D3" s="3447">
        <v>3480.09</v>
      </c>
      <c r="E3" s="3447">
        <v>2505.66</v>
      </c>
      <c r="F3" s="3447" t="s">
        <v>3238</v>
      </c>
      <c r="G3" s="3447" t="s">
        <v>3232</v>
      </c>
      <c r="H3" s="3447" t="s">
        <v>3239</v>
      </c>
      <c r="I3" s="3447">
        <v>0</v>
      </c>
      <c r="J3" s="3447" t="s">
        <v>3240</v>
      </c>
      <c r="K3" s="3447" t="s">
        <v>3240</v>
      </c>
      <c r="L3" s="3447">
        <v>655.39</v>
      </c>
      <c r="M3" s="3447">
        <v>655.39</v>
      </c>
      <c r="N3" s="3447">
        <v>2615.67</v>
      </c>
      <c r="O3" s="3447">
        <f>N3*0.72</f>
        <v>1883.2824000000001</v>
      </c>
      <c r="P3" s="3447">
        <v>0</v>
      </c>
      <c r="Q3" s="3447" t="s">
        <v>3241</v>
      </c>
      <c r="R3" s="3447" t="s">
        <v>3235</v>
      </c>
      <c r="S3" s="3450">
        <f t="shared" ref="S3:S33" si="0">M3/(D3/666.67)</f>
        <v>125.55102060578891</v>
      </c>
    </row>
    <row r="4" spans="1:19">
      <c r="A4" s="3447" t="s">
        <v>3242</v>
      </c>
      <c r="B4" s="3447" t="s">
        <v>3229</v>
      </c>
      <c r="C4" s="3447" t="s">
        <v>3230</v>
      </c>
      <c r="D4" s="3447">
        <v>4484.38</v>
      </c>
      <c r="E4" s="3447">
        <v>807.19</v>
      </c>
      <c r="F4" s="3447" t="s">
        <v>3243</v>
      </c>
      <c r="G4" s="3447" t="s">
        <v>3232</v>
      </c>
      <c r="H4" s="3447" t="s">
        <v>3113</v>
      </c>
      <c r="I4" s="3447">
        <v>0</v>
      </c>
      <c r="J4" s="3447" t="s">
        <v>3244</v>
      </c>
      <c r="K4" s="3447" t="s">
        <v>3244</v>
      </c>
      <c r="L4" s="3447">
        <v>590.52</v>
      </c>
      <c r="M4" s="3447">
        <v>590.52</v>
      </c>
      <c r="N4" s="3447">
        <v>7315.86</v>
      </c>
      <c r="O4" s="3447">
        <f>N4*0.18</f>
        <v>1316.8547999999998</v>
      </c>
      <c r="P4" s="3447">
        <v>0</v>
      </c>
      <c r="Q4" s="3447" t="s">
        <v>3245</v>
      </c>
      <c r="R4" s="3447" t="s">
        <v>3246</v>
      </c>
      <c r="S4" s="3450">
        <f t="shared" si="0"/>
        <v>87.78960935513939</v>
      </c>
    </row>
    <row r="5" spans="1:19">
      <c r="A5" s="3447" t="s">
        <v>3247</v>
      </c>
      <c r="B5" s="3447" t="s">
        <v>3229</v>
      </c>
      <c r="C5" s="3447" t="s">
        <v>3230</v>
      </c>
      <c r="D5" s="3447">
        <v>95194.2</v>
      </c>
      <c r="E5" s="3447">
        <v>47597.1</v>
      </c>
      <c r="F5" s="3447" t="s">
        <v>3248</v>
      </c>
      <c r="G5" s="3447" t="s">
        <v>3232</v>
      </c>
      <c r="H5" s="3447" t="s">
        <v>3249</v>
      </c>
      <c r="I5" s="3447">
        <v>0</v>
      </c>
      <c r="J5" s="3447" t="s">
        <v>3250</v>
      </c>
      <c r="K5" s="3447" t="s">
        <v>3251</v>
      </c>
      <c r="L5" s="3447" t="s">
        <v>1298</v>
      </c>
      <c r="M5" s="3447">
        <v>10992.21</v>
      </c>
      <c r="N5" s="3447">
        <v>2309.42</v>
      </c>
      <c r="O5" s="3447">
        <f>N5*0.5</f>
        <v>1154.71</v>
      </c>
      <c r="P5" s="3447" t="s">
        <v>1298</v>
      </c>
      <c r="Q5" s="3447" t="s">
        <v>3252</v>
      </c>
      <c r="R5" s="3447" t="s">
        <v>3253</v>
      </c>
      <c r="S5" s="3450">
        <f t="shared" si="0"/>
        <v>76.981335424847302</v>
      </c>
    </row>
    <row r="6" spans="1:19">
      <c r="A6" s="3447" t="s">
        <v>3247</v>
      </c>
      <c r="B6" s="3447" t="s">
        <v>3229</v>
      </c>
      <c r="C6" s="3447" t="s">
        <v>3230</v>
      </c>
      <c r="D6" s="3447">
        <v>107515.29</v>
      </c>
      <c r="E6" s="3447">
        <v>53757.65</v>
      </c>
      <c r="F6" s="3447" t="s">
        <v>3248</v>
      </c>
      <c r="G6" s="3447" t="s">
        <v>3232</v>
      </c>
      <c r="H6" s="3447" t="s">
        <v>3249</v>
      </c>
      <c r="I6" s="3447">
        <v>0</v>
      </c>
      <c r="J6" s="3447" t="s">
        <v>3254</v>
      </c>
      <c r="K6" s="3447" t="s">
        <v>3254</v>
      </c>
      <c r="L6" s="3447" t="s">
        <v>1298</v>
      </c>
      <c r="M6" s="3447">
        <v>12407.26</v>
      </c>
      <c r="N6" s="3447">
        <v>2308</v>
      </c>
      <c r="O6" s="3447">
        <f>N6*0.5</f>
        <v>1154</v>
      </c>
      <c r="P6" s="3447" t="s">
        <v>1298</v>
      </c>
      <c r="Q6" s="3447" t="s">
        <v>3252</v>
      </c>
      <c r="R6" s="3447" t="s">
        <v>3253</v>
      </c>
      <c r="S6" s="3450">
        <f t="shared" si="0"/>
        <v>76.933690307676244</v>
      </c>
    </row>
    <row r="7" spans="1:19">
      <c r="A7" s="3447" t="s">
        <v>3255</v>
      </c>
      <c r="B7" s="3447" t="s">
        <v>3229</v>
      </c>
      <c r="C7" s="3447" t="s">
        <v>3230</v>
      </c>
      <c r="D7" s="3447">
        <v>78166.28</v>
      </c>
      <c r="E7" s="3447">
        <v>109432.79</v>
      </c>
      <c r="F7" s="3447" t="s">
        <v>3256</v>
      </c>
      <c r="G7" s="3447" t="s">
        <v>3232</v>
      </c>
      <c r="H7" s="3447" t="s">
        <v>3249</v>
      </c>
      <c r="I7" s="3447">
        <v>0</v>
      </c>
      <c r="J7" s="3447" t="s">
        <v>3254</v>
      </c>
      <c r="K7" s="3447" t="s">
        <v>3254</v>
      </c>
      <c r="L7" s="3447" t="s">
        <v>1298</v>
      </c>
      <c r="M7" s="3447">
        <v>9125.7900000000009</v>
      </c>
      <c r="N7" s="3447">
        <v>833.91</v>
      </c>
      <c r="O7" s="3447">
        <f>N7*1.4</f>
        <v>1167.4739999999999</v>
      </c>
      <c r="P7" s="3447" t="s">
        <v>1298</v>
      </c>
      <c r="Q7" s="3447" t="s">
        <v>3252</v>
      </c>
      <c r="R7" s="3447" t="s">
        <v>3253</v>
      </c>
      <c r="S7" s="3450">
        <f t="shared" si="0"/>
        <v>77.832671828568536</v>
      </c>
    </row>
    <row r="8" spans="1:19">
      <c r="A8" s="3447" t="s">
        <v>3257</v>
      </c>
      <c r="B8" s="3447" t="s">
        <v>3229</v>
      </c>
      <c r="C8" s="3447" t="s">
        <v>3230</v>
      </c>
      <c r="D8" s="3447">
        <v>95788.6</v>
      </c>
      <c r="E8" s="3447">
        <v>47894.3</v>
      </c>
      <c r="F8" s="3447" t="s">
        <v>3248</v>
      </c>
      <c r="G8" s="3447" t="s">
        <v>3232</v>
      </c>
      <c r="H8" s="3447" t="s">
        <v>3249</v>
      </c>
      <c r="I8" s="3447">
        <v>0</v>
      </c>
      <c r="J8" s="3447" t="s">
        <v>3254</v>
      </c>
      <c r="K8" s="3447" t="s">
        <v>3254</v>
      </c>
      <c r="L8" s="3447" t="s">
        <v>1298</v>
      </c>
      <c r="M8" s="3447">
        <v>11060.79</v>
      </c>
      <c r="N8" s="3447">
        <v>2309.42</v>
      </c>
      <c r="O8" s="3447">
        <f>N8*0.5</f>
        <v>1154.71</v>
      </c>
      <c r="P8" s="3447" t="s">
        <v>1298</v>
      </c>
      <c r="Q8" s="3447" t="s">
        <v>3252</v>
      </c>
      <c r="R8" s="3447" t="s">
        <v>3253</v>
      </c>
      <c r="S8" s="3450">
        <f t="shared" si="0"/>
        <v>76.980944176029297</v>
      </c>
    </row>
    <row r="9" spans="1:19">
      <c r="A9" s="3447" t="s">
        <v>3258</v>
      </c>
      <c r="B9" s="3447" t="s">
        <v>3229</v>
      </c>
      <c r="C9" s="3447" t="s">
        <v>3230</v>
      </c>
      <c r="D9" s="3447">
        <v>1538.17</v>
      </c>
      <c r="E9" s="3447">
        <v>1707.37</v>
      </c>
      <c r="F9" s="3447" t="s">
        <v>3259</v>
      </c>
      <c r="G9" s="3447" t="s">
        <v>3232</v>
      </c>
      <c r="H9" s="3447" t="s">
        <v>3113</v>
      </c>
      <c r="I9" s="3447">
        <v>0</v>
      </c>
      <c r="J9" s="3447" t="s">
        <v>3260</v>
      </c>
      <c r="K9" s="3447" t="s">
        <v>3260</v>
      </c>
      <c r="L9" s="3447">
        <v>485.89</v>
      </c>
      <c r="M9" s="3447">
        <v>485.89</v>
      </c>
      <c r="N9" s="3447">
        <v>2845.9</v>
      </c>
      <c r="O9" s="3447">
        <f>N9*1.11</f>
        <v>3158.9490000000005</v>
      </c>
      <c r="P9" s="3447">
        <v>0</v>
      </c>
      <c r="Q9" s="3447" t="s">
        <v>3261</v>
      </c>
      <c r="R9" s="3447" t="s">
        <v>3253</v>
      </c>
      <c r="S9" s="3450">
        <f t="shared" si="0"/>
        <v>210.5932935241228</v>
      </c>
    </row>
    <row r="10" spans="1:19">
      <c r="A10" s="3447" t="s">
        <v>3262</v>
      </c>
      <c r="B10" s="3447" t="s">
        <v>3229</v>
      </c>
      <c r="C10" s="3447" t="s">
        <v>3230</v>
      </c>
      <c r="D10" s="3447">
        <v>20173.48</v>
      </c>
      <c r="E10" s="3447">
        <v>46399</v>
      </c>
      <c r="F10" s="3447" t="s">
        <v>3263</v>
      </c>
      <c r="G10" s="3447" t="s">
        <v>3232</v>
      </c>
      <c r="H10" s="3447" t="s">
        <v>3113</v>
      </c>
      <c r="I10" s="3447">
        <v>0</v>
      </c>
      <c r="J10" s="3447" t="s">
        <v>3264</v>
      </c>
      <c r="K10" s="3447" t="s">
        <v>3264</v>
      </c>
      <c r="L10" s="3447">
        <v>486.23</v>
      </c>
      <c r="M10" s="3447">
        <v>486.23</v>
      </c>
      <c r="N10" s="3447">
        <v>104.79</v>
      </c>
      <c r="O10" s="3447">
        <f>N10*2.3</f>
        <v>241.017</v>
      </c>
      <c r="P10" s="3447">
        <v>0</v>
      </c>
      <c r="Q10" s="3447" t="s">
        <v>3261</v>
      </c>
      <c r="R10" s="3447" t="s">
        <v>3253</v>
      </c>
      <c r="S10" s="3450">
        <f t="shared" si="0"/>
        <v>16.06837065791326</v>
      </c>
    </row>
    <row r="11" spans="1:19" s="3452" customFormat="1">
      <c r="A11" s="3451" t="s">
        <v>3265</v>
      </c>
      <c r="B11" s="3452" t="s">
        <v>3229</v>
      </c>
      <c r="C11" s="3452" t="s">
        <v>3230</v>
      </c>
      <c r="D11" s="3452">
        <v>4215</v>
      </c>
      <c r="E11" s="3452">
        <v>421.5</v>
      </c>
      <c r="F11" s="3452" t="s">
        <v>3266</v>
      </c>
      <c r="G11" s="3452" t="s">
        <v>3232</v>
      </c>
      <c r="H11" s="3452" t="s">
        <v>3112</v>
      </c>
      <c r="I11" s="3452">
        <v>0</v>
      </c>
      <c r="J11" s="3452" t="s">
        <v>3267</v>
      </c>
      <c r="K11" s="3452" t="s">
        <v>3267</v>
      </c>
      <c r="L11" s="3452">
        <v>494.1</v>
      </c>
      <c r="M11" s="3452">
        <v>494.1</v>
      </c>
      <c r="N11" s="3452">
        <v>11722.42</v>
      </c>
      <c r="O11" s="3452">
        <f>N11*0.1</f>
        <v>1172.242</v>
      </c>
      <c r="P11" s="3452">
        <v>0</v>
      </c>
      <c r="Q11" s="3452" t="s">
        <v>3268</v>
      </c>
      <c r="R11" s="3452" t="s">
        <v>3235</v>
      </c>
      <c r="S11" s="3453">
        <f t="shared" si="0"/>
        <v>78.149856939501788</v>
      </c>
    </row>
    <row r="12" spans="1:19">
      <c r="A12" s="3447" t="s">
        <v>3269</v>
      </c>
      <c r="B12" s="3447" t="s">
        <v>3229</v>
      </c>
      <c r="C12" s="3447" t="s">
        <v>3230</v>
      </c>
      <c r="D12" s="3447">
        <v>790.89</v>
      </c>
      <c r="E12" s="3447">
        <v>237.27</v>
      </c>
      <c r="F12" s="3447" t="s">
        <v>3231</v>
      </c>
      <c r="G12" s="3447" t="s">
        <v>3232</v>
      </c>
      <c r="H12" s="3447" t="s">
        <v>3249</v>
      </c>
      <c r="I12" s="3447">
        <v>0</v>
      </c>
      <c r="J12" s="3447" t="s">
        <v>3267</v>
      </c>
      <c r="K12" s="3447" t="s">
        <v>3267</v>
      </c>
      <c r="L12" s="3447" t="s">
        <v>1298</v>
      </c>
      <c r="M12" s="3447">
        <v>40.28</v>
      </c>
      <c r="N12" s="3447">
        <v>1697.64</v>
      </c>
      <c r="P12" s="3447" t="s">
        <v>1298</v>
      </c>
      <c r="Q12" s="3447" t="s">
        <v>3270</v>
      </c>
      <c r="R12" s="3447" t="s">
        <v>3235</v>
      </c>
      <c r="S12" s="3450">
        <f t="shared" si="0"/>
        <v>33.953479750660648</v>
      </c>
    </row>
    <row r="13" spans="1:19">
      <c r="A13" s="3447" t="s">
        <v>3269</v>
      </c>
      <c r="B13" s="3447" t="s">
        <v>3229</v>
      </c>
      <c r="C13" s="3447" t="s">
        <v>3230</v>
      </c>
      <c r="D13" s="3447">
        <v>22590.99</v>
      </c>
      <c r="E13" s="3447">
        <v>6777.3</v>
      </c>
      <c r="F13" s="3447" t="s">
        <v>3231</v>
      </c>
      <c r="G13" s="3447" t="s">
        <v>3232</v>
      </c>
      <c r="H13" s="3447" t="s">
        <v>3113</v>
      </c>
      <c r="I13" s="3447">
        <v>0</v>
      </c>
      <c r="J13" s="3447" t="s">
        <v>3271</v>
      </c>
      <c r="K13" s="3447" t="s">
        <v>3271</v>
      </c>
      <c r="L13" s="3447" t="s">
        <v>1298</v>
      </c>
      <c r="M13" s="3447">
        <v>1147.72</v>
      </c>
      <c r="N13" s="3447">
        <v>1693.48</v>
      </c>
      <c r="P13" s="3447" t="s">
        <v>1298</v>
      </c>
      <c r="Q13" s="3447" t="s">
        <v>3272</v>
      </c>
      <c r="R13" s="3447" t="s">
        <v>3273</v>
      </c>
      <c r="S13" s="3450">
        <f t="shared" si="0"/>
        <v>33.869719405833912</v>
      </c>
    </row>
    <row r="14" spans="1:19">
      <c r="A14" s="3447" t="s">
        <v>3269</v>
      </c>
      <c r="B14" s="3447" t="s">
        <v>3229</v>
      </c>
      <c r="C14" s="3447" t="s">
        <v>3230</v>
      </c>
      <c r="D14" s="3447">
        <v>3402.02</v>
      </c>
      <c r="E14" s="3447">
        <v>1020.61</v>
      </c>
      <c r="F14" s="3447" t="s">
        <v>3231</v>
      </c>
      <c r="G14" s="3447" t="s">
        <v>3232</v>
      </c>
      <c r="H14" s="3447" t="s">
        <v>3113</v>
      </c>
      <c r="I14" s="3447">
        <v>0</v>
      </c>
      <c r="J14" s="3447" t="s">
        <v>3271</v>
      </c>
      <c r="K14" s="3447" t="s">
        <v>3271</v>
      </c>
      <c r="L14" s="3447" t="s">
        <v>1298</v>
      </c>
      <c r="M14" s="3447">
        <v>172.91</v>
      </c>
      <c r="N14" s="3447">
        <v>1694.27</v>
      </c>
      <c r="P14" s="3447" t="s">
        <v>1298</v>
      </c>
      <c r="Q14" s="3447" t="s">
        <v>3272</v>
      </c>
      <c r="R14" s="3447" t="s">
        <v>3273</v>
      </c>
      <c r="S14" s="3450">
        <f t="shared" si="0"/>
        <v>33.883960029629449</v>
      </c>
    </row>
    <row r="15" spans="1:19">
      <c r="A15" s="3447" t="s">
        <v>3274</v>
      </c>
      <c r="B15" s="3447" t="s">
        <v>3229</v>
      </c>
      <c r="C15" s="3447" t="s">
        <v>3230</v>
      </c>
      <c r="D15" s="3447">
        <v>3987.97</v>
      </c>
      <c r="E15" s="3447">
        <v>8733.65</v>
      </c>
      <c r="F15" s="3447" t="s">
        <v>3275</v>
      </c>
      <c r="G15" s="3447" t="s">
        <v>3232</v>
      </c>
      <c r="H15" s="3447" t="s">
        <v>3113</v>
      </c>
      <c r="I15" s="3447">
        <v>0</v>
      </c>
      <c r="J15" s="3447" t="s">
        <v>3276</v>
      </c>
      <c r="K15" s="3447" t="s">
        <v>3276</v>
      </c>
      <c r="L15" s="3447">
        <v>575.79999999999995</v>
      </c>
      <c r="M15" s="3447">
        <v>575.79999999999995</v>
      </c>
      <c r="N15" s="3447">
        <v>659.29</v>
      </c>
      <c r="P15" s="3447">
        <v>0</v>
      </c>
      <c r="Q15" s="3447" t="s">
        <v>3261</v>
      </c>
      <c r="R15" s="3447" t="s">
        <v>3246</v>
      </c>
      <c r="S15" s="3450">
        <f t="shared" si="0"/>
        <v>96.256638339806955</v>
      </c>
    </row>
    <row r="16" spans="1:19">
      <c r="A16" s="3447" t="s">
        <v>3277</v>
      </c>
      <c r="B16" s="3447" t="s">
        <v>3229</v>
      </c>
      <c r="C16" s="3447" t="s">
        <v>3230</v>
      </c>
      <c r="D16" s="3447">
        <v>66617.83</v>
      </c>
      <c r="E16" s="3447">
        <v>33308.92</v>
      </c>
      <c r="F16" s="3447" t="s">
        <v>3248</v>
      </c>
      <c r="G16" s="3447" t="s">
        <v>3232</v>
      </c>
      <c r="H16" s="3447" t="s">
        <v>3249</v>
      </c>
      <c r="I16" s="3447">
        <v>0</v>
      </c>
      <c r="J16" s="3447" t="s">
        <v>3278</v>
      </c>
      <c r="K16" s="3447" t="s">
        <v>3278</v>
      </c>
      <c r="L16" s="3447" t="s">
        <v>1298</v>
      </c>
      <c r="M16" s="3447">
        <v>7661.14</v>
      </c>
      <c r="N16" s="3447">
        <v>2300.0300000000002</v>
      </c>
      <c r="P16" s="3447" t="s">
        <v>1298</v>
      </c>
      <c r="Q16" s="3447" t="s">
        <v>3252</v>
      </c>
      <c r="R16" s="3447" t="s">
        <v>3235</v>
      </c>
      <c r="S16" s="3450">
        <f t="shared" si="0"/>
        <v>76.667946160960213</v>
      </c>
    </row>
    <row r="17" spans="1:19">
      <c r="A17" s="3447" t="s">
        <v>3277</v>
      </c>
      <c r="B17" s="3447" t="s">
        <v>3229</v>
      </c>
      <c r="C17" s="3447" t="s">
        <v>3230</v>
      </c>
      <c r="D17" s="3447">
        <v>68025.56</v>
      </c>
      <c r="E17" s="3447">
        <v>34012.78</v>
      </c>
      <c r="F17" s="3447" t="s">
        <v>3248</v>
      </c>
      <c r="G17" s="3447" t="s">
        <v>3232</v>
      </c>
      <c r="H17" s="3447" t="s">
        <v>3249</v>
      </c>
      <c r="I17" s="3447">
        <v>0</v>
      </c>
      <c r="J17" s="3447" t="s">
        <v>3279</v>
      </c>
      <c r="K17" s="3447" t="s">
        <v>3279</v>
      </c>
      <c r="L17" s="3447" t="s">
        <v>1298</v>
      </c>
      <c r="M17" s="3447">
        <v>7823.03</v>
      </c>
      <c r="N17" s="3447">
        <v>2300.0300000000002</v>
      </c>
      <c r="P17" s="3447" t="s">
        <v>1298</v>
      </c>
      <c r="Q17" s="3447" t="s">
        <v>3252</v>
      </c>
      <c r="R17" s="3447" t="s">
        <v>3235</v>
      </c>
      <c r="S17" s="3450">
        <f t="shared" si="0"/>
        <v>76.667937905987102</v>
      </c>
    </row>
    <row r="18" spans="1:19" s="3452" customFormat="1">
      <c r="A18" s="3452" t="s">
        <v>3280</v>
      </c>
      <c r="B18" s="3452" t="s">
        <v>3229</v>
      </c>
      <c r="C18" s="3452" t="s">
        <v>3230</v>
      </c>
      <c r="D18" s="3452">
        <v>4485.03</v>
      </c>
      <c r="E18" s="3452">
        <v>1121.26</v>
      </c>
      <c r="F18" s="3452" t="s">
        <v>3281</v>
      </c>
      <c r="G18" s="3452" t="s">
        <v>3232</v>
      </c>
      <c r="H18" s="3452" t="s">
        <v>3112</v>
      </c>
      <c r="I18" s="3452">
        <v>0</v>
      </c>
      <c r="J18" s="3452" t="s">
        <v>3282</v>
      </c>
      <c r="K18" s="3452" t="s">
        <v>3282</v>
      </c>
      <c r="L18" s="3452">
        <v>559.37</v>
      </c>
      <c r="M18" s="3452">
        <v>559.37</v>
      </c>
      <c r="N18" s="3452">
        <v>4988.8500000000004</v>
      </c>
      <c r="O18" s="3452">
        <f>N18*0.25</f>
        <v>1247.2125000000001</v>
      </c>
      <c r="P18" s="3452">
        <v>0</v>
      </c>
      <c r="Q18" s="3452" t="s">
        <v>3283</v>
      </c>
      <c r="R18" s="3452" t="s">
        <v>3235</v>
      </c>
      <c r="S18" s="3453">
        <f t="shared" si="0"/>
        <v>83.146645150645583</v>
      </c>
    </row>
    <row r="19" spans="1:19">
      <c r="A19" s="3447" t="s">
        <v>3284</v>
      </c>
      <c r="B19" s="3447" t="s">
        <v>3229</v>
      </c>
      <c r="C19" s="3447" t="s">
        <v>3230</v>
      </c>
      <c r="D19" s="3447">
        <v>5003.05</v>
      </c>
      <c r="E19" s="3447">
        <v>3001.83</v>
      </c>
      <c r="F19" s="3447" t="s">
        <v>3285</v>
      </c>
      <c r="G19" s="3447" t="s">
        <v>3232</v>
      </c>
      <c r="H19" s="3447" t="s">
        <v>3113</v>
      </c>
      <c r="I19" s="3447">
        <v>0</v>
      </c>
      <c r="J19" s="3447" t="s">
        <v>3286</v>
      </c>
      <c r="K19" s="3447" t="s">
        <v>3286</v>
      </c>
      <c r="L19" s="3447">
        <v>548.41999999999996</v>
      </c>
      <c r="M19" s="3447">
        <v>548.41999999999996</v>
      </c>
      <c r="N19" s="3447">
        <v>1826.99</v>
      </c>
      <c r="P19" s="3447">
        <v>0</v>
      </c>
      <c r="Q19" s="3447" t="s">
        <v>3287</v>
      </c>
      <c r="R19" s="3447" t="s">
        <v>3273</v>
      </c>
      <c r="S19" s="3450">
        <f t="shared" si="0"/>
        <v>73.078454422802082</v>
      </c>
    </row>
    <row r="20" spans="1:19">
      <c r="A20" s="3447" t="s">
        <v>3288</v>
      </c>
      <c r="B20" s="3447" t="s">
        <v>3229</v>
      </c>
      <c r="C20" s="3447" t="s">
        <v>3230</v>
      </c>
      <c r="D20" s="3447">
        <v>2798.66</v>
      </c>
      <c r="E20" s="3447">
        <v>5177.5200000000004</v>
      </c>
      <c r="F20" s="3447" t="s">
        <v>3289</v>
      </c>
      <c r="G20" s="3447" t="s">
        <v>3232</v>
      </c>
      <c r="H20" s="3447" t="s">
        <v>3113</v>
      </c>
      <c r="I20" s="3447">
        <v>0</v>
      </c>
      <c r="J20" s="3447" t="s">
        <v>3290</v>
      </c>
      <c r="K20" s="3447" t="s">
        <v>3290</v>
      </c>
      <c r="L20" s="3447">
        <v>348.87</v>
      </c>
      <c r="M20" s="3447">
        <v>348.87</v>
      </c>
      <c r="N20" s="3447">
        <v>673.82</v>
      </c>
      <c r="P20" s="3447">
        <v>0</v>
      </c>
      <c r="Q20" s="3447" t="s">
        <v>3261</v>
      </c>
      <c r="R20" s="3447" t="s">
        <v>3253</v>
      </c>
      <c r="S20" s="3450">
        <f t="shared" si="0"/>
        <v>83.104472461821018</v>
      </c>
    </row>
    <row r="21" spans="1:19">
      <c r="A21" s="3447" t="s">
        <v>3291</v>
      </c>
      <c r="B21" s="3447" t="s">
        <v>3229</v>
      </c>
      <c r="C21" s="3447" t="s">
        <v>3230</v>
      </c>
      <c r="D21" s="3447">
        <v>2400.4699999999998</v>
      </c>
      <c r="E21" s="3447">
        <v>2664.52</v>
      </c>
      <c r="F21" s="3447" t="s">
        <v>3292</v>
      </c>
      <c r="G21" s="3447" t="s">
        <v>3232</v>
      </c>
      <c r="H21" s="3447" t="s">
        <v>3113</v>
      </c>
      <c r="I21" s="3447">
        <v>0</v>
      </c>
      <c r="J21" s="3447" t="s">
        <v>3293</v>
      </c>
      <c r="K21" s="3447" t="s">
        <v>3293</v>
      </c>
      <c r="L21" s="3447">
        <v>482.82</v>
      </c>
      <c r="M21" s="3447">
        <v>482.82</v>
      </c>
      <c r="N21" s="3447">
        <v>1812.06</v>
      </c>
      <c r="P21" s="3447">
        <v>0</v>
      </c>
      <c r="Q21" s="3447" t="s">
        <v>3294</v>
      </c>
      <c r="R21" s="3447" t="s">
        <v>3253</v>
      </c>
      <c r="S21" s="3450">
        <f t="shared" si="0"/>
        <v>134.09107774727448</v>
      </c>
    </row>
    <row r="22" spans="1:19">
      <c r="A22" s="3447" t="s">
        <v>3295</v>
      </c>
      <c r="B22" s="3447" t="s">
        <v>3229</v>
      </c>
      <c r="C22" s="3447" t="s">
        <v>3230</v>
      </c>
      <c r="D22" s="3447">
        <v>4258.54</v>
      </c>
      <c r="E22" s="3447">
        <v>4514.05</v>
      </c>
      <c r="F22" s="3447" t="s">
        <v>3296</v>
      </c>
      <c r="G22" s="3447" t="s">
        <v>3232</v>
      </c>
      <c r="H22" s="3447" t="s">
        <v>3113</v>
      </c>
      <c r="I22" s="3447">
        <v>0</v>
      </c>
      <c r="J22" s="3447" t="s">
        <v>3297</v>
      </c>
      <c r="K22" s="3447" t="s">
        <v>3297</v>
      </c>
      <c r="L22" s="3447">
        <v>486.43</v>
      </c>
      <c r="M22" s="3447">
        <v>486.43</v>
      </c>
      <c r="N22" s="3447">
        <v>1077.58</v>
      </c>
      <c r="P22" s="3447">
        <v>0</v>
      </c>
      <c r="Q22" s="3447" t="s">
        <v>3298</v>
      </c>
      <c r="R22" s="3447" t="s">
        <v>3253</v>
      </c>
      <c r="S22" s="3450">
        <f t="shared" si="0"/>
        <v>76.150109685479052</v>
      </c>
    </row>
    <row r="23" spans="1:19">
      <c r="A23" s="3447" t="s">
        <v>3269</v>
      </c>
      <c r="B23" s="3447" t="s">
        <v>3229</v>
      </c>
      <c r="C23" s="3447" t="s">
        <v>3230</v>
      </c>
      <c r="D23" s="3447">
        <v>2891.07</v>
      </c>
      <c r="E23" s="3447">
        <v>2457.41</v>
      </c>
      <c r="F23" s="3447" t="s">
        <v>3299</v>
      </c>
      <c r="G23" s="3447" t="s">
        <v>3232</v>
      </c>
      <c r="H23" s="3447" t="s">
        <v>3113</v>
      </c>
      <c r="I23" s="3447">
        <v>0</v>
      </c>
      <c r="J23" s="3447" t="s">
        <v>3300</v>
      </c>
      <c r="K23" s="3447" t="s">
        <v>3300</v>
      </c>
      <c r="L23" s="3447">
        <v>146.96</v>
      </c>
      <c r="M23" s="3447">
        <v>146.96</v>
      </c>
      <c r="N23" s="3447">
        <v>598.07000000000005</v>
      </c>
      <c r="P23" s="3447">
        <v>0</v>
      </c>
      <c r="Q23" s="3447" t="s">
        <v>3301</v>
      </c>
      <c r="R23" s="3447" t="s">
        <v>3273</v>
      </c>
      <c r="S23" s="3450">
        <f t="shared" si="0"/>
        <v>33.888429958458289</v>
      </c>
    </row>
    <row r="24" spans="1:19">
      <c r="A24" s="3447" t="s">
        <v>3302</v>
      </c>
      <c r="B24" s="3447" t="s">
        <v>3229</v>
      </c>
      <c r="C24" s="3447" t="s">
        <v>3230</v>
      </c>
      <c r="D24" s="3447">
        <v>26856.73</v>
      </c>
      <c r="E24" s="3447">
        <v>120855.29</v>
      </c>
      <c r="F24" s="3447" t="s">
        <v>3303</v>
      </c>
      <c r="G24" s="3447" t="s">
        <v>3232</v>
      </c>
      <c r="H24" s="3447" t="s">
        <v>3113</v>
      </c>
      <c r="I24" s="3447">
        <v>0</v>
      </c>
      <c r="J24" s="3447" t="s">
        <v>3304</v>
      </c>
      <c r="K24" s="3447" t="s">
        <v>3304</v>
      </c>
      <c r="L24" s="3447">
        <v>3828.61</v>
      </c>
      <c r="M24" s="3447">
        <v>3828.61</v>
      </c>
      <c r="N24" s="3447">
        <v>316.79000000000002</v>
      </c>
      <c r="P24" s="3447">
        <v>0</v>
      </c>
      <c r="Q24" s="3447" t="s">
        <v>3305</v>
      </c>
      <c r="R24" s="3447" t="s">
        <v>3306</v>
      </c>
      <c r="S24" s="3450">
        <f t="shared" si="0"/>
        <v>95.038354583748657</v>
      </c>
    </row>
    <row r="25" spans="1:19">
      <c r="A25" s="3447" t="s">
        <v>3307</v>
      </c>
      <c r="B25" s="3447" t="s">
        <v>3229</v>
      </c>
      <c r="C25" s="3447" t="s">
        <v>3230</v>
      </c>
      <c r="D25" s="3447">
        <v>2459.9499999999998</v>
      </c>
      <c r="E25" s="3447">
        <v>2459.9499999999998</v>
      </c>
      <c r="F25" s="3447" t="s">
        <v>3308</v>
      </c>
      <c r="G25" s="3447" t="s">
        <v>3232</v>
      </c>
      <c r="H25" s="3447" t="s">
        <v>3113</v>
      </c>
      <c r="I25" s="3447">
        <v>0</v>
      </c>
      <c r="J25" s="3447" t="s">
        <v>3309</v>
      </c>
      <c r="K25" s="3447" t="s">
        <v>3309</v>
      </c>
      <c r="L25" s="3447">
        <v>29.87</v>
      </c>
      <c r="M25" s="3447">
        <v>29.87</v>
      </c>
      <c r="N25" s="3447">
        <v>121.43</v>
      </c>
      <c r="P25" s="3447">
        <v>0</v>
      </c>
      <c r="Q25" s="3447" t="s">
        <v>3310</v>
      </c>
      <c r="R25" s="3447" t="s">
        <v>3253</v>
      </c>
      <c r="S25" s="3450">
        <f t="shared" si="0"/>
        <v>8.0950559564218789</v>
      </c>
    </row>
    <row r="26" spans="1:19" s="3452" customFormat="1">
      <c r="A26" s="3452" t="s">
        <v>3311</v>
      </c>
      <c r="B26" s="3452" t="s">
        <v>3229</v>
      </c>
      <c r="C26" s="3452" t="s">
        <v>3230</v>
      </c>
      <c r="D26" s="3452">
        <v>3989.14</v>
      </c>
      <c r="E26" s="3452">
        <v>1436.09</v>
      </c>
      <c r="F26" s="3452" t="s">
        <v>3312</v>
      </c>
      <c r="G26" s="3452" t="s">
        <v>3232</v>
      </c>
      <c r="H26" s="3452" t="s">
        <v>3113</v>
      </c>
      <c r="I26" s="3452">
        <v>0</v>
      </c>
      <c r="J26" s="3452" t="s">
        <v>3313</v>
      </c>
      <c r="K26" s="3452" t="s">
        <v>3313</v>
      </c>
      <c r="L26" s="3452">
        <v>455.66</v>
      </c>
      <c r="M26" s="3452">
        <v>455.66</v>
      </c>
      <c r="N26" s="3452">
        <v>3172.92</v>
      </c>
      <c r="O26" s="3452">
        <f>N26*0.36</f>
        <v>1142.2511999999999</v>
      </c>
      <c r="P26" s="3452">
        <v>0</v>
      </c>
      <c r="Q26" s="3452" t="s">
        <v>3314</v>
      </c>
      <c r="R26" s="3452" t="s">
        <v>3253</v>
      </c>
      <c r="S26" s="3453">
        <f t="shared" si="0"/>
        <v>76.150461553116713</v>
      </c>
    </row>
    <row r="27" spans="1:19">
      <c r="A27" s="3447" t="s">
        <v>3315</v>
      </c>
      <c r="B27" s="3447" t="s">
        <v>3229</v>
      </c>
      <c r="C27" s="3447" t="s">
        <v>3230</v>
      </c>
      <c r="D27" s="3447">
        <v>7014.12</v>
      </c>
      <c r="E27" s="3447">
        <v>41032.6</v>
      </c>
      <c r="F27" s="3447" t="s">
        <v>3316</v>
      </c>
      <c r="G27" s="3447" t="s">
        <v>3232</v>
      </c>
      <c r="H27" s="3447" t="s">
        <v>3113</v>
      </c>
      <c r="I27" s="3447">
        <v>0</v>
      </c>
      <c r="J27" s="3447" t="s">
        <v>3317</v>
      </c>
      <c r="K27" s="3447" t="s">
        <v>3317</v>
      </c>
      <c r="L27" s="3447">
        <v>6517.4</v>
      </c>
      <c r="M27" s="3447">
        <v>6517.4</v>
      </c>
      <c r="N27" s="3447">
        <v>1588.34</v>
      </c>
      <c r="P27" s="3447">
        <v>0</v>
      </c>
      <c r="Q27" s="3447" t="s">
        <v>3318</v>
      </c>
      <c r="R27" s="3447" t="s">
        <v>3253</v>
      </c>
      <c r="S27" s="3450">
        <f t="shared" si="0"/>
        <v>619.45832948395514</v>
      </c>
    </row>
    <row r="28" spans="1:19">
      <c r="A28" s="3447" t="s">
        <v>3319</v>
      </c>
      <c r="B28" s="3447" t="s">
        <v>3229</v>
      </c>
      <c r="C28" s="3447" t="s">
        <v>3230</v>
      </c>
      <c r="D28" s="3447">
        <v>2718.58</v>
      </c>
      <c r="E28" s="3447">
        <v>2772.95</v>
      </c>
      <c r="F28" s="3447" t="s">
        <v>3320</v>
      </c>
      <c r="G28" s="3447" t="s">
        <v>3232</v>
      </c>
      <c r="H28" s="3447" t="s">
        <v>3113</v>
      </c>
      <c r="I28" s="3447">
        <v>0</v>
      </c>
      <c r="J28" s="3447" t="s">
        <v>3321</v>
      </c>
      <c r="K28" s="3447" t="s">
        <v>3321</v>
      </c>
      <c r="L28" s="3447">
        <v>332.85</v>
      </c>
      <c r="M28" s="3447">
        <v>332.85</v>
      </c>
      <c r="N28" s="3447">
        <v>1200.3399999999999</v>
      </c>
      <c r="P28" s="3447">
        <v>0</v>
      </c>
      <c r="Q28" s="3447" t="s">
        <v>3322</v>
      </c>
      <c r="R28" s="3447" t="s">
        <v>3246</v>
      </c>
      <c r="S28" s="3450">
        <f t="shared" si="0"/>
        <v>81.623902735987173</v>
      </c>
    </row>
    <row r="29" spans="1:19">
      <c r="A29" s="3447" t="s">
        <v>3323</v>
      </c>
      <c r="B29" s="3447" t="s">
        <v>3229</v>
      </c>
      <c r="C29" s="3447" t="s">
        <v>3230</v>
      </c>
      <c r="D29" s="3447">
        <v>67236.600000000006</v>
      </c>
      <c r="E29" s="3447">
        <v>108923.3</v>
      </c>
      <c r="F29" s="3447" t="s">
        <v>3324</v>
      </c>
      <c r="G29" s="3447" t="s">
        <v>3232</v>
      </c>
      <c r="H29" s="3447" t="s">
        <v>3113</v>
      </c>
      <c r="I29" s="3447">
        <v>0</v>
      </c>
      <c r="J29" s="3447" t="s">
        <v>3325</v>
      </c>
      <c r="K29" s="3447" t="s">
        <v>3325</v>
      </c>
      <c r="L29" s="3447">
        <v>3713.88</v>
      </c>
      <c r="M29" s="3447">
        <v>3713.88</v>
      </c>
      <c r="N29" s="3447">
        <v>340.95</v>
      </c>
      <c r="P29" s="3447">
        <v>0</v>
      </c>
      <c r="Q29" s="3447" t="s">
        <v>3326</v>
      </c>
      <c r="R29" s="3447" t="s">
        <v>3273</v>
      </c>
      <c r="S29" s="3450">
        <f t="shared" si="0"/>
        <v>36.824175814957918</v>
      </c>
    </row>
    <row r="30" spans="1:19">
      <c r="A30" s="3447" t="s">
        <v>3327</v>
      </c>
      <c r="B30" s="3447" t="s">
        <v>3229</v>
      </c>
      <c r="C30" s="3447" t="s">
        <v>3230</v>
      </c>
      <c r="D30" s="3447">
        <v>14296.58</v>
      </c>
      <c r="E30" s="3447">
        <v>36599.24</v>
      </c>
      <c r="F30" s="3447" t="s">
        <v>3328</v>
      </c>
      <c r="G30" s="3447" t="s">
        <v>3232</v>
      </c>
      <c r="H30" s="3447" t="s">
        <v>3113</v>
      </c>
      <c r="I30" s="3447">
        <v>0</v>
      </c>
      <c r="J30" s="3447" t="s">
        <v>3329</v>
      </c>
      <c r="K30" s="3447" t="s">
        <v>3329</v>
      </c>
      <c r="L30" s="3447">
        <v>1181.45</v>
      </c>
      <c r="M30" s="3447">
        <v>1181.45</v>
      </c>
      <c r="N30" s="3447">
        <v>322.81</v>
      </c>
      <c r="P30" s="3447">
        <v>0</v>
      </c>
      <c r="Q30" s="3447" t="s">
        <v>3330</v>
      </c>
      <c r="R30" s="3447" t="s">
        <v>3253</v>
      </c>
      <c r="S30" s="3450">
        <f t="shared" si="0"/>
        <v>55.092705493201869</v>
      </c>
    </row>
    <row r="31" spans="1:19">
      <c r="A31" s="3447" t="s">
        <v>3331</v>
      </c>
      <c r="B31" s="3447" t="s">
        <v>3229</v>
      </c>
      <c r="C31" s="3447" t="s">
        <v>3230</v>
      </c>
      <c r="D31" s="3447">
        <v>3634.32</v>
      </c>
      <c r="E31" s="3447">
        <v>1090.3</v>
      </c>
      <c r="F31" s="3447" t="s">
        <v>3231</v>
      </c>
      <c r="G31" s="3447" t="s">
        <v>3232</v>
      </c>
      <c r="H31" s="3447" t="s">
        <v>3332</v>
      </c>
      <c r="I31" s="3447">
        <v>0</v>
      </c>
      <c r="J31" s="3447" t="s">
        <v>3333</v>
      </c>
      <c r="K31" s="3447" t="s">
        <v>3333</v>
      </c>
      <c r="L31" s="3447">
        <v>410.05</v>
      </c>
      <c r="M31" s="3447">
        <v>410.05</v>
      </c>
      <c r="N31" s="3447">
        <v>3760.88</v>
      </c>
      <c r="O31" s="3447">
        <f>N31*0.3</f>
        <v>1128.2639999999999</v>
      </c>
      <c r="P31" s="3447">
        <v>0</v>
      </c>
      <c r="Q31" s="3447" t="s">
        <v>3334</v>
      </c>
      <c r="R31" s="3447" t="s">
        <v>3306</v>
      </c>
      <c r="S31" s="3450">
        <f t="shared" si="0"/>
        <v>75.218481999383641</v>
      </c>
    </row>
    <row r="32" spans="1:19">
      <c r="A32" s="3447" t="s">
        <v>3335</v>
      </c>
      <c r="B32" s="3447" t="s">
        <v>3229</v>
      </c>
      <c r="C32" s="3447" t="s">
        <v>3230</v>
      </c>
      <c r="D32" s="3447">
        <v>32250.07</v>
      </c>
      <c r="E32" s="3447">
        <v>88687.69</v>
      </c>
      <c r="F32" s="3447" t="s">
        <v>3336</v>
      </c>
      <c r="G32" s="3447" t="s">
        <v>3232</v>
      </c>
      <c r="H32" s="3447" t="s">
        <v>3113</v>
      </c>
      <c r="I32" s="3447">
        <v>0</v>
      </c>
      <c r="J32" s="3447" t="s">
        <v>3337</v>
      </c>
      <c r="K32" s="3447" t="s">
        <v>3337</v>
      </c>
      <c r="L32" s="3447">
        <v>2261.8000000000002</v>
      </c>
      <c r="M32" s="3447">
        <v>2261.8000000000002</v>
      </c>
      <c r="N32" s="3447">
        <v>255.03</v>
      </c>
      <c r="P32" s="3447">
        <v>0</v>
      </c>
      <c r="Q32" s="3447" t="s">
        <v>3338</v>
      </c>
      <c r="R32" s="3447" t="s">
        <v>3306</v>
      </c>
      <c r="S32" s="3450">
        <f t="shared" si="0"/>
        <v>46.7556878481194</v>
      </c>
    </row>
    <row r="33" spans="1:19">
      <c r="A33" s="3447" t="s">
        <v>3339</v>
      </c>
      <c r="B33" s="3447" t="s">
        <v>3229</v>
      </c>
      <c r="C33" s="3447" t="s">
        <v>3230</v>
      </c>
      <c r="D33" s="3447">
        <v>5899.19</v>
      </c>
      <c r="E33" s="3447">
        <v>5309.27</v>
      </c>
      <c r="F33" s="3447" t="s">
        <v>3340</v>
      </c>
      <c r="G33" s="3447" t="s">
        <v>3232</v>
      </c>
      <c r="H33" s="3447" t="s">
        <v>3113</v>
      </c>
      <c r="I33" s="3447">
        <v>0</v>
      </c>
      <c r="J33" s="3447" t="s">
        <v>3341</v>
      </c>
      <c r="K33" s="3447" t="s">
        <v>3341</v>
      </c>
      <c r="L33" s="3447">
        <v>252.52</v>
      </c>
      <c r="M33" s="3447">
        <v>252.52</v>
      </c>
      <c r="N33" s="3447">
        <v>475.62</v>
      </c>
      <c r="P33" s="3447">
        <v>0</v>
      </c>
      <c r="Q33" s="3447" t="s">
        <v>3342</v>
      </c>
      <c r="R33" s="3447" t="s">
        <v>3273</v>
      </c>
      <c r="S33" s="3450">
        <f t="shared" si="0"/>
        <v>28.537393845595755</v>
      </c>
    </row>
    <row r="34" spans="1:19">
      <c r="A34" s="3447" t="s">
        <v>3343</v>
      </c>
      <c r="B34" s="3447" t="s">
        <v>3229</v>
      </c>
      <c r="C34" s="3447" t="s">
        <v>3230</v>
      </c>
      <c r="D34" s="3447">
        <v>4080.32</v>
      </c>
      <c r="E34" s="3447">
        <v>4080.32</v>
      </c>
      <c r="F34" s="3447" t="s">
        <v>3344</v>
      </c>
      <c r="G34" s="3447" t="s">
        <v>3232</v>
      </c>
      <c r="H34" s="3447" t="s">
        <v>3113</v>
      </c>
      <c r="I34" s="3447">
        <v>0</v>
      </c>
      <c r="J34" s="3447" t="s">
        <v>3345</v>
      </c>
      <c r="K34" s="3447" t="s">
        <v>3345</v>
      </c>
      <c r="L34" s="3447">
        <v>415.48</v>
      </c>
      <c r="M34" s="3447">
        <v>415.48</v>
      </c>
      <c r="N34" s="3447">
        <v>1018.25</v>
      </c>
      <c r="O34" s="3447">
        <f>N34</f>
        <v>1018.25</v>
      </c>
      <c r="P34" s="3447">
        <v>0</v>
      </c>
      <c r="Q34" s="3447" t="s">
        <v>3346</v>
      </c>
      <c r="R34" s="3447" t="s">
        <v>3253</v>
      </c>
    </row>
    <row r="35" spans="1:19">
      <c r="A35" s="3447" t="s">
        <v>3347</v>
      </c>
      <c r="B35" s="3447" t="s">
        <v>3229</v>
      </c>
      <c r="C35" s="3447" t="s">
        <v>3230</v>
      </c>
      <c r="D35" s="3447">
        <v>10176.67</v>
      </c>
      <c r="E35" s="3447">
        <v>55971.69</v>
      </c>
      <c r="F35" s="3447" t="s">
        <v>3348</v>
      </c>
      <c r="G35" s="3447" t="s">
        <v>3232</v>
      </c>
      <c r="H35" s="3447" t="s">
        <v>3332</v>
      </c>
      <c r="I35" s="3447">
        <v>0</v>
      </c>
      <c r="J35" s="3447" t="s">
        <v>3349</v>
      </c>
      <c r="K35" s="3447" t="s">
        <v>3349</v>
      </c>
      <c r="L35" s="3447">
        <v>10288.700000000001</v>
      </c>
      <c r="M35" s="3447">
        <v>10288.700000000001</v>
      </c>
      <c r="N35" s="3447">
        <v>1838.2</v>
      </c>
      <c r="P35" s="3447">
        <v>0</v>
      </c>
      <c r="Q35" s="3447" t="s">
        <v>3350</v>
      </c>
      <c r="R35" s="3447" t="s">
        <v>3253</v>
      </c>
    </row>
    <row r="36" spans="1:19">
      <c r="A36" s="3447" t="s">
        <v>3351</v>
      </c>
      <c r="B36" s="3447" t="s">
        <v>3229</v>
      </c>
      <c r="C36" s="3447" t="s">
        <v>3230</v>
      </c>
      <c r="D36" s="3447">
        <v>3341.37</v>
      </c>
      <c r="E36" s="3447">
        <v>8019.29</v>
      </c>
      <c r="F36" s="3447" t="s">
        <v>3352</v>
      </c>
      <c r="G36" s="3447" t="s">
        <v>3232</v>
      </c>
      <c r="H36" s="3447" t="s">
        <v>3353</v>
      </c>
      <c r="I36" s="3447">
        <v>0</v>
      </c>
      <c r="J36" s="3447" t="s">
        <v>3354</v>
      </c>
      <c r="K36" s="3447" t="s">
        <v>3354</v>
      </c>
      <c r="L36" s="3447">
        <v>684.71</v>
      </c>
      <c r="M36" s="3447">
        <v>684.71</v>
      </c>
      <c r="N36" s="3447">
        <v>853.83</v>
      </c>
      <c r="P36" s="3447">
        <v>0</v>
      </c>
      <c r="Q36" s="3447" t="s">
        <v>3355</v>
      </c>
      <c r="R36" s="3447" t="s">
        <v>3253</v>
      </c>
    </row>
    <row r="37" spans="1:19">
      <c r="A37" s="3447" t="s">
        <v>3269</v>
      </c>
      <c r="B37" s="3447" t="s">
        <v>3229</v>
      </c>
      <c r="C37" s="3447" t="s">
        <v>3230</v>
      </c>
      <c r="D37" s="3447">
        <v>13996</v>
      </c>
      <c r="E37" s="3447">
        <v>15955.44</v>
      </c>
      <c r="F37" s="3447" t="s">
        <v>3356</v>
      </c>
      <c r="G37" s="3447" t="s">
        <v>3232</v>
      </c>
      <c r="H37" s="3447" t="s">
        <v>3353</v>
      </c>
      <c r="I37" s="3447">
        <v>0</v>
      </c>
      <c r="J37" s="3447" t="s">
        <v>3357</v>
      </c>
      <c r="K37" s="3447" t="s">
        <v>3357</v>
      </c>
      <c r="L37" s="3447">
        <v>711.1</v>
      </c>
      <c r="M37" s="3447">
        <v>711.1</v>
      </c>
      <c r="N37" s="3447">
        <v>445.68</v>
      </c>
      <c r="P37" s="3447">
        <v>0</v>
      </c>
      <c r="Q37" s="3447" t="s">
        <v>3270</v>
      </c>
      <c r="R37" s="3447" t="s">
        <v>3273</v>
      </c>
    </row>
    <row r="38" spans="1:19">
      <c r="A38" s="3447" t="s">
        <v>3358</v>
      </c>
      <c r="B38" s="3447" t="s">
        <v>3229</v>
      </c>
      <c r="C38" s="3447" t="s">
        <v>3230</v>
      </c>
      <c r="D38" s="3447">
        <v>8845.14</v>
      </c>
      <c r="E38" s="3447">
        <v>33965.339999999997</v>
      </c>
      <c r="F38" s="3447" t="s">
        <v>3359</v>
      </c>
      <c r="G38" s="3447" t="s">
        <v>3232</v>
      </c>
      <c r="H38" s="3447" t="s">
        <v>3113</v>
      </c>
      <c r="I38" s="3447">
        <v>0</v>
      </c>
      <c r="J38" s="3447" t="s">
        <v>3360</v>
      </c>
      <c r="K38" s="3447" t="s">
        <v>3360</v>
      </c>
      <c r="L38" s="3447">
        <v>5758.18</v>
      </c>
      <c r="M38" s="3447">
        <v>5758.18</v>
      </c>
      <c r="N38" s="3447">
        <v>1695.3</v>
      </c>
      <c r="P38" s="3447">
        <v>0</v>
      </c>
      <c r="Q38" s="3447" t="s">
        <v>3361</v>
      </c>
      <c r="R38" s="3447" t="s">
        <v>3273</v>
      </c>
    </row>
    <row r="39" spans="1:19">
      <c r="A39" s="3447" t="s">
        <v>3358</v>
      </c>
      <c r="B39" s="3447" t="s">
        <v>3229</v>
      </c>
      <c r="C39" s="3447" t="s">
        <v>3230</v>
      </c>
      <c r="D39" s="3447">
        <v>8845.14</v>
      </c>
      <c r="E39" s="3447">
        <v>33965.339999999997</v>
      </c>
      <c r="F39" s="3447" t="s">
        <v>3359</v>
      </c>
      <c r="G39" s="3447" t="s">
        <v>3232</v>
      </c>
      <c r="H39" s="3447" t="s">
        <v>3353</v>
      </c>
      <c r="I39" s="3447">
        <v>0</v>
      </c>
      <c r="J39" s="3447" t="s">
        <v>3362</v>
      </c>
      <c r="K39" s="3447" t="s">
        <v>3360</v>
      </c>
      <c r="L39" s="3447">
        <v>5758.18</v>
      </c>
      <c r="M39" s="3447">
        <v>5758.18</v>
      </c>
      <c r="N39" s="3447">
        <v>1695.3</v>
      </c>
      <c r="P39" s="3447">
        <v>0</v>
      </c>
      <c r="Q39" s="3447" t="s">
        <v>3361</v>
      </c>
      <c r="R39" s="3447" t="s">
        <v>3273</v>
      </c>
    </row>
    <row r="40" spans="1:19">
      <c r="A40" s="3447" t="s">
        <v>3363</v>
      </c>
      <c r="B40" s="3447" t="s">
        <v>3229</v>
      </c>
      <c r="C40" s="3447" t="s">
        <v>3230</v>
      </c>
      <c r="D40" s="3447">
        <v>4215</v>
      </c>
      <c r="E40" s="3447">
        <v>843</v>
      </c>
      <c r="F40" s="3447" t="s">
        <v>3364</v>
      </c>
      <c r="G40" s="3447" t="s">
        <v>3232</v>
      </c>
      <c r="H40" s="3447" t="s">
        <v>3332</v>
      </c>
      <c r="I40" s="3447">
        <v>0</v>
      </c>
      <c r="J40" s="3447" t="s">
        <v>3365</v>
      </c>
      <c r="K40" s="3447" t="s">
        <v>3365</v>
      </c>
      <c r="L40" s="3447">
        <v>416.8</v>
      </c>
      <c r="M40" s="3447">
        <v>416.8</v>
      </c>
      <c r="N40" s="3447">
        <v>4944.25</v>
      </c>
      <c r="P40" s="3447">
        <v>0</v>
      </c>
      <c r="Q40" s="3447" t="s">
        <v>3268</v>
      </c>
      <c r="R40" s="3447" t="s">
        <v>3273</v>
      </c>
    </row>
    <row r="41" spans="1:19">
      <c r="A41" s="3447" t="s">
        <v>3366</v>
      </c>
      <c r="B41" s="3447" t="s">
        <v>3229</v>
      </c>
      <c r="C41" s="3447" t="s">
        <v>3230</v>
      </c>
      <c r="D41" s="3447">
        <v>4362.32</v>
      </c>
      <c r="E41" s="3447">
        <v>6499.86</v>
      </c>
      <c r="F41" s="3447" t="s">
        <v>3367</v>
      </c>
      <c r="G41" s="3447" t="s">
        <v>3232</v>
      </c>
      <c r="H41" s="3447" t="s">
        <v>3353</v>
      </c>
      <c r="I41" s="3447">
        <v>0</v>
      </c>
      <c r="J41" s="3447" t="s">
        <v>3368</v>
      </c>
      <c r="K41" s="3447" t="s">
        <v>3368</v>
      </c>
      <c r="L41" s="3447">
        <v>222.8</v>
      </c>
      <c r="M41" s="3447">
        <v>222.8</v>
      </c>
      <c r="N41" s="3447">
        <v>342.77</v>
      </c>
      <c r="P41" s="3447">
        <v>0</v>
      </c>
      <c r="Q41" s="3447" t="s">
        <v>3270</v>
      </c>
      <c r="R41" s="3447" t="s">
        <v>3273</v>
      </c>
    </row>
    <row r="42" spans="1:19">
      <c r="A42" s="3447" t="s">
        <v>3369</v>
      </c>
      <c r="B42" s="3447" t="s">
        <v>3229</v>
      </c>
      <c r="C42" s="3447" t="s">
        <v>3230</v>
      </c>
      <c r="D42" s="3447">
        <v>15301.36</v>
      </c>
      <c r="E42" s="3447">
        <v>44832.98</v>
      </c>
      <c r="F42" s="3447" t="s">
        <v>3370</v>
      </c>
      <c r="G42" s="3447" t="s">
        <v>3232</v>
      </c>
      <c r="H42" s="3447" t="s">
        <v>3332</v>
      </c>
      <c r="I42" s="3447">
        <v>0</v>
      </c>
      <c r="J42" s="3447" t="s">
        <v>3371</v>
      </c>
      <c r="K42" s="3447" t="s">
        <v>3372</v>
      </c>
      <c r="L42" s="3447">
        <v>5304.3</v>
      </c>
      <c r="M42" s="3447">
        <v>5304.3</v>
      </c>
      <c r="N42" s="3447">
        <v>1183.1099999999999</v>
      </c>
      <c r="P42" s="3447">
        <v>0</v>
      </c>
      <c r="Q42" s="3447" t="s">
        <v>3261</v>
      </c>
      <c r="R42" s="3447" t="s">
        <v>3253</v>
      </c>
    </row>
    <row r="43" spans="1:19">
      <c r="A43" s="3447" t="s">
        <v>3373</v>
      </c>
      <c r="B43" s="3447" t="s">
        <v>3229</v>
      </c>
      <c r="C43" s="3447" t="s">
        <v>3230</v>
      </c>
      <c r="D43" s="3447">
        <v>3113.66</v>
      </c>
      <c r="E43" s="3447">
        <v>311.37</v>
      </c>
      <c r="F43" s="3447" t="s">
        <v>3374</v>
      </c>
      <c r="G43" s="3447" t="s">
        <v>3232</v>
      </c>
      <c r="H43" s="3447" t="s">
        <v>3332</v>
      </c>
      <c r="I43" s="3447">
        <v>0</v>
      </c>
      <c r="J43" s="3447" t="s">
        <v>3375</v>
      </c>
      <c r="K43" s="3447" t="s">
        <v>3375</v>
      </c>
      <c r="L43" s="3447">
        <v>446.19</v>
      </c>
      <c r="M43" s="3447">
        <v>446.19</v>
      </c>
      <c r="N43" s="3447">
        <v>14330.21</v>
      </c>
      <c r="P43" s="3447">
        <v>0</v>
      </c>
      <c r="Q43" s="3447" t="s">
        <v>3283</v>
      </c>
      <c r="R43" s="3447" t="s">
        <v>3246</v>
      </c>
    </row>
    <row r="44" spans="1:19">
      <c r="A44" s="3447" t="s">
        <v>3376</v>
      </c>
      <c r="B44" s="3447" t="s">
        <v>3229</v>
      </c>
      <c r="C44" s="3447" t="s">
        <v>3230</v>
      </c>
      <c r="D44" s="3447">
        <v>2812.08</v>
      </c>
      <c r="E44" s="3447">
        <v>9561.07</v>
      </c>
      <c r="F44" s="3447" t="s">
        <v>3377</v>
      </c>
      <c r="G44" s="3447" t="s">
        <v>3232</v>
      </c>
      <c r="H44" s="3447" t="s">
        <v>3113</v>
      </c>
      <c r="I44" s="3447">
        <v>0</v>
      </c>
      <c r="J44" s="3447" t="s">
        <v>3378</v>
      </c>
      <c r="K44" s="3447" t="s">
        <v>3378</v>
      </c>
      <c r="L44" s="3447" t="s">
        <v>1298</v>
      </c>
      <c r="M44" s="3447">
        <v>1343.09</v>
      </c>
      <c r="N44" s="3447">
        <v>1404.75</v>
      </c>
      <c r="P44" s="3447" t="s">
        <v>1298</v>
      </c>
      <c r="Q44" s="3447" t="s">
        <v>3379</v>
      </c>
      <c r="R44" s="3447" t="s">
        <v>3253</v>
      </c>
    </row>
    <row r="45" spans="1:19">
      <c r="A45" s="3447" t="s">
        <v>3380</v>
      </c>
      <c r="B45" s="3447" t="s">
        <v>3229</v>
      </c>
      <c r="C45" s="3447" t="s">
        <v>3230</v>
      </c>
      <c r="D45" s="3447">
        <v>4726.33</v>
      </c>
      <c r="E45" s="3447">
        <v>945.27</v>
      </c>
      <c r="F45" s="3447" t="s">
        <v>3381</v>
      </c>
      <c r="G45" s="3447" t="s">
        <v>3232</v>
      </c>
      <c r="H45" s="3447" t="s">
        <v>3113</v>
      </c>
      <c r="I45" s="3447">
        <v>0</v>
      </c>
      <c r="J45" s="3447" t="s">
        <v>3382</v>
      </c>
      <c r="K45" s="3447" t="s">
        <v>3382</v>
      </c>
      <c r="L45" s="3447" t="s">
        <v>1298</v>
      </c>
      <c r="M45" s="3447">
        <v>263.60000000000002</v>
      </c>
      <c r="N45" s="3447">
        <v>2788.61</v>
      </c>
      <c r="P45" s="3447" t="s">
        <v>1298</v>
      </c>
      <c r="Q45" s="3447" t="s">
        <v>3383</v>
      </c>
      <c r="R45" s="3447" t="s">
        <v>3306</v>
      </c>
    </row>
    <row r="46" spans="1:19">
      <c r="A46" s="3447" t="s">
        <v>3384</v>
      </c>
      <c r="B46" s="3447" t="s">
        <v>3229</v>
      </c>
      <c r="C46" s="3447" t="s">
        <v>3237</v>
      </c>
      <c r="D46" s="3447">
        <v>94035.91</v>
      </c>
      <c r="E46" s="3447">
        <v>18807.18</v>
      </c>
      <c r="F46" s="3447" t="s">
        <v>3385</v>
      </c>
      <c r="G46" s="3447" t="s">
        <v>3232</v>
      </c>
      <c r="H46" s="3447" t="s">
        <v>3386</v>
      </c>
      <c r="I46" s="3447">
        <v>0</v>
      </c>
      <c r="J46" s="3447" t="s">
        <v>3387</v>
      </c>
      <c r="K46" s="3447" t="s">
        <v>3387</v>
      </c>
      <c r="L46" s="3447">
        <v>1950</v>
      </c>
      <c r="M46" s="3447">
        <v>3921.3</v>
      </c>
      <c r="N46" s="3447">
        <v>2085</v>
      </c>
      <c r="P46" s="3447">
        <v>101.09</v>
      </c>
      <c r="Q46" s="3447" t="s">
        <v>3388</v>
      </c>
      <c r="R46" s="3447" t="s">
        <v>3235</v>
      </c>
    </row>
    <row r="47" spans="1:19">
      <c r="A47" s="3447" t="s">
        <v>3384</v>
      </c>
      <c r="B47" s="3447" t="s">
        <v>3229</v>
      </c>
      <c r="C47" s="3447" t="s">
        <v>3237</v>
      </c>
      <c r="D47" s="3447">
        <v>82916.19</v>
      </c>
      <c r="E47" s="3447">
        <v>16583.240000000002</v>
      </c>
      <c r="F47" s="3447" t="s">
        <v>3385</v>
      </c>
      <c r="G47" s="3447" t="s">
        <v>3232</v>
      </c>
      <c r="H47" s="3447" t="s">
        <v>3386</v>
      </c>
      <c r="I47" s="3447">
        <v>0</v>
      </c>
      <c r="J47" s="3447" t="s">
        <v>3387</v>
      </c>
      <c r="K47" s="3447" t="s">
        <v>3387</v>
      </c>
      <c r="L47" s="3447">
        <v>3772.69</v>
      </c>
      <c r="M47" s="3447">
        <v>3772.69</v>
      </c>
      <c r="N47" s="3447">
        <v>2275</v>
      </c>
      <c r="P47" s="3447">
        <v>0</v>
      </c>
      <c r="Q47" s="3447" t="s">
        <v>3389</v>
      </c>
      <c r="R47" s="3447" t="s">
        <v>3235</v>
      </c>
    </row>
    <row r="48" spans="1:19">
      <c r="A48" s="3447" t="s">
        <v>3390</v>
      </c>
      <c r="B48" s="3447" t="s">
        <v>3229</v>
      </c>
      <c r="C48" s="3447" t="s">
        <v>3230</v>
      </c>
      <c r="D48" s="3447">
        <v>3653.01</v>
      </c>
      <c r="E48" s="3447">
        <v>7306.02</v>
      </c>
      <c r="F48" s="3447" t="s">
        <v>3391</v>
      </c>
      <c r="G48" s="3447" t="s">
        <v>3232</v>
      </c>
      <c r="H48" s="3447" t="s">
        <v>3113</v>
      </c>
      <c r="I48" s="3447">
        <v>0</v>
      </c>
      <c r="J48" s="3447" t="s">
        <v>3392</v>
      </c>
      <c r="K48" s="3447" t="s">
        <v>3392</v>
      </c>
      <c r="L48" s="3447">
        <v>184.09</v>
      </c>
      <c r="M48" s="3447">
        <v>184.09</v>
      </c>
      <c r="N48" s="3447">
        <v>251.97</v>
      </c>
      <c r="P48" s="3447">
        <v>0</v>
      </c>
      <c r="Q48" s="3447" t="s">
        <v>3270</v>
      </c>
      <c r="R48" s="3447" t="s">
        <v>3273</v>
      </c>
    </row>
    <row r="49" spans="1:18">
      <c r="A49" s="3447" t="s">
        <v>3393</v>
      </c>
      <c r="B49" s="3447" t="s">
        <v>3229</v>
      </c>
      <c r="C49" s="3447" t="s">
        <v>3230</v>
      </c>
      <c r="D49" s="3447">
        <v>981.32</v>
      </c>
      <c r="E49" s="3447">
        <v>1864.51</v>
      </c>
      <c r="F49" s="3447" t="s">
        <v>3394</v>
      </c>
      <c r="G49" s="3447" t="s">
        <v>3232</v>
      </c>
      <c r="H49" s="3447" t="s">
        <v>3113</v>
      </c>
      <c r="I49" s="3447">
        <v>0</v>
      </c>
      <c r="J49" s="3447" t="s">
        <v>3395</v>
      </c>
      <c r="K49" s="3447" t="s">
        <v>3395</v>
      </c>
      <c r="L49" s="3447" t="s">
        <v>1298</v>
      </c>
      <c r="M49" s="3447">
        <v>60.64</v>
      </c>
      <c r="N49" s="3447">
        <v>325.29000000000002</v>
      </c>
      <c r="P49" s="3447" t="s">
        <v>1298</v>
      </c>
      <c r="Q49" s="3447" t="s">
        <v>3396</v>
      </c>
      <c r="R49" s="3447" t="s">
        <v>3273</v>
      </c>
    </row>
    <row r="50" spans="1:18">
      <c r="A50" s="3447" t="s">
        <v>3397</v>
      </c>
      <c r="B50" s="3447" t="s">
        <v>3229</v>
      </c>
      <c r="C50" s="3447" t="s">
        <v>3230</v>
      </c>
      <c r="D50" s="3447">
        <v>3461.3</v>
      </c>
      <c r="E50" s="3447">
        <v>3807.43</v>
      </c>
      <c r="F50" s="3447" t="s">
        <v>3398</v>
      </c>
      <c r="G50" s="3447" t="s">
        <v>3232</v>
      </c>
      <c r="H50" s="3447" t="s">
        <v>3113</v>
      </c>
      <c r="I50" s="3447">
        <v>0</v>
      </c>
      <c r="J50" s="3447" t="s">
        <v>3399</v>
      </c>
      <c r="K50" s="3447" t="s">
        <v>3399</v>
      </c>
      <c r="L50" s="3447" t="s">
        <v>1298</v>
      </c>
      <c r="M50" s="3447">
        <v>523.70000000000005</v>
      </c>
      <c r="N50" s="3447">
        <v>1375.47</v>
      </c>
      <c r="P50" s="3447" t="s">
        <v>1298</v>
      </c>
      <c r="Q50" s="3447" t="s">
        <v>3400</v>
      </c>
      <c r="R50" s="3447" t="s">
        <v>3253</v>
      </c>
    </row>
    <row r="51" spans="1:18">
      <c r="A51" s="3447" t="s">
        <v>3401</v>
      </c>
      <c r="B51" s="3447" t="s">
        <v>3229</v>
      </c>
      <c r="C51" s="3447" t="s">
        <v>3230</v>
      </c>
      <c r="D51" s="3447">
        <v>10964.12</v>
      </c>
      <c r="E51" s="3447">
        <v>64688.31</v>
      </c>
      <c r="F51" s="3447" t="s">
        <v>3402</v>
      </c>
      <c r="G51" s="3447" t="s">
        <v>3232</v>
      </c>
      <c r="H51" s="3447" t="s">
        <v>3332</v>
      </c>
      <c r="I51" s="3447">
        <v>0</v>
      </c>
      <c r="J51" s="3447" t="s">
        <v>3403</v>
      </c>
      <c r="K51" s="3447" t="s">
        <v>3403</v>
      </c>
      <c r="L51" s="3447" t="s">
        <v>1298</v>
      </c>
      <c r="M51" s="3447">
        <v>1396.82</v>
      </c>
      <c r="N51" s="3447">
        <v>215.93</v>
      </c>
      <c r="P51" s="3447" t="s">
        <v>1298</v>
      </c>
      <c r="Q51" s="3447" t="s">
        <v>3404</v>
      </c>
      <c r="R51" s="3447" t="s">
        <v>3253</v>
      </c>
    </row>
  </sheetData>
  <phoneticPr fontId="140" type="noConversion"/>
  <pageMargins left="0.75" right="0.75" top="1" bottom="1" header="0.5" footer="0.5"/>
  <pageSetup orientation="portrait" horizontalDpi="300" verticalDpi="300"/>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
  <sheetViews>
    <sheetView workbookViewId="0">
      <selection activeCell="M32" sqref="M32"/>
    </sheetView>
  </sheetViews>
  <sheetFormatPr defaultColWidth="9" defaultRowHeight="13.5"/>
  <cols>
    <col min="1" max="16384" width="9" style="3454"/>
  </cols>
  <sheetData/>
  <phoneticPr fontId="140" type="noConversion"/>
  <pageMargins left="0.7" right="0.7" top="0.75" bottom="0.75" header="0.3" footer="0.3"/>
  <pageSetup paperSize="0" orientation="portrait" horizontalDpi="0" verticalDpi="0" copies="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684" t="str">
        <f>IF(项目基本情况!B9="房地产市场价值","估价结果一览表","结果表-2")</f>
        <v>估价结果一览表</v>
      </c>
      <c r="B1" s="3684"/>
      <c r="C1" s="3684"/>
      <c r="D1" s="3684"/>
      <c r="E1" s="3684"/>
      <c r="F1" s="3684"/>
      <c r="G1" s="3684"/>
      <c r="H1" s="3684"/>
      <c r="I1" s="3684"/>
    </row>
    <row r="2" spans="1:9" ht="30" customHeight="1" thickTop="1">
      <c r="A2" s="3685" t="s">
        <v>1606</v>
      </c>
      <c r="B2" s="3685" t="s">
        <v>1607</v>
      </c>
      <c r="C2" s="3685" t="s">
        <v>1608</v>
      </c>
      <c r="D2" s="3685" t="str">
        <f>结果表!D116</f>
        <v>出让国有建设用地使用权价值</v>
      </c>
      <c r="E2" s="3685"/>
      <c r="F2" s="3685" t="str">
        <f>结果表!F116</f>
        <v>在建建筑物价值</v>
      </c>
      <c r="G2" s="3685"/>
      <c r="H2" s="3685" t="str">
        <f>IF(项目基本情况!B9="房地产市场价值","房地产市场价值","房地产价值")</f>
        <v>房地产市场价值</v>
      </c>
      <c r="I2" s="3685"/>
    </row>
    <row r="3" spans="1:9" ht="15">
      <c r="A3" s="3679"/>
      <c r="B3" s="3679"/>
      <c r="C3" s="3679"/>
      <c r="D3" s="963" t="s">
        <v>1603</v>
      </c>
      <c r="E3" s="963" t="s">
        <v>1609</v>
      </c>
      <c r="F3" s="963" t="s">
        <v>1603</v>
      </c>
      <c r="G3" s="963" t="s">
        <v>1604</v>
      </c>
      <c r="H3" s="963" t="s">
        <v>1603</v>
      </c>
      <c r="I3" s="963" t="s">
        <v>1604</v>
      </c>
    </row>
    <row r="4" spans="1:9" ht="15">
      <c r="A4" s="1690" t="str">
        <f>项目基本情况!S2</f>
        <v>房地产</v>
      </c>
      <c r="B4" s="963">
        <f>项目基本情况!C17</f>
        <v>198.07</v>
      </c>
      <c r="C4" s="963">
        <f>项目基本情况!C18</f>
        <v>1442.46</v>
      </c>
      <c r="D4" s="963">
        <f ca="1">结果表!D118</f>
        <v>246</v>
      </c>
      <c r="E4" s="963">
        <f ca="1">结果表!E118</f>
        <v>12416</v>
      </c>
      <c r="F4" s="963">
        <f ca="1">结果表!F118</f>
        <v>83</v>
      </c>
      <c r="G4" s="963">
        <f ca="1">结果表!G118</f>
        <v>4205</v>
      </c>
      <c r="H4" s="963">
        <f ca="1">结果表!H118</f>
        <v>329</v>
      </c>
      <c r="I4" s="963">
        <f ca="1">结果表!I118</f>
        <v>16621</v>
      </c>
    </row>
    <row r="5" spans="1:9" ht="30" customHeight="1">
      <c r="A5" s="3679" t="s">
        <v>1605</v>
      </c>
      <c r="B5" s="3679"/>
      <c r="C5" s="3679"/>
      <c r="D5" s="3680" t="str">
        <f ca="1">结果表!D119</f>
        <v>贰佰肆拾陆万元整</v>
      </c>
      <c r="E5" s="3680"/>
      <c r="F5" s="3680" t="str">
        <f ca="1">结果表!F119</f>
        <v>捌拾叁万元整</v>
      </c>
      <c r="G5" s="3680"/>
      <c r="H5" s="3680" t="str">
        <f ca="1">结果表!H119</f>
        <v>叁佰贰拾玖万元整</v>
      </c>
      <c r="I5" s="3680"/>
    </row>
    <row r="6" spans="1:9" ht="15.75">
      <c r="A6" s="3678" t="str">
        <f>结果表!A120</f>
        <v/>
      </c>
      <c r="B6" s="3678"/>
      <c r="C6" s="3678"/>
      <c r="D6" s="3678">
        <f>结果表!D120</f>
        <v>0</v>
      </c>
      <c r="E6" s="3678"/>
      <c r="F6" s="3678"/>
      <c r="G6" s="3678"/>
      <c r="H6" s="3678"/>
      <c r="I6" s="3678"/>
    </row>
    <row r="7" spans="1:9" ht="15">
      <c r="A7" s="3679" t="s">
        <v>1605</v>
      </c>
      <c r="B7" s="3679"/>
      <c r="C7" s="3679"/>
      <c r="D7" s="3681" t="str">
        <f>结果表!D121</f>
        <v>零元整</v>
      </c>
      <c r="E7" s="3682"/>
      <c r="F7" s="3682"/>
      <c r="G7" s="3682"/>
      <c r="H7" s="3682"/>
      <c r="I7" s="3683"/>
    </row>
    <row r="8" spans="1:9" ht="15.75">
      <c r="A8" s="3678" t="str">
        <f>结果表!A122</f>
        <v/>
      </c>
      <c r="B8" s="3678"/>
      <c r="C8" s="3678"/>
      <c r="D8" s="3678" t="str">
        <f>结果表!D122</f>
        <v>——</v>
      </c>
      <c r="E8" s="3678"/>
      <c r="F8" s="3678"/>
      <c r="G8" s="3678"/>
      <c r="H8" s="3678"/>
      <c r="I8" s="3678"/>
    </row>
    <row r="9" spans="1:9" ht="15">
      <c r="A9" s="3679" t="s">
        <v>1605</v>
      </c>
      <c r="B9" s="3679"/>
      <c r="C9" s="3679"/>
      <c r="D9" s="3680" t="e">
        <f>结果表!D123</f>
        <v>#VALUE!</v>
      </c>
      <c r="E9" s="3680"/>
      <c r="F9" s="3680"/>
      <c r="G9" s="3680"/>
      <c r="H9" s="3680"/>
      <c r="I9" s="3680"/>
    </row>
    <row r="10" spans="1:9" ht="15.75">
      <c r="A10" s="3678" t="str">
        <f>结果表!A124</f>
        <v/>
      </c>
      <c r="B10" s="3678"/>
      <c r="C10" s="3678"/>
      <c r="D10" s="3678">
        <f ca="1">结果表!D124</f>
        <v>329</v>
      </c>
      <c r="E10" s="3678"/>
      <c r="F10" s="3678"/>
      <c r="G10" s="3678"/>
      <c r="H10" s="3678"/>
      <c r="I10" s="3678"/>
    </row>
    <row r="11" spans="1:9" ht="15">
      <c r="A11" s="3679" t="s">
        <v>1605</v>
      </c>
      <c r="B11" s="3679"/>
      <c r="C11" s="3679"/>
      <c r="D11" s="3680" t="str">
        <f ca="1">结果表!D125</f>
        <v>叁佰贰拾玖万元整</v>
      </c>
      <c r="E11" s="3680"/>
      <c r="F11" s="3680"/>
      <c r="G11" s="3680"/>
      <c r="H11" s="3680"/>
      <c r="I11" s="3680"/>
    </row>
    <row r="12" spans="1:9" ht="15.75">
      <c r="A12" s="3678" t="str">
        <f>结果表!A126</f>
        <v/>
      </c>
      <c r="B12" s="3678"/>
      <c r="C12" s="3678"/>
      <c r="D12" s="3678" t="str">
        <f>结果表!D126</f>
        <v>——</v>
      </c>
      <c r="E12" s="3678"/>
      <c r="F12" s="3678"/>
      <c r="G12" s="3678"/>
      <c r="H12" s="3678"/>
      <c r="I12" s="3678"/>
    </row>
    <row r="13" spans="1:9" ht="15.75" thickBot="1">
      <c r="A13" s="3675" t="s">
        <v>1605</v>
      </c>
      <c r="B13" s="3675"/>
      <c r="C13" s="3675"/>
      <c r="D13" s="3676" t="e">
        <f>结果表!D127</f>
        <v>#VALUE!</v>
      </c>
      <c r="E13" s="3676"/>
      <c r="F13" s="3676"/>
      <c r="G13" s="3676"/>
      <c r="H13" s="3676"/>
      <c r="I13" s="3676"/>
    </row>
    <row r="14" spans="1:9" ht="15" thickTop="1">
      <c r="A14" s="3677" t="s">
        <v>1610</v>
      </c>
      <c r="B14" s="3677"/>
      <c r="C14" s="3677"/>
      <c r="D14" s="3677"/>
      <c r="E14" s="3677"/>
      <c r="F14" s="3677"/>
      <c r="G14" s="3677"/>
      <c r="H14" s="3677"/>
      <c r="I14" s="3677"/>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692" t="s">
        <v>1627</v>
      </c>
      <c r="B1" s="3692"/>
      <c r="C1" s="3692"/>
      <c r="D1" s="3692"/>
    </row>
    <row r="2" spans="1:4" ht="18">
      <c r="A2" s="3693" t="s">
        <v>1611</v>
      </c>
      <c r="B2" s="3693"/>
      <c r="C2" s="3693"/>
      <c r="D2" s="3693"/>
    </row>
    <row r="3" spans="1:4" ht="18.75">
      <c r="A3" s="1694" t="s">
        <v>1612</v>
      </c>
      <c r="B3" s="1694" t="s">
        <v>1613</v>
      </c>
      <c r="C3" s="1694" t="s">
        <v>1614</v>
      </c>
      <c r="D3" s="1694" t="s">
        <v>1615</v>
      </c>
    </row>
    <row r="4" spans="1:4" ht="56.25" customHeight="1">
      <c r="A4" s="1695" t="str">
        <f>项目基本情况!B4</f>
        <v>陈颖</v>
      </c>
      <c r="B4" s="1696">
        <f ca="1">项目基本情况!C4</f>
        <v>1120060040</v>
      </c>
      <c r="C4" s="1697"/>
      <c r="D4" s="1698" t="s">
        <v>1616</v>
      </c>
    </row>
    <row r="5" spans="1:4" ht="56.25" customHeight="1">
      <c r="A5" s="1695" t="str">
        <f>项目基本情况!D4</f>
        <v>叶凌</v>
      </c>
      <c r="B5" s="1696">
        <f ca="1">项目基本情况!E4</f>
        <v>1119970111</v>
      </c>
      <c r="C5" s="1699"/>
      <c r="D5" s="1698" t="s">
        <v>1616</v>
      </c>
    </row>
    <row r="6" spans="1:4" ht="18">
      <c r="A6" s="3693" t="s">
        <v>1617</v>
      </c>
      <c r="B6" s="3693"/>
      <c r="C6" s="3693"/>
      <c r="D6" s="3693"/>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694" t="s">
        <v>1620</v>
      </c>
      <c r="B11" s="3686"/>
      <c r="C11" s="3686"/>
      <c r="D11" s="3686"/>
    </row>
    <row r="12" spans="1:4" ht="15.75">
      <c r="A12" s="36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691"/>
      <c r="C12" s="3691"/>
      <c r="D12" s="3691"/>
    </row>
    <row r="13" spans="1:4" ht="30" customHeight="1">
      <c r="A13" s="3686" t="str">
        <f>IF(项目基本情况!B8="抵押","3.抵押双方在办理抵押登记手续时，应使用本公司出具的正式《房地产评估报告》，特提醒报告使用者注意。","——")</f>
        <v>——</v>
      </c>
      <c r="B13" s="3691"/>
      <c r="C13" s="3691"/>
      <c r="D13" s="3691"/>
    </row>
    <row r="14" spans="1:4" ht="15.75" customHeight="1">
      <c r="A14" s="3686" t="str">
        <f>IF(项目基本情况!B8="抵押","4.本次评估估价师所知悉的法定优先受偿款情况说明如下：","——")</f>
        <v>——</v>
      </c>
      <c r="B14" s="3691"/>
      <c r="C14" s="3691"/>
      <c r="D14" s="3691"/>
    </row>
    <row r="15" spans="1:4" ht="42" customHeight="1">
      <c r="A15" s="3686" t="str">
        <f>IF(项目基本情况!B8="抵押","（1）"&amp;CONCATENATE(项目基本情况!L20,项目基本情况!L21,项目基本情况!L22),"——")</f>
        <v>——</v>
      </c>
      <c r="B15" s="3686"/>
      <c r="C15" s="3686"/>
      <c r="D15" s="3686"/>
    </row>
    <row r="16" spans="1:4" ht="30" customHeight="1">
      <c r="A16" s="3688" t="s">
        <v>1621</v>
      </c>
      <c r="B16" s="3688"/>
      <c r="C16" s="3688"/>
      <c r="D16" s="3688"/>
    </row>
    <row r="17" spans="1:4" ht="144" customHeight="1">
      <c r="A17" s="3688" t="s">
        <v>1622</v>
      </c>
      <c r="B17" s="3688"/>
      <c r="C17" s="3688"/>
      <c r="D17" s="3688"/>
    </row>
    <row r="18" spans="1:4" ht="15.75" customHeight="1">
      <c r="A18" s="3686" t="str">
        <f>IF(项目基本情况!B8="抵押",结果表!K120,"——")</f>
        <v>——</v>
      </c>
      <c r="B18" s="3686"/>
      <c r="C18" s="3686"/>
      <c r="D18" s="3686"/>
    </row>
    <row r="19" spans="1:4" ht="46.5" customHeight="1">
      <c r="A19" s="36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86"/>
      <c r="C19" s="3686"/>
      <c r="D19" s="3686"/>
    </row>
    <row r="20" spans="1:4" ht="57.75" customHeight="1">
      <c r="A20" s="36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86"/>
      <c r="C20" s="3686"/>
      <c r="D20" s="3686"/>
    </row>
    <row r="21" spans="1:4" ht="57.75" customHeight="1">
      <c r="A21" s="36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89"/>
      <c r="C21" s="3689"/>
      <c r="D21" s="3689"/>
    </row>
    <row r="22" spans="1:4" ht="18.75" customHeight="1">
      <c r="A22" s="3690" t="s">
        <v>1623</v>
      </c>
      <c r="B22" s="3690"/>
      <c r="C22" s="3690"/>
      <c r="D22" s="3690"/>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687">
        <v>42551</v>
      </c>
      <c r="D31" s="36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700" t="s">
        <v>1634</v>
      </c>
      <c r="B15" s="3695" t="s">
        <v>136</v>
      </c>
      <c r="C15" s="3696"/>
    </row>
    <row r="16" spans="1:7" ht="13.5">
      <c r="A16" s="3701"/>
      <c r="B16" s="3695" t="s">
        <v>69</v>
      </c>
      <c r="C16" s="3696"/>
    </row>
    <row r="17" spans="1:3" ht="13.5">
      <c r="A17" s="3701"/>
      <c r="B17" s="3698" t="s">
        <v>1635</v>
      </c>
      <c r="C17" s="1717" t="s">
        <v>1634</v>
      </c>
    </row>
    <row r="18" spans="1:3" ht="13.5">
      <c r="A18" s="3701"/>
      <c r="B18" s="3698"/>
      <c r="C18" s="1717" t="s">
        <v>1636</v>
      </c>
    </row>
    <row r="19" spans="1:3" ht="13.5">
      <c r="A19" s="3701"/>
      <c r="B19" s="3698"/>
      <c r="C19" s="1717" t="s">
        <v>1637</v>
      </c>
    </row>
    <row r="20" spans="1:3" ht="13.5">
      <c r="A20" s="3702"/>
      <c r="B20" s="3697" t="s">
        <v>1638</v>
      </c>
      <c r="C20" s="3696"/>
    </row>
    <row r="21" spans="1:3" ht="13.5">
      <c r="A21" s="1718" t="s">
        <v>1639</v>
      </c>
      <c r="B21" s="1719"/>
      <c r="C21" s="1720"/>
    </row>
    <row r="22" spans="1:3" ht="13.5">
      <c r="A22" s="3699" t="s">
        <v>1640</v>
      </c>
      <c r="B22" s="3697" t="s">
        <v>1641</v>
      </c>
      <c r="C22" s="3696"/>
    </row>
    <row r="23" spans="1:3" ht="13.5">
      <c r="A23" s="3699"/>
      <c r="B23" s="3697" t="s">
        <v>1642</v>
      </c>
      <c r="C23" s="3696"/>
    </row>
    <row r="24" spans="1:3" ht="13.5">
      <c r="A24" s="3699"/>
      <c r="B24" s="3697" t="s">
        <v>1643</v>
      </c>
      <c r="C24" s="3696"/>
    </row>
    <row r="25" spans="1:3" ht="13.5">
      <c r="A25" s="3699"/>
      <c r="B25" s="3698" t="s">
        <v>1644</v>
      </c>
      <c r="C25" s="1717" t="s">
        <v>1645</v>
      </c>
    </row>
    <row r="26" spans="1:3" ht="13.5">
      <c r="A26" s="3699"/>
      <c r="B26" s="3698"/>
      <c r="C26" s="1717" t="s">
        <v>1646</v>
      </c>
    </row>
    <row r="27" spans="1:3" ht="13.5">
      <c r="A27" s="3699"/>
      <c r="B27" s="3698"/>
      <c r="C27" s="1717" t="s">
        <v>1647</v>
      </c>
    </row>
    <row r="28" spans="1:3" ht="13.5">
      <c r="A28" s="3699"/>
      <c r="B28" s="3698"/>
      <c r="C28" s="1717" t="s">
        <v>1648</v>
      </c>
    </row>
    <row r="29" spans="1:3" ht="13.5">
      <c r="A29" s="3699"/>
      <c r="B29" s="3698"/>
      <c r="C29" s="1717" t="s">
        <v>1649</v>
      </c>
    </row>
    <row r="30" spans="1:3" ht="13.5">
      <c r="A30" s="3699"/>
      <c r="B30" s="3698"/>
      <c r="C30" s="1717" t="s">
        <v>1650</v>
      </c>
    </row>
    <row r="31" spans="1:3" ht="13.5">
      <c r="A31" s="3699"/>
      <c r="B31" s="3698"/>
      <c r="C31" s="1717" t="s">
        <v>1651</v>
      </c>
    </row>
    <row r="32" spans="1:3" ht="13.5">
      <c r="A32" s="3699"/>
      <c r="B32" s="3698"/>
      <c r="C32" s="1717" t="s">
        <v>1652</v>
      </c>
    </row>
    <row r="33" spans="1:3" ht="13.5">
      <c r="A33" s="3699"/>
      <c r="B33" s="3698"/>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2882</v>
      </c>
      <c r="B2" s="2562">
        <f ca="1">TODAY()</f>
        <v>44509</v>
      </c>
      <c r="C2" s="2563" t="s">
        <v>2883</v>
      </c>
      <c r="D2" s="2563"/>
      <c r="E2" s="2563"/>
      <c r="F2" s="2559"/>
      <c r="G2" s="2559"/>
      <c r="H2" s="2559"/>
    </row>
    <row r="3" spans="1:8" ht="24" customHeight="1">
      <c r="A3" s="2564" t="s">
        <v>2884</v>
      </c>
      <c r="B3" s="2565" t="s">
        <v>2885</v>
      </c>
      <c r="C3" s="2565" t="s">
        <v>2886</v>
      </c>
      <c r="D3" s="2566" t="s">
        <v>2887</v>
      </c>
      <c r="E3" s="2567" t="s">
        <v>2888</v>
      </c>
      <c r="F3" s="1472" t="s">
        <v>2889</v>
      </c>
      <c r="G3" s="2565" t="s">
        <v>2886</v>
      </c>
      <c r="H3" s="2566" t="s">
        <v>2890</v>
      </c>
    </row>
    <row r="4" spans="1:8" ht="24" customHeight="1">
      <c r="A4" s="1472" t="s">
        <v>2891</v>
      </c>
      <c r="B4" s="1472">
        <f ca="1">IF(C4&lt;B2,"已过期",1119970066)</f>
        <v>1119970066</v>
      </c>
      <c r="C4" s="2568">
        <v>44876</v>
      </c>
      <c r="D4" s="2569" t="str">
        <f ca="1">A4&amp;"（注册号："&amp;B4&amp;"）"</f>
        <v>梁津（注册号：1119970066）</v>
      </c>
      <c r="E4" s="2570" t="s">
        <v>2891</v>
      </c>
      <c r="F4" s="1472">
        <f ca="1">IF(G4&lt;B2,"已过期",96010014)</f>
        <v>96010014</v>
      </c>
      <c r="G4" s="2571">
        <v>47118</v>
      </c>
      <c r="H4" s="2572" t="str">
        <f ca="1">E4&amp;"（注册号："&amp;F4&amp;"）"</f>
        <v>梁津（注册号：96010014）</v>
      </c>
    </row>
    <row r="5" spans="1:8" ht="24" customHeight="1">
      <c r="A5" s="1472" t="s">
        <v>2892</v>
      </c>
      <c r="B5" s="1472">
        <f ca="1">IF(C5&lt;B2,"已过期",1119970111)</f>
        <v>1119970111</v>
      </c>
      <c r="C5" s="2568">
        <v>44876</v>
      </c>
      <c r="D5" s="2569" t="str">
        <f t="shared" ref="D5:D15" ca="1" si="0">A5&amp;"（注册号："&amp;B5&amp;"）"</f>
        <v>叶凌（注册号：1119970111）</v>
      </c>
      <c r="E5" s="2570" t="s">
        <v>2892</v>
      </c>
      <c r="F5" s="1472">
        <f ca="1">IF(G5&lt;B2,"已过期",94010078)</f>
        <v>94010078</v>
      </c>
      <c r="G5" s="2571">
        <v>46387</v>
      </c>
      <c r="H5" s="2572" t="str">
        <f t="shared" ref="H5:H16" ca="1" si="1">E5&amp;"（注册号："&amp;F5&amp;"）"</f>
        <v>叶凌（注册号：94010078）</v>
      </c>
    </row>
    <row r="6" spans="1:8" ht="24" customHeight="1">
      <c r="A6" s="1472" t="s">
        <v>2893</v>
      </c>
      <c r="B6" s="1472" t="str">
        <f ca="1">IF(C6&lt;B2,"已过期",1120050019)</f>
        <v>已过期</v>
      </c>
      <c r="C6" s="2568">
        <v>44395</v>
      </c>
      <c r="D6" s="2569" t="str">
        <f t="shared" ca="1" si="0"/>
        <v>王鹏（注册号：已过期）</v>
      </c>
      <c r="E6" s="2570" t="s">
        <v>2893</v>
      </c>
      <c r="F6" s="1472">
        <f ca="1">IF(G6&lt;B2,"已过期",2002110030)</f>
        <v>2002110030</v>
      </c>
      <c r="G6" s="2571">
        <v>46387</v>
      </c>
      <c r="H6" s="2572" t="str">
        <f t="shared" ca="1" si="1"/>
        <v>王鹏（注册号：2002110030）</v>
      </c>
    </row>
    <row r="7" spans="1:8" ht="24" customHeight="1">
      <c r="A7" s="1472" t="s">
        <v>2894</v>
      </c>
      <c r="B7" s="1472">
        <f ca="1">IF(C7&lt;B2,"已过期",1120000080)</f>
        <v>1120000080</v>
      </c>
      <c r="C7" s="2568">
        <v>44876</v>
      </c>
      <c r="D7" s="2569" t="str">
        <f t="shared" ca="1" si="0"/>
        <v>欧红伟（注册号：1120000080）</v>
      </c>
      <c r="E7" s="2570" t="s">
        <v>2894</v>
      </c>
      <c r="F7" s="1472">
        <f ca="1">IF(G7&lt;B2,"已过期",2000110082)</f>
        <v>2000110082</v>
      </c>
      <c r="G7" s="2571">
        <v>46387</v>
      </c>
      <c r="H7" s="2572" t="str">
        <f t="shared" ca="1" si="1"/>
        <v>欧红伟（注册号：2000110082）</v>
      </c>
    </row>
    <row r="8" spans="1:8" ht="24" customHeight="1">
      <c r="A8" s="1472" t="s">
        <v>2895</v>
      </c>
      <c r="B8" s="1472">
        <f ca="1">IF(C8&lt;B2,"已过期",1419970001)</f>
        <v>1419970001</v>
      </c>
      <c r="C8" s="2568">
        <v>44899</v>
      </c>
      <c r="D8" s="2569" t="str">
        <f t="shared" ca="1" si="0"/>
        <v>吴薇（注册号：1419970001）</v>
      </c>
      <c r="E8" s="2570" t="s">
        <v>2895</v>
      </c>
      <c r="F8" s="1472">
        <f ca="1">IF(G8&lt;B2,"已过期",2002110125)</f>
        <v>2002110125</v>
      </c>
      <c r="G8" s="2571">
        <v>47118</v>
      </c>
      <c r="H8" s="2572" t="str">
        <f t="shared" ca="1" si="1"/>
        <v>吴薇（注册号：2002110125）</v>
      </c>
    </row>
    <row r="9" spans="1:8" ht="24" customHeight="1">
      <c r="A9" s="1472" t="s">
        <v>2896</v>
      </c>
      <c r="B9" s="1472">
        <f ca="1">IF(C9&lt;B2,"已过期",1120060040)</f>
        <v>1120060040</v>
      </c>
      <c r="C9" s="2573">
        <v>44554</v>
      </c>
      <c r="D9" s="2569" t="str">
        <f t="shared" ca="1" si="0"/>
        <v>陈颖（注册号：1120060040）</v>
      </c>
      <c r="E9" s="2570" t="s">
        <v>2896</v>
      </c>
      <c r="F9" s="1472">
        <f ca="1">IF(G9&lt;B2,"已过期",2004110096)</f>
        <v>2004110096</v>
      </c>
      <c r="G9" s="2571">
        <v>47118</v>
      </c>
      <c r="H9" s="2572" t="str">
        <f t="shared" ca="1" si="1"/>
        <v>陈颖（注册号：2004110096）</v>
      </c>
    </row>
    <row r="10" spans="1:8" ht="24" customHeight="1">
      <c r="A10" s="1472" t="s">
        <v>2897</v>
      </c>
      <c r="B10" s="1472">
        <f ca="1">IF(C10&lt;B2,"已过期",1120100036)</f>
        <v>1120100036</v>
      </c>
      <c r="C10" s="2573">
        <v>44675</v>
      </c>
      <c r="D10" s="2569" t="str">
        <f t="shared" ca="1" si="0"/>
        <v>崔锴（注册号：1120100036）</v>
      </c>
      <c r="E10" s="2570" t="s">
        <v>2897</v>
      </c>
      <c r="F10" s="1472">
        <f ca="1">IF(G10&lt;B2,"已过期",2010110070)</f>
        <v>2010110070</v>
      </c>
      <c r="G10" s="2571">
        <v>47907</v>
      </c>
      <c r="H10" s="2572" t="str">
        <f t="shared" ca="1" si="1"/>
        <v>崔锴（注册号：2010110070）</v>
      </c>
    </row>
    <row r="11" spans="1:8" ht="24" customHeight="1">
      <c r="A11" s="1472" t="s">
        <v>2898</v>
      </c>
      <c r="B11" s="1472">
        <f ca="1">IF(C11&lt;B2,"已过期",1120070131)</f>
        <v>1120070131</v>
      </c>
      <c r="C11" s="2568">
        <v>44849</v>
      </c>
      <c r="D11" s="2569" t="str">
        <f t="shared" ca="1" si="0"/>
        <v>郑燚（注册号：1120070131）</v>
      </c>
      <c r="E11" s="2570" t="s">
        <v>2898</v>
      </c>
      <c r="F11" s="1472">
        <f ca="1">IF(G11&lt;B2,"已过期",2014110011)</f>
        <v>2014110011</v>
      </c>
      <c r="G11" s="2571">
        <v>49302</v>
      </c>
      <c r="H11" s="2572" t="str">
        <f t="shared" ca="1" si="1"/>
        <v>郑燚（注册号：2014110011）</v>
      </c>
    </row>
    <row r="12" spans="1:8" ht="24" customHeight="1">
      <c r="A12" s="1472" t="s">
        <v>2899</v>
      </c>
      <c r="B12" s="1472">
        <f ca="1">IF(C12&lt;B2,"已过期",1120040230)</f>
        <v>1120040230</v>
      </c>
      <c r="C12" s="2573">
        <v>44864</v>
      </c>
      <c r="D12" s="2569" t="str">
        <f t="shared" ca="1" si="0"/>
        <v>苏海（注册号：1120040230）</v>
      </c>
      <c r="E12" s="2570" t="s">
        <v>2899</v>
      </c>
      <c r="F12" s="1472">
        <f ca="1">IF(G12&lt;B2,"已过期",98030020)</f>
        <v>98030020</v>
      </c>
      <c r="G12" s="2571">
        <v>47118</v>
      </c>
      <c r="H12" s="2572" t="str">
        <f t="shared" ca="1" si="1"/>
        <v>苏海（注册号：98030020）</v>
      </c>
    </row>
    <row r="13" spans="1:8" ht="24" customHeight="1">
      <c r="A13" s="1472" t="s">
        <v>2900</v>
      </c>
      <c r="B13" s="1472" t="str">
        <f ca="1">IF(C13&lt;B2,"已过期",1120020033)</f>
        <v>已过期</v>
      </c>
      <c r="C13" s="2568">
        <v>44339</v>
      </c>
      <c r="D13" s="2569" t="str">
        <f t="shared" ca="1" si="0"/>
        <v>刘敬东（注册号：已过期）</v>
      </c>
      <c r="E13" s="2570" t="s">
        <v>2900</v>
      </c>
      <c r="F13" s="1472">
        <f ca="1">IF(G13&lt;B2,"已过期",2000110137)</f>
        <v>2000110137</v>
      </c>
      <c r="G13" s="2571">
        <v>46387</v>
      </c>
      <c r="H13" s="2572" t="str">
        <f t="shared" ca="1" si="1"/>
        <v>刘敬东（注册号：2000110137）</v>
      </c>
    </row>
    <row r="14" spans="1:8" ht="24" customHeight="1">
      <c r="A14" s="1472" t="s">
        <v>2901</v>
      </c>
      <c r="B14" s="1472">
        <f ca="1">IF(C14&lt;B2,"已过期",1119980106)</f>
        <v>1119980106</v>
      </c>
      <c r="C14" s="2573">
        <v>44969</v>
      </c>
      <c r="D14" s="2569" t="str">
        <f t="shared" ca="1" si="0"/>
        <v>刘俊财（注册号：1119980106）</v>
      </c>
      <c r="E14" s="2570" t="s">
        <v>2901</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2902</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703" t="s">
        <v>2903</v>
      </c>
      <c r="B17" s="3703"/>
      <c r="C17" s="3703"/>
      <c r="D17" s="3703"/>
      <c r="E17" s="3703"/>
      <c r="F17" s="3703"/>
      <c r="G17" s="3703"/>
      <c r="H17" s="3703"/>
    </row>
    <row r="18" spans="1:8" ht="24" customHeight="1">
      <c r="A18" s="3704" t="s">
        <v>2904</v>
      </c>
      <c r="B18" s="3704"/>
      <c r="C18" s="3704"/>
      <c r="D18" s="2566"/>
      <c r="E18" s="3705" t="s">
        <v>2905</v>
      </c>
      <c r="F18" s="3704"/>
      <c r="G18" s="3704"/>
    </row>
    <row r="19" spans="1:8" s="2577" customFormat="1" ht="24" customHeight="1">
      <c r="A19" s="2576" t="s">
        <v>2906</v>
      </c>
      <c r="B19" s="2565" t="s">
        <v>2907</v>
      </c>
      <c r="C19" s="2565" t="s">
        <v>2886</v>
      </c>
      <c r="D19" s="2566"/>
      <c r="E19" s="2570" t="s">
        <v>2906</v>
      </c>
      <c r="F19" s="2565" t="s">
        <v>2907</v>
      </c>
      <c r="G19" s="2565" t="s">
        <v>2886</v>
      </c>
    </row>
    <row r="20" spans="1:8" s="2577" customFormat="1" ht="24" customHeight="1">
      <c r="A20" s="2578" t="s">
        <v>2908</v>
      </c>
      <c r="B20" s="2578" t="s">
        <v>2909</v>
      </c>
      <c r="C20" s="2571">
        <v>44820</v>
      </c>
      <c r="D20" s="2579"/>
      <c r="E20" s="2580" t="s">
        <v>2910</v>
      </c>
      <c r="F20" s="2578" t="s">
        <v>2911</v>
      </c>
      <c r="G20" s="2581">
        <v>44377</v>
      </c>
    </row>
    <row r="21" spans="1:8" s="2577" customFormat="1" ht="24" customHeight="1">
      <c r="A21" s="2578"/>
      <c r="B21" s="2578"/>
      <c r="C21" s="2582"/>
      <c r="D21" s="2583"/>
      <c r="E21" s="2580" t="s">
        <v>2912</v>
      </c>
      <c r="F21" s="2584" t="s">
        <v>2913</v>
      </c>
      <c r="G21" s="2585">
        <v>44012</v>
      </c>
    </row>
    <row r="22" spans="1:8" ht="24" customHeight="1">
      <c r="C22" s="2586"/>
      <c r="D22" s="2586"/>
      <c r="E22" s="2587"/>
      <c r="F22" s="2588"/>
      <c r="G22" s="2589" t="s">
        <v>2914</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8" priority="51">
      <formula>AND($C4-TODAY()&lt;30,TODAY()&lt;$C4)</formula>
    </cfRule>
  </conditionalFormatting>
  <conditionalFormatting sqref="C20:D20">
    <cfRule type="expression" dxfId="247" priority="50">
      <formula>AND($C20-TODAY()&lt;30,TODAY()&lt;$C20)</formula>
    </cfRule>
  </conditionalFormatting>
  <conditionalFormatting sqref="C20:D20 G4 C4:D5 C13:D13">
    <cfRule type="cellIs" dxfId="246" priority="52" stopIfTrue="1" operator="lessThan">
      <formula>$B$2</formula>
    </cfRule>
  </conditionalFormatting>
  <conditionalFormatting sqref="G5 G7 G9">
    <cfRule type="cellIs" dxfId="245" priority="49" stopIfTrue="1" operator="lessThan">
      <formula>$B$2</formula>
    </cfRule>
  </conditionalFormatting>
  <conditionalFormatting sqref="C6:D6 D14 D16">
    <cfRule type="expression" dxfId="244" priority="47">
      <formula>AND($C6-TODAY()&lt;30,TODAY()&lt;$C6)</formula>
    </cfRule>
  </conditionalFormatting>
  <conditionalFormatting sqref="G6 G8 G10 C6:D6 D7:D12 D14 D16">
    <cfRule type="cellIs" dxfId="243" priority="48" stopIfTrue="1" operator="lessThan">
      <formula>$B$2</formula>
    </cfRule>
  </conditionalFormatting>
  <conditionalFormatting sqref="D12">
    <cfRule type="expression" dxfId="242" priority="45">
      <formula>AND($C12-TODAY()&lt;30,TODAY()&lt;$C12)</formula>
    </cfRule>
  </conditionalFormatting>
  <conditionalFormatting sqref="D12">
    <cfRule type="cellIs" dxfId="241" priority="46" stopIfTrue="1" operator="lessThan">
      <formula>$B$2</formula>
    </cfRule>
  </conditionalFormatting>
  <conditionalFormatting sqref="C13:D13">
    <cfRule type="expression" dxfId="240" priority="43">
      <formula>AND($C13-TODAY()&lt;30,TODAY()&lt;$C13)</formula>
    </cfRule>
  </conditionalFormatting>
  <conditionalFormatting sqref="C13:D13">
    <cfRule type="cellIs" dxfId="239" priority="44" stopIfTrue="1" operator="lessThan">
      <formula>$B$2</formula>
    </cfRule>
  </conditionalFormatting>
  <conditionalFormatting sqref="D14">
    <cfRule type="expression" dxfId="238" priority="41">
      <formula>AND($C14-TODAY()&lt;30,TODAY()&lt;$C14)</formula>
    </cfRule>
  </conditionalFormatting>
  <conditionalFormatting sqref="D14">
    <cfRule type="cellIs" dxfId="237" priority="42" stopIfTrue="1" operator="lessThan">
      <formula>$B$2</formula>
    </cfRule>
  </conditionalFormatting>
  <conditionalFormatting sqref="G13">
    <cfRule type="cellIs" dxfId="236" priority="40" stopIfTrue="1" operator="lessThan">
      <formula>$B$2</formula>
    </cfRule>
  </conditionalFormatting>
  <conditionalFormatting sqref="B4:B11 F4:F11 B13 F13:F14">
    <cfRule type="cellIs" dxfId="235" priority="39" stopIfTrue="1" operator="equal">
      <formula>"已过期"</formula>
    </cfRule>
  </conditionalFormatting>
  <conditionalFormatting sqref="G20">
    <cfRule type="expression" dxfId="234" priority="37">
      <formula>AND($E20-TODAY()&lt;30,TODAY()&lt;$E20)</formula>
    </cfRule>
  </conditionalFormatting>
  <conditionalFormatting sqref="G20">
    <cfRule type="cellIs" dxfId="233" priority="38" stopIfTrue="1" operator="lessThan">
      <formula>$B$2</formula>
    </cfRule>
  </conditionalFormatting>
  <conditionalFormatting sqref="C7">
    <cfRule type="expression" dxfId="232" priority="35">
      <formula>AND($C7-TODAY()&lt;30,TODAY()&lt;$C7)</formula>
    </cfRule>
  </conditionalFormatting>
  <conditionalFormatting sqref="C7">
    <cfRule type="cellIs" dxfId="231" priority="36" stopIfTrue="1" operator="lessThan">
      <formula>$B$2</formula>
    </cfRule>
  </conditionalFormatting>
  <conditionalFormatting sqref="C8">
    <cfRule type="expression" dxfId="230" priority="33">
      <formula>AND($C8-TODAY()&lt;30,TODAY()&lt;$C8)</formula>
    </cfRule>
  </conditionalFormatting>
  <conditionalFormatting sqref="C8">
    <cfRule type="cellIs" dxfId="229" priority="34" stopIfTrue="1" operator="lessThan">
      <formula>$B$2</formula>
    </cfRule>
  </conditionalFormatting>
  <conditionalFormatting sqref="C11">
    <cfRule type="expression" dxfId="228" priority="31">
      <formula>AND($C11-TODAY()&lt;30,TODAY()&lt;$C11)</formula>
    </cfRule>
  </conditionalFormatting>
  <conditionalFormatting sqref="C11">
    <cfRule type="cellIs" dxfId="227" priority="32" stopIfTrue="1" operator="lessThan">
      <formula>$B$2</formula>
    </cfRule>
  </conditionalFormatting>
  <conditionalFormatting sqref="A16:C16">
    <cfRule type="cellIs" dxfId="226" priority="30" stopIfTrue="1" operator="equal">
      <formula>"已过期"</formula>
    </cfRule>
  </conditionalFormatting>
  <conditionalFormatting sqref="E16:G16">
    <cfRule type="cellIs" dxfId="225" priority="29" stopIfTrue="1" operator="equal">
      <formula>"已过期"</formula>
    </cfRule>
  </conditionalFormatting>
  <conditionalFormatting sqref="G11">
    <cfRule type="cellIs" dxfId="224" priority="28" stopIfTrue="1" operator="lessThan">
      <formula>$B$2</formula>
    </cfRule>
  </conditionalFormatting>
  <conditionalFormatting sqref="F12">
    <cfRule type="cellIs" dxfId="223" priority="27" stopIfTrue="1" operator="equal">
      <formula>"已过期"</formula>
    </cfRule>
  </conditionalFormatting>
  <conditionalFormatting sqref="G12">
    <cfRule type="cellIs" dxfId="222" priority="26" stopIfTrue="1" operator="lessThan">
      <formula>$B$2</formula>
    </cfRule>
  </conditionalFormatting>
  <conditionalFormatting sqref="C12">
    <cfRule type="cellIs" dxfId="221" priority="25" stopIfTrue="1" operator="lessThan">
      <formula>$B$2</formula>
    </cfRule>
  </conditionalFormatting>
  <conditionalFormatting sqref="C12">
    <cfRule type="expression" dxfId="220" priority="23">
      <formula>AND($C12-TODAY()&lt;30,TODAY()&lt;$C12)</formula>
    </cfRule>
  </conditionalFormatting>
  <conditionalFormatting sqref="C12">
    <cfRule type="cellIs" dxfId="219" priority="24" stopIfTrue="1" operator="lessThan">
      <formula>$B$2</formula>
    </cfRule>
  </conditionalFormatting>
  <conditionalFormatting sqref="B12">
    <cfRule type="cellIs" dxfId="218" priority="22" stopIfTrue="1" operator="equal">
      <formula>"已过期"</formula>
    </cfRule>
  </conditionalFormatting>
  <conditionalFormatting sqref="C9:C10">
    <cfRule type="expression" dxfId="217" priority="20">
      <formula>AND($C9-TODAY()&lt;30,TODAY()&lt;$C9)</formula>
    </cfRule>
  </conditionalFormatting>
  <conditionalFormatting sqref="C9:C10">
    <cfRule type="cellIs" dxfId="216" priority="21" stopIfTrue="1" operator="lessThan">
      <formula>$B$2</formula>
    </cfRule>
  </conditionalFormatting>
  <conditionalFormatting sqref="G21">
    <cfRule type="expression" dxfId="215" priority="18" stopIfTrue="1">
      <formula>AND(#REF!-TODAY()&lt;30,TODAY()&lt;#REF!)</formula>
    </cfRule>
  </conditionalFormatting>
  <conditionalFormatting sqref="G21">
    <cfRule type="cellIs" dxfId="214" priority="19" stopIfTrue="1" operator="lessThan">
      <formula>$B$2</formula>
    </cfRule>
  </conditionalFormatting>
  <conditionalFormatting sqref="C14">
    <cfRule type="expression" dxfId="213" priority="16">
      <formula>AND($C14-TODAY()&lt;30,TODAY()&lt;$C14)</formula>
    </cfRule>
  </conditionalFormatting>
  <conditionalFormatting sqref="C14">
    <cfRule type="cellIs" dxfId="212" priority="17" stopIfTrue="1" operator="lessThan">
      <formula>$B$2</formula>
    </cfRule>
  </conditionalFormatting>
  <conditionalFormatting sqref="C14">
    <cfRule type="expression" dxfId="211" priority="14">
      <formula>AND($C14-TODAY()&lt;30,TODAY()&lt;$C14)</formula>
    </cfRule>
  </conditionalFormatting>
  <conditionalFormatting sqref="C14">
    <cfRule type="cellIs" dxfId="210" priority="15" stopIfTrue="1" operator="lessThan">
      <formula>$B$2</formula>
    </cfRule>
  </conditionalFormatting>
  <conditionalFormatting sqref="B14">
    <cfRule type="cellIs" dxfId="209" priority="13" stopIfTrue="1" operator="equal">
      <formula>"已过期"</formula>
    </cfRule>
  </conditionalFormatting>
  <conditionalFormatting sqref="G14">
    <cfRule type="cellIs" dxfId="208" priority="12" stopIfTrue="1" operator="lessThan">
      <formula>$B$2</formula>
    </cfRule>
  </conditionalFormatting>
  <conditionalFormatting sqref="D15">
    <cfRule type="expression" dxfId="207" priority="10">
      <formula>AND($C15-TODAY()&lt;30,TODAY()&lt;$C15)</formula>
    </cfRule>
  </conditionalFormatting>
  <conditionalFormatting sqref="D15">
    <cfRule type="cellIs" dxfId="206" priority="11" stopIfTrue="1" operator="lessThan">
      <formula>$B$2</formula>
    </cfRule>
  </conditionalFormatting>
  <conditionalFormatting sqref="D15">
    <cfRule type="expression" dxfId="205" priority="8">
      <formula>AND($C15-TODAY()&lt;30,TODAY()&lt;$C15)</formula>
    </cfRule>
  </conditionalFormatting>
  <conditionalFormatting sqref="D15">
    <cfRule type="cellIs" dxfId="204" priority="9" stopIfTrue="1" operator="lessThan">
      <formula>$B$2</formula>
    </cfRule>
  </conditionalFormatting>
  <conditionalFormatting sqref="F15">
    <cfRule type="cellIs" dxfId="203" priority="7" stopIfTrue="1" operator="equal">
      <formula>"已过期"</formula>
    </cfRule>
  </conditionalFormatting>
  <conditionalFormatting sqref="C15">
    <cfRule type="expression" dxfId="202" priority="5">
      <formula>AND($C15-TODAY()&lt;30,TODAY()&lt;$C15)</formula>
    </cfRule>
  </conditionalFormatting>
  <conditionalFormatting sqref="C15">
    <cfRule type="cellIs" dxfId="201" priority="6" stopIfTrue="1" operator="lessThan">
      <formula>$B$2</formula>
    </cfRule>
  </conditionalFormatting>
  <conditionalFormatting sqref="C15">
    <cfRule type="expression" dxfId="200" priority="3">
      <formula>AND($C15-TODAY()&lt;30,TODAY()&lt;$C15)</formula>
    </cfRule>
  </conditionalFormatting>
  <conditionalFormatting sqref="C15">
    <cfRule type="cellIs" dxfId="199" priority="4" stopIfTrue="1" operator="lessThan">
      <formula>$B$2</formula>
    </cfRule>
  </conditionalFormatting>
  <conditionalFormatting sqref="B15">
    <cfRule type="cellIs" dxfId="198" priority="2" stopIfTrue="1" operator="equal">
      <formula>"已过期"</formula>
    </cfRule>
  </conditionalFormatting>
  <conditionalFormatting sqref="G15">
    <cfRule type="cellIs" dxfId="197"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153</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经营性测算</vt:lpstr>
      <vt:lpstr>Sheet1</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比较法-土地</vt:lpstr>
      <vt:lpstr>土地案例（延吉）</vt:lpstr>
      <vt:lpstr>资料</vt:lpstr>
      <vt:lpstr>'比较法-办公'!Print_Area</vt:lpstr>
      <vt:lpstr>'比较法-仓储'!Print_Area</vt:lpstr>
      <vt:lpstr>'比较法-车位'!Print_Area</vt:lpstr>
      <vt:lpstr>'比较法-工业'!Print_Area</vt:lpstr>
      <vt:lpstr>'比较法-商业'!Print_Area</vt:lpstr>
      <vt:lpstr>'比较法-土地'!Print_Area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2021-11-09T06:55:10Z</dcterms:modified>
</cp:coreProperties>
</file>