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住" sheetId="69" r:id="rId32"/>
    <sheet name="不动产收益法商" sheetId="15" r:id="rId33"/>
    <sheet name="不动产收益法车"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5" i="66" l="1"/>
  <c r="D31" i="68" l="1"/>
  <c r="AN17" i="3" s="1"/>
  <c r="F31" i="68" l="1"/>
  <c r="E31" i="68"/>
  <c r="C15" i="66" l="1"/>
  <c r="B15" i="66"/>
  <c r="G15" i="66" l="1"/>
  <c r="E73" i="39" l="1"/>
  <c r="F73" i="39" s="1"/>
  <c r="G73" i="39" s="1"/>
  <c r="H73" i="39" s="1"/>
  <c r="I73" i="39" s="1"/>
  <c r="J73" i="39" s="1"/>
  <c r="K73" i="39" s="1"/>
  <c r="L73" i="39" s="1"/>
  <c r="M73" i="39" s="1"/>
  <c r="N73" i="39" s="1"/>
  <c r="K15" i="21"/>
  <c r="I48" i="39"/>
  <c r="G48" i="39"/>
  <c r="E48" i="39"/>
  <c r="I40" i="39"/>
  <c r="G40" i="39"/>
  <c r="E40" i="39"/>
  <c r="C40" i="39"/>
  <c r="I13" i="39"/>
  <c r="G13" i="39"/>
  <c r="E13" i="39"/>
  <c r="I9" i="39"/>
  <c r="G9" i="39"/>
  <c r="I7" i="39"/>
  <c r="G7" i="39"/>
  <c r="E9" i="39"/>
  <c r="E7" i="39"/>
  <c r="AH9" i="1" l="1"/>
  <c r="Q73" i="70"/>
  <c r="Q60" i="70"/>
  <c r="D60" i="70"/>
  <c r="Q59" i="70"/>
  <c r="K59" i="70"/>
  <c r="P75" i="70" s="1"/>
  <c r="F58" i="70"/>
  <c r="Q52"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F27" i="68"/>
  <c r="E29" i="68"/>
  <c r="E30" i="68" s="1"/>
  <c r="D30" i="68"/>
  <c r="M17" i="3" s="1"/>
  <c r="G22" i="6" s="1"/>
  <c r="E46" i="68"/>
  <c r="E47" i="68"/>
  <c r="E45" i="68"/>
  <c r="E43" i="68"/>
  <c r="E44" i="68"/>
  <c r="E41" i="68"/>
  <c r="E42" i="68"/>
  <c r="E40" i="68"/>
  <c r="E39" i="68"/>
  <c r="Q73" i="69"/>
  <c r="Q60" i="69"/>
  <c r="D60" i="69"/>
  <c r="Q59" i="69"/>
  <c r="K59" i="69"/>
  <c r="P75" i="69" s="1"/>
  <c r="F58" i="69"/>
  <c r="Q52" i="69"/>
  <c r="J50" i="69"/>
  <c r="M47" i="69"/>
  <c r="F34" i="69"/>
  <c r="F33" i="69"/>
  <c r="F60" i="69" s="1"/>
  <c r="F32" i="69"/>
  <c r="F59" i="69" s="1"/>
  <c r="F31" i="69"/>
  <c r="F28" i="69"/>
  <c r="C28" i="69"/>
  <c r="F23" i="69"/>
  <c r="D24" i="69" s="1"/>
  <c r="D23" i="69"/>
  <c r="D22" i="69"/>
  <c r="F21" i="69"/>
  <c r="M20" i="69"/>
  <c r="F20" i="69"/>
  <c r="M19" i="69"/>
  <c r="M18" i="69"/>
  <c r="F18" i="69"/>
  <c r="M17" i="69"/>
  <c r="F17" i="69"/>
  <c r="F15" i="69"/>
  <c r="G1" i="69"/>
  <c r="E37" i="21"/>
  <c r="C33" i="21"/>
  <c r="M28" i="69"/>
  <c r="F9" i="70"/>
  <c r="M22" i="69"/>
  <c r="F9" i="69"/>
  <c r="F42" i="69"/>
  <c r="F36" i="69"/>
  <c r="F8" i="69"/>
  <c r="F8" i="70"/>
  <c r="M24" i="69"/>
  <c r="F7" i="70"/>
  <c r="F49" i="70" l="1"/>
  <c r="M7" i="70"/>
  <c r="F50" i="70"/>
  <c r="C48" i="70" s="1"/>
  <c r="P62" i="70"/>
  <c r="F50" i="69"/>
  <c r="F63" i="69"/>
  <c r="F61" i="69"/>
  <c r="J51" i="69"/>
  <c r="P62" i="69"/>
  <c r="B35" i="1"/>
  <c r="L14" i="1"/>
  <c r="L7" i="1"/>
  <c r="C22" i="6"/>
  <c r="C21" i="6"/>
  <c r="C20" i="6"/>
  <c r="C19" i="6"/>
  <c r="AL16" i="3"/>
  <c r="AD16" i="3"/>
  <c r="K15" i="3"/>
  <c r="F21" i="6" s="1"/>
  <c r="I14" i="3"/>
  <c r="I13" i="3" s="1"/>
  <c r="F19" i="6" s="1"/>
  <c r="A3" i="3"/>
  <c r="F26" i="68"/>
  <c r="F25" i="68"/>
  <c r="F24" i="68"/>
  <c r="F23" i="68"/>
  <c r="F22" i="68"/>
  <c r="F21" i="68"/>
  <c r="F20" i="68"/>
  <c r="F19" i="68"/>
  <c r="E18" i="68"/>
  <c r="D18" i="68"/>
  <c r="F18" i="68" s="1"/>
  <c r="E17" i="68"/>
  <c r="D17" i="68"/>
  <c r="F17" i="68" s="1"/>
  <c r="E11" i="68"/>
  <c r="C11" i="68"/>
  <c r="B7" i="4"/>
  <c r="D3" i="4"/>
  <c r="M8" i="69"/>
  <c r="F6" i="69"/>
  <c r="M6" i="69"/>
  <c r="M9" i="69"/>
  <c r="F6" i="70"/>
  <c r="M9" i="70"/>
  <c r="M24" i="70"/>
  <c r="F36" i="70"/>
  <c r="M6" i="70"/>
  <c r="M26" i="70"/>
  <c r="F26" i="70"/>
  <c r="F42" i="70"/>
  <c r="F40" i="69"/>
  <c r="F13" i="70"/>
  <c r="F37" i="69"/>
  <c r="F40" i="70"/>
  <c r="M26" i="69"/>
  <c r="M28" i="70"/>
  <c r="F16" i="70"/>
  <c r="J15" i="70"/>
  <c r="F38" i="70"/>
  <c r="M23" i="70"/>
  <c r="F26" i="69"/>
  <c r="M8" i="70"/>
  <c r="M27" i="70"/>
  <c r="F38" i="69"/>
  <c r="M27" i="69"/>
  <c r="F13" i="69"/>
  <c r="F16" i="69"/>
  <c r="M23" i="69"/>
  <c r="F37" i="70"/>
  <c r="M22" i="70"/>
  <c r="J15" i="69"/>
  <c r="J36" i="70"/>
  <c r="J36" i="69"/>
  <c r="F63" i="70" l="1"/>
  <c r="F67" i="70"/>
  <c r="F64" i="70"/>
  <c r="J6" i="70"/>
  <c r="F65" i="70"/>
  <c r="Q72" i="70"/>
  <c r="C27" i="70"/>
  <c r="C6" i="70"/>
  <c r="F20" i="6"/>
  <c r="F67" i="69"/>
  <c r="F64" i="69"/>
  <c r="C27" i="69"/>
  <c r="F65" i="69"/>
  <c r="Q72" i="69"/>
  <c r="I54" i="69"/>
  <c r="F11" i="68"/>
  <c r="G11" i="68" s="1"/>
  <c r="D7" i="59"/>
  <c r="AH5" i="59"/>
  <c r="AG5" i="59"/>
  <c r="AE5" i="59"/>
  <c r="AF5" i="59"/>
  <c r="AD5" i="59"/>
  <c r="Q5" i="59"/>
  <c r="P5" i="59"/>
  <c r="O5" i="59"/>
  <c r="N5" i="59"/>
  <c r="I3" i="59"/>
  <c r="L3" i="59"/>
  <c r="K3" i="59"/>
  <c r="J3" i="59"/>
  <c r="AE6" i="59"/>
  <c r="AF6" i="59"/>
  <c r="AG6" i="59"/>
  <c r="AH6" i="59"/>
  <c r="AD6" i="59"/>
  <c r="Q6" i="59"/>
  <c r="AB5" i="59"/>
  <c r="P6" i="59"/>
  <c r="AA5" i="59"/>
  <c r="O6" i="59"/>
  <c r="Y5" i="59"/>
  <c r="Z5" i="59"/>
  <c r="N6" i="59"/>
  <c r="X5" i="59"/>
  <c r="N7" i="59"/>
  <c r="Q7" i="59"/>
  <c r="P7" i="59"/>
  <c r="O7" i="59"/>
  <c r="K59" i="15"/>
  <c r="P62" i="15" s="1"/>
  <c r="Q74" i="44"/>
  <c r="Q61" i="44"/>
  <c r="Q60" i="44"/>
  <c r="Q53" i="44"/>
  <c r="J51" i="44"/>
  <c r="J52" i="44"/>
  <c r="M48" i="44"/>
  <c r="A16" i="55"/>
  <c r="A15" i="55"/>
  <c r="A14" i="55"/>
  <c r="A10" i="55"/>
  <c r="A9" i="55"/>
  <c r="A8" i="55"/>
  <c r="A6" i="54"/>
  <c r="A8" i="54"/>
  <c r="A7" i="54"/>
  <c r="A28" i="51"/>
  <c r="A27" i="51"/>
  <c r="D5" i="46"/>
  <c r="Q8" i="59"/>
  <c r="AB6" i="59"/>
  <c r="O8" i="59"/>
  <c r="Y6" i="59"/>
  <c r="Z6" i="59"/>
  <c r="N9" i="59"/>
  <c r="O9" i="59"/>
  <c r="P9" i="59"/>
  <c r="Q9" i="59"/>
  <c r="N8" i="59"/>
  <c r="X6" i="59"/>
  <c r="P8" i="59"/>
  <c r="AA6" i="59"/>
  <c r="B10" i="59"/>
  <c r="C10" i="59"/>
  <c r="D10" i="59"/>
  <c r="E10" i="59"/>
  <c r="F10" i="59"/>
  <c r="K75" i="9"/>
  <c r="K6" i="4"/>
  <c r="O76" i="9" s="1"/>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1" i="65"/>
  <c r="N1" i="65"/>
  <c r="C5" i="59"/>
  <c r="D5" i="59"/>
  <c r="T6" i="59"/>
  <c r="D6"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c r="B41" i="63"/>
  <c r="G5" i="54"/>
  <c r="B34" i="63" s="1"/>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L16" i="4" s="1"/>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c r="C16" i="20"/>
  <c r="B47" i="46"/>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A38"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U39" i="21"/>
  <c r="J32" i="21"/>
  <c r="AC32" i="21" s="1"/>
  <c r="G13" i="3"/>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c r="F33" i="39"/>
  <c r="H33" i="39"/>
  <c r="U33" i="39"/>
  <c r="J33" i="39"/>
  <c r="F44" i="39"/>
  <c r="S44" i="39" s="1"/>
  <c r="H44" i="39"/>
  <c r="U44" i="39" s="1"/>
  <c r="J44" i="39"/>
  <c r="W44" i="39" s="1"/>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s="1"/>
  <c r="B9" i="1"/>
  <c r="E9" i="1"/>
  <c r="K9" i="1"/>
  <c r="B7" i="1"/>
  <c r="E7" i="1"/>
  <c r="K7" i="1"/>
  <c r="M7" i="1" s="1"/>
  <c r="C20" i="43"/>
  <c r="F6" i="1"/>
  <c r="AP6" i="1" s="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s="1"/>
  <c r="F23" i="21"/>
  <c r="H23" i="21"/>
  <c r="AB23" i="21" s="1"/>
  <c r="F15" i="21"/>
  <c r="S15" i="21" s="1"/>
  <c r="J15" i="21"/>
  <c r="AC15" i="21" s="1"/>
  <c r="H15" i="21"/>
  <c r="AB15" i="21" s="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S14" i="39"/>
  <c r="AB15" i="39"/>
  <c r="U11" i="39"/>
  <c r="U41" i="39"/>
  <c r="AB38" i="39"/>
  <c r="U31" i="39"/>
  <c r="AB31" i="39"/>
  <c r="S25" i="39"/>
  <c r="S38" i="39"/>
  <c r="S22" i="31"/>
  <c r="D18" i="9"/>
  <c r="M44" i="9" s="1"/>
  <c r="M43" i="9"/>
  <c r="M20" i="15"/>
  <c r="D96" i="9"/>
  <c r="F28" i="15"/>
  <c r="C28" i="15" s="1"/>
  <c r="M18" i="15"/>
  <c r="A18" i="64"/>
  <c r="B74" i="63"/>
  <c r="C53" i="10"/>
  <c r="A25" i="64" s="1"/>
  <c r="A18" i="51"/>
  <c r="B14" i="63"/>
  <c r="BA16" i="3"/>
  <c r="BA17" i="3"/>
  <c r="AZ17" i="3" s="1"/>
  <c r="F3" i="35"/>
  <c r="K1" i="43"/>
  <c r="K1" i="12"/>
  <c r="G1" i="44"/>
  <c r="I4" i="6"/>
  <c r="G3" i="46" s="1"/>
  <c r="H22" i="46" s="1"/>
  <c r="AZ15" i="3"/>
  <c r="G5" i="3"/>
  <c r="B3" i="3" s="1"/>
  <c r="E164" i="3" s="1"/>
  <c r="BK5" i="3"/>
  <c r="BO5" i="3"/>
  <c r="BP5" i="3"/>
  <c r="BN5" i="3"/>
  <c r="BL18" i="3"/>
  <c r="AZ18" i="3"/>
  <c r="BC5" i="3"/>
  <c r="E8" i="6"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G8" i="1"/>
  <c r="I20" i="46"/>
  <c r="C20" i="46" s="1"/>
  <c r="B6" i="63"/>
  <c r="L5" i="54"/>
  <c r="B39" i="63"/>
  <c r="K5" i="54"/>
  <c r="B38" i="63"/>
  <c r="T41" i="4"/>
  <c r="A17" i="64"/>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G105" i="39"/>
  <c r="J31" i="39"/>
  <c r="AC31" i="39" s="1"/>
  <c r="S45" i="39"/>
  <c r="W41" i="39"/>
  <c r="AB33" i="39"/>
  <c r="AC46" i="39"/>
  <c r="S34" i="39"/>
  <c r="W42" i="39"/>
  <c r="W36" i="39"/>
  <c r="W23" i="39"/>
  <c r="AC37" i="39"/>
  <c r="U14" i="39"/>
  <c r="W16" i="39"/>
  <c r="S15" i="39"/>
  <c r="W25" i="39"/>
  <c r="W45" i="39"/>
  <c r="S41" i="39"/>
  <c r="AA46" i="39"/>
  <c r="W10" i="39"/>
  <c r="W11" i="39"/>
  <c r="U42" i="39"/>
  <c r="W40" i="39"/>
  <c r="S32" i="40"/>
  <c r="C27" i="39"/>
  <c r="C17" i="40"/>
  <c r="C19" i="40"/>
  <c r="C17" i="39"/>
  <c r="C19" i="39"/>
  <c r="C21" i="39"/>
  <c r="C23" i="40"/>
  <c r="B48" i="46"/>
  <c r="B51" i="46"/>
  <c r="B55" i="46"/>
  <c r="B59" i="46"/>
  <c r="B62" i="46"/>
  <c r="B66" i="46"/>
  <c r="B53" i="46"/>
  <c r="B64" i="46"/>
  <c r="D24" i="15"/>
  <c r="G6" i="1"/>
  <c r="AE11" i="46"/>
  <c r="AE13" i="46" s="1"/>
  <c r="F29" i="6"/>
  <c r="F28" i="6"/>
  <c r="AG11" i="46"/>
  <c r="AG13" i="46" s="1"/>
  <c r="H101" i="46"/>
  <c r="H104" i="46" s="1"/>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E547" i="3"/>
  <c r="E289" i="3"/>
  <c r="E102" i="3"/>
  <c r="E43" i="3"/>
  <c r="E477" i="3"/>
  <c r="E134" i="3"/>
  <c r="E239" i="3"/>
  <c r="E128" i="3"/>
  <c r="E554" i="3"/>
  <c r="E493" i="3"/>
  <c r="E108" i="3"/>
  <c r="E81"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519" i="3"/>
  <c r="E341" i="3"/>
  <c r="E155" i="3"/>
  <c r="E268" i="3"/>
  <c r="E252" i="3"/>
  <c r="E316" i="3"/>
  <c r="E346" i="3"/>
  <c r="E175" i="3"/>
  <c r="E544" i="3"/>
  <c r="E318" i="3"/>
  <c r="E541" i="3"/>
  <c r="E565" i="3"/>
  <c r="E523" i="3"/>
  <c r="E380" i="3"/>
  <c r="E557" i="3"/>
  <c r="E503" i="3"/>
  <c r="E13" i="3"/>
  <c r="BA5" i="3"/>
  <c r="G29" i="6"/>
  <c r="AZ16" i="3"/>
  <c r="H70" i="46"/>
  <c r="H72" i="46"/>
  <c r="A9" i="64"/>
  <c r="A9" i="51"/>
  <c r="B9" i="63" s="1"/>
  <c r="A25" i="51"/>
  <c r="B18" i="63" s="1"/>
  <c r="A3" i="55"/>
  <c r="B56" i="63" s="1"/>
  <c r="F52" i="37"/>
  <c r="G52" i="37" s="1"/>
  <c r="H52" i="37"/>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E6" i="1"/>
  <c r="W18" i="36"/>
  <c r="AC18" i="36"/>
  <c r="AG6" i="1"/>
  <c r="F7" i="21"/>
  <c r="J7" i="21"/>
  <c r="AC7" i="21" s="1"/>
  <c r="H7" i="21"/>
  <c r="E67" i="40"/>
  <c r="F65" i="40"/>
  <c r="E72" i="39"/>
  <c r="F70" i="39"/>
  <c r="J22" i="46"/>
  <c r="U7" i="21"/>
  <c r="AB7" i="21"/>
  <c r="S7" i="21"/>
  <c r="AA7" i="21"/>
  <c r="F72" i="39"/>
  <c r="G70" i="39"/>
  <c r="F67" i="40"/>
  <c r="G65" i="40"/>
  <c r="G67" i="40"/>
  <c r="H65" i="40"/>
  <c r="G72" i="39"/>
  <c r="H70" i="39"/>
  <c r="I70" i="39"/>
  <c r="H72" i="39"/>
  <c r="I65" i="40"/>
  <c r="H67" i="40"/>
  <c r="J65" i="40"/>
  <c r="I67" i="40"/>
  <c r="J70" i="39"/>
  <c r="J72" i="39" s="1"/>
  <c r="I72" i="39"/>
  <c r="K70" i="39"/>
  <c r="K65" i="40"/>
  <c r="K67" i="40" s="1"/>
  <c r="J67" i="40"/>
  <c r="L65" i="40"/>
  <c r="K72" i="39"/>
  <c r="L70" i="39"/>
  <c r="L72" i="39" s="1"/>
  <c r="M70" i="39"/>
  <c r="N70" i="39" s="1"/>
  <c r="N72" i="39" s="1"/>
  <c r="M65" i="40"/>
  <c r="L67" i="40"/>
  <c r="N65" i="40"/>
  <c r="N67" i="40" s="1"/>
  <c r="M67" i="40"/>
  <c r="C45" i="9"/>
  <c r="H14" i="66" s="1"/>
  <c r="B7" i="66" s="1"/>
  <c r="O40" i="9"/>
  <c r="K31" i="9"/>
  <c r="K32" i="9" s="1"/>
  <c r="R7" i="54"/>
  <c r="B52" i="63" s="1"/>
  <c r="C46" i="9"/>
  <c r="K33" i="9"/>
  <c r="K34" i="9" s="1"/>
  <c r="O41" i="9"/>
  <c r="I14" i="66"/>
  <c r="B8" i="66"/>
  <c r="R8" i="54"/>
  <c r="B54" i="63" s="1"/>
  <c r="F33" i="44"/>
  <c r="F31" i="15"/>
  <c r="M26" i="44"/>
  <c r="I5" i="65"/>
  <c r="M6" i="15"/>
  <c r="E11" i="67"/>
  <c r="F8" i="15"/>
  <c r="F36" i="15"/>
  <c r="J15" i="15"/>
  <c r="M11" i="44"/>
  <c r="J7" i="65"/>
  <c r="F46" i="44"/>
  <c r="F40" i="15"/>
  <c r="M27" i="15"/>
  <c r="M22" i="15"/>
  <c r="B10" i="67"/>
  <c r="M29" i="69"/>
  <c r="F28" i="44"/>
  <c r="J4" i="65"/>
  <c r="F43" i="69"/>
  <c r="E13" i="67"/>
  <c r="F39" i="44"/>
  <c r="C19" i="44"/>
  <c r="M26" i="15"/>
  <c r="N7" i="65"/>
  <c r="M24" i="44"/>
  <c r="F38" i="15"/>
  <c r="E12" i="67"/>
  <c r="F8" i="44"/>
  <c r="B13" i="67"/>
  <c r="F13" i="15"/>
  <c r="F10" i="44"/>
  <c r="J5" i="65"/>
  <c r="M29" i="44"/>
  <c r="E9" i="67"/>
  <c r="F13" i="67"/>
  <c r="F9" i="44"/>
  <c r="M25" i="44"/>
  <c r="E8" i="67"/>
  <c r="I6" i="65"/>
  <c r="L49" i="44"/>
  <c r="M29" i="70"/>
  <c r="J17" i="44"/>
  <c r="B12" i="67"/>
  <c r="M29" i="15"/>
  <c r="M23" i="15"/>
  <c r="F11" i="67"/>
  <c r="L47" i="69"/>
  <c r="F7" i="15"/>
  <c r="F11" i="44"/>
  <c r="F7" i="69"/>
  <c r="B8" i="67"/>
  <c r="F37" i="44"/>
  <c r="F45" i="44"/>
  <c r="F9" i="67"/>
  <c r="M8" i="15"/>
  <c r="F26" i="15"/>
  <c r="I4" i="65"/>
  <c r="I3" i="65"/>
  <c r="F40" i="44"/>
  <c r="F43" i="70"/>
  <c r="M8" i="44"/>
  <c r="N3" i="65"/>
  <c r="L48" i="70"/>
  <c r="F12" i="67"/>
  <c r="J3" i="65"/>
  <c r="F43" i="44"/>
  <c r="N4" i="65"/>
  <c r="F10" i="67"/>
  <c r="L48" i="15"/>
  <c r="M28" i="15"/>
  <c r="M31" i="44"/>
  <c r="J6" i="65"/>
  <c r="E14" i="67"/>
  <c r="M30" i="44"/>
  <c r="F42" i="15"/>
  <c r="N5" i="65"/>
  <c r="F6" i="15"/>
  <c r="F8" i="67"/>
  <c r="L48" i="69"/>
  <c r="M10" i="44"/>
  <c r="I7" i="65"/>
  <c r="M23" i="44"/>
  <c r="F38" i="44"/>
  <c r="B11" i="67"/>
  <c r="F37" i="15"/>
  <c r="F18" i="44"/>
  <c r="B14" i="67"/>
  <c r="F43" i="15"/>
  <c r="M28" i="44"/>
  <c r="L47" i="70"/>
  <c r="F15" i="44"/>
  <c r="E10" i="67"/>
  <c r="M9" i="15"/>
  <c r="L48" i="44"/>
  <c r="B9" i="67"/>
  <c r="M24" i="15"/>
  <c r="F9" i="15"/>
  <c r="N6" i="65"/>
  <c r="F14" i="67"/>
  <c r="L47" i="15"/>
  <c r="F16" i="15"/>
  <c r="J36" i="15"/>
  <c r="J53" i="69" l="1"/>
  <c r="F1" i="69" s="1"/>
  <c r="E481" i="3"/>
  <c r="E564" i="3"/>
  <c r="E356" i="3"/>
  <c r="E20" i="3"/>
  <c r="E326" i="3"/>
  <c r="E509" i="3"/>
  <c r="E484" i="3"/>
  <c r="E358" i="3"/>
  <c r="E382" i="3"/>
  <c r="E18" i="3"/>
  <c r="E301" i="3"/>
  <c r="E377" i="3"/>
  <c r="E240" i="3"/>
  <c r="E17" i="3"/>
  <c r="E137" i="3"/>
  <c r="E511" i="3"/>
  <c r="E71"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246" i="3"/>
  <c r="E551" i="3"/>
  <c r="E525" i="3"/>
  <c r="E176" i="3"/>
  <c r="E234" i="3"/>
  <c r="AI6" i="3"/>
  <c r="E540" i="3"/>
  <c r="E370" i="3"/>
  <c r="E258" i="3"/>
  <c r="E401" i="3"/>
  <c r="E119" i="3"/>
  <c r="J27" i="39"/>
  <c r="AC27" i="39" s="1"/>
  <c r="F101" i="39"/>
  <c r="G101" i="39" s="1"/>
  <c r="AC19" i="39"/>
  <c r="H19" i="39"/>
  <c r="A30" i="51"/>
  <c r="B22" i="63" s="1"/>
  <c r="U15" i="21"/>
  <c r="U34" i="39"/>
  <c r="H126" i="39"/>
  <c r="I126" i="39" s="1"/>
  <c r="J126" i="39" s="1"/>
  <c r="K126" i="39" s="1"/>
  <c r="L126" i="39" s="1"/>
  <c r="M126" i="39" s="1"/>
  <c r="F43" i="39"/>
  <c r="J43" i="39"/>
  <c r="AC43" i="39" s="1"/>
  <c r="H43" i="39"/>
  <c r="AA44" i="39"/>
  <c r="AC44" i="39"/>
  <c r="W43" i="39"/>
  <c r="W34" i="39"/>
  <c r="S31" i="39"/>
  <c r="W31" i="39"/>
  <c r="S29" i="39"/>
  <c r="AB29" i="39"/>
  <c r="W29" i="39"/>
  <c r="S27" i="39"/>
  <c r="U27" i="39"/>
  <c r="S23" i="39"/>
  <c r="U23" i="39"/>
  <c r="AA19" i="39"/>
  <c r="S17" i="39"/>
  <c r="AC17" i="39"/>
  <c r="F70" i="70"/>
  <c r="F30" i="6"/>
  <c r="M9" i="1"/>
  <c r="A30" i="64"/>
  <c r="L59" i="70"/>
  <c r="L59" i="69"/>
  <c r="G7" i="1"/>
  <c r="G12" i="1"/>
  <c r="G11" i="1"/>
  <c r="L57" i="70"/>
  <c r="J53" i="70"/>
  <c r="F1" i="70" s="1"/>
  <c r="J59" i="70"/>
  <c r="I54" i="70"/>
  <c r="L56" i="70"/>
  <c r="L60" i="70"/>
  <c r="Q58" i="70" s="1"/>
  <c r="J60" i="70"/>
  <c r="Q49" i="70" s="1"/>
  <c r="L58" i="70"/>
  <c r="Q74" i="70" s="1"/>
  <c r="J57" i="70"/>
  <c r="J55" i="70" s="1"/>
  <c r="J58" i="70" s="1"/>
  <c r="Q51" i="70" s="1"/>
  <c r="L58" i="69"/>
  <c r="Q61" i="69" s="1"/>
  <c r="J60" i="69"/>
  <c r="Q49" i="69" s="1"/>
  <c r="J59" i="69"/>
  <c r="L56" i="69"/>
  <c r="J57" i="69"/>
  <c r="J55" i="69" s="1"/>
  <c r="J58" i="69" s="1"/>
  <c r="Q51" i="69" s="1"/>
  <c r="G9" i="1"/>
  <c r="AP9" i="1"/>
  <c r="G10" i="1"/>
  <c r="P75" i="15"/>
  <c r="L46" i="70"/>
  <c r="C16" i="46"/>
  <c r="C5" i="46" s="1"/>
  <c r="E59" i="3"/>
  <c r="E311" i="3"/>
  <c r="E274" i="3"/>
  <c r="E33" i="3"/>
  <c r="E97" i="3"/>
  <c r="E79" i="3"/>
  <c r="E272" i="3"/>
  <c r="E25" i="3"/>
  <c r="E479" i="3"/>
  <c r="E276" i="3"/>
  <c r="E526" i="3"/>
  <c r="E96" i="3"/>
  <c r="E160" i="3"/>
  <c r="E242" i="3"/>
  <c r="E133" i="3"/>
  <c r="E87" i="3"/>
  <c r="E458" i="3"/>
  <c r="E29" i="3"/>
  <c r="E256" i="3"/>
  <c r="E491" i="3"/>
  <c r="E538" i="3"/>
  <c r="E558" i="3"/>
  <c r="E403" i="3"/>
  <c r="E173" i="3"/>
  <c r="E217"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11" i="52"/>
  <c r="E4" i="4" s="1"/>
  <c r="B21" i="55" s="1"/>
  <c r="B72" i="63" s="1"/>
  <c r="M7" i="69"/>
  <c r="J6" i="69" s="1"/>
  <c r="F49" i="69"/>
  <c r="C48" i="69" s="1"/>
  <c r="C6" i="69"/>
  <c r="F70" i="69"/>
  <c r="M10" i="1"/>
  <c r="E86" i="3"/>
  <c r="E209" i="3"/>
  <c r="E186" i="3"/>
  <c r="E263" i="3"/>
  <c r="E82" i="3"/>
  <c r="E99" i="3"/>
  <c r="E101" i="3"/>
  <c r="E463" i="3"/>
  <c r="E292" i="3"/>
  <c r="E426" i="3"/>
  <c r="E60" i="3"/>
  <c r="E75" i="3"/>
  <c r="E178" i="3"/>
  <c r="J6" i="3"/>
  <c r="E48" i="3"/>
  <c r="E438" i="3"/>
  <c r="E455" i="3"/>
  <c r="E363" i="3"/>
  <c r="E568" i="3"/>
  <c r="E85" i="3"/>
  <c r="E539" i="3"/>
  <c r="E332" i="3"/>
  <c r="E245" i="3"/>
  <c r="E139" i="3"/>
  <c r="E52" i="3"/>
  <c r="E445" i="3"/>
  <c r="E451" i="3"/>
  <c r="E556" i="3"/>
  <c r="U6" i="3"/>
  <c r="E291" i="3"/>
  <c r="E305" i="3"/>
  <c r="E527" i="3"/>
  <c r="E73" i="3"/>
  <c r="E365" i="3"/>
  <c r="E126" i="3"/>
  <c r="E248" i="3"/>
  <c r="E211" i="3"/>
  <c r="E336" i="3"/>
  <c r="Y6" i="3"/>
  <c r="AR6" i="3"/>
  <c r="E466"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29" i="6"/>
  <c r="E396" i="3"/>
  <c r="E569" i="3"/>
  <c r="E286" i="3"/>
  <c r="E353" i="3"/>
  <c r="E325" i="3"/>
  <c r="E456" i="3"/>
  <c r="E489" i="3"/>
  <c r="K6" i="3"/>
  <c r="E334" i="3"/>
  <c r="E319" i="3"/>
  <c r="E502" i="3"/>
  <c r="E324" i="3"/>
  <c r="E314" i="3"/>
  <c r="E228" i="3"/>
  <c r="E150" i="3"/>
  <c r="E559" i="3"/>
  <c r="E362" i="3"/>
  <c r="E40" i="3"/>
  <c r="E331" i="3"/>
  <c r="AF6" i="3"/>
  <c r="E440" i="3"/>
  <c r="E290" i="3"/>
  <c r="E72" i="3"/>
  <c r="E281" i="3"/>
  <c r="E345" i="3"/>
  <c r="E198" i="3"/>
  <c r="E513" i="3"/>
  <c r="E51" i="3"/>
  <c r="E65" i="3"/>
  <c r="E416" i="3"/>
  <c r="E308" i="3"/>
  <c r="E259" i="3"/>
  <c r="E196" i="3"/>
  <c r="E449" i="3"/>
  <c r="E207" i="3"/>
  <c r="E204" i="3"/>
  <c r="O6" i="3"/>
  <c r="E166" i="3"/>
  <c r="E257" i="3"/>
  <c r="E425" i="3"/>
  <c r="E113" i="3"/>
  <c r="AE6" i="3"/>
  <c r="E500" i="3"/>
  <c r="Q6" i="3"/>
  <c r="E447" i="3"/>
  <c r="E32" i="3"/>
  <c r="E262" i="3"/>
  <c r="E424" i="3"/>
  <c r="E534" i="3"/>
  <c r="E202" i="3"/>
  <c r="AC33" i="21"/>
  <c r="H5" i="3"/>
  <c r="L46" i="69"/>
  <c r="Q53" i="69"/>
  <c r="B23" i="52"/>
  <c r="H113" i="21"/>
  <c r="F37" i="21"/>
  <c r="J37" i="21"/>
  <c r="H37" i="21"/>
  <c r="G123" i="21"/>
  <c r="H123" i="21" s="1"/>
  <c r="I123" i="21" s="1"/>
  <c r="J123" i="21" s="1"/>
  <c r="K123" i="21" s="1"/>
  <c r="L123" i="21" s="1"/>
  <c r="M123" i="21" s="1"/>
  <c r="J42" i="21"/>
  <c r="AC42" i="21" s="1"/>
  <c r="H42" i="21"/>
  <c r="AB42" i="21" s="1"/>
  <c r="AC23" i="21"/>
  <c r="AA17" i="21"/>
  <c r="F69" i="21"/>
  <c r="G69" i="21" s="1"/>
  <c r="H69" i="21" s="1"/>
  <c r="I69" i="21" s="1"/>
  <c r="J69" i="21" s="1"/>
  <c r="K69" i="21" s="1"/>
  <c r="L69" i="21" s="1"/>
  <c r="M69" i="21" s="1"/>
  <c r="U40" i="21"/>
  <c r="S21" i="21"/>
  <c r="AA15" i="21"/>
  <c r="S42" i="21"/>
  <c r="AC35" i="21"/>
  <c r="B4" i="52"/>
  <c r="W32" i="21"/>
  <c r="U42" i="21"/>
  <c r="AA36" i="21"/>
  <c r="AB36" i="21"/>
  <c r="AC34" i="21"/>
  <c r="AB32" i="21"/>
  <c r="AC27" i="21"/>
  <c r="S27" i="21"/>
  <c r="U19" i="21"/>
  <c r="S19" i="21"/>
  <c r="W17" i="21"/>
  <c r="U17" i="21"/>
  <c r="B54" i="46"/>
  <c r="C35" i="46"/>
  <c r="AB10" i="21"/>
  <c r="W9" i="21"/>
  <c r="U9" i="21"/>
  <c r="AA9" i="21"/>
  <c r="W8" i="21"/>
  <c r="W7" i="21"/>
  <c r="B6" i="52"/>
  <c r="E9" i="52"/>
  <c r="B10" i="52"/>
  <c r="D23" i="15"/>
  <c r="C33" i="46"/>
  <c r="G33" i="46" s="1"/>
  <c r="I33" i="46" s="1"/>
  <c r="E35" i="46"/>
  <c r="G35" i="46"/>
  <c r="I35" i="46" s="1"/>
  <c r="L20" i="6"/>
  <c r="D101" i="46"/>
  <c r="D102" i="46" s="1"/>
  <c r="E22" i="46"/>
  <c r="AD11" i="46"/>
  <c r="AD13" i="46" s="1"/>
  <c r="H103" i="46"/>
  <c r="H102" i="46"/>
  <c r="E297" i="3"/>
  <c r="D104" i="46"/>
  <c r="G16" i="1"/>
  <c r="J12" i="40" s="1"/>
  <c r="H107" i="46"/>
  <c r="Q16" i="1"/>
  <c r="F18" i="11" s="1"/>
  <c r="C18" i="11" s="1"/>
  <c r="E395" i="3"/>
  <c r="E280" i="3"/>
  <c r="E270" i="3"/>
  <c r="E157" i="3"/>
  <c r="E161" i="3"/>
  <c r="E450"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136"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H109" i="46"/>
  <c r="H106" i="46"/>
  <c r="H105" i="46"/>
  <c r="E44" i="3"/>
  <c r="E464" i="3"/>
  <c r="AN6" i="3"/>
  <c r="E561" i="3"/>
  <c r="E283" i="3"/>
  <c r="E2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414" i="3"/>
  <c r="E238" i="3"/>
  <c r="E92" i="3"/>
  <c r="E408" i="3"/>
  <c r="E418" i="3"/>
  <c r="E471" i="3"/>
  <c r="E41" i="3"/>
  <c r="E250" i="3"/>
  <c r="E411"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58" i="39"/>
  <c r="E53" i="40"/>
  <c r="E413" i="3"/>
  <c r="G30" i="6"/>
  <c r="G31" i="6" s="1"/>
  <c r="E28" i="6"/>
  <c r="E12" i="6"/>
  <c r="E10" i="6"/>
  <c r="E11" i="6"/>
  <c r="E14" i="6"/>
  <c r="E66" i="39" s="1"/>
  <c r="E15" i="6"/>
  <c r="E13" i="6"/>
  <c r="BL5" i="3"/>
  <c r="AZ13" i="3"/>
  <c r="AZ5" i="3" s="1"/>
  <c r="D107" i="46"/>
  <c r="D12" i="11"/>
  <c r="C12" i="11" s="1"/>
  <c r="O10" i="1"/>
  <c r="P10" i="1" s="1"/>
  <c r="O9" i="1"/>
  <c r="P9" i="1" s="1"/>
  <c r="O12" i="1"/>
  <c r="P12" i="1" s="1"/>
  <c r="O6" i="1"/>
  <c r="P6" i="1" s="1"/>
  <c r="O7" i="1"/>
  <c r="P7" i="1" s="1"/>
  <c r="O11" i="1"/>
  <c r="P11" i="1" s="1"/>
  <c r="O8" i="1"/>
  <c r="P8" i="1" s="1"/>
  <c r="O13" i="1"/>
  <c r="P13" i="1" s="1"/>
  <c r="F24" i="43"/>
  <c r="C26" i="43" s="1"/>
  <c r="D24" i="43" s="1"/>
  <c r="D103" i="46"/>
  <c r="D109" i="46"/>
  <c r="H16" i="1"/>
  <c r="F27" i="6"/>
  <c r="C38" i="46"/>
  <c r="C39" i="46"/>
  <c r="E39" i="46" s="1"/>
  <c r="C37" i="46"/>
  <c r="G37" i="46" s="1"/>
  <c r="I37" i="46" s="1"/>
  <c r="I101" i="46"/>
  <c r="M101" i="46"/>
  <c r="AC11" i="46"/>
  <c r="AC13" i="46" s="1"/>
  <c r="Y11" i="46"/>
  <c r="Y13" i="46" s="1"/>
  <c r="Z11" i="46"/>
  <c r="Z13" i="46" s="1"/>
  <c r="AH11" i="46"/>
  <c r="AH13" i="46" s="1"/>
  <c r="AF11" i="46"/>
  <c r="AF13" i="46" s="1"/>
  <c r="AJ11" i="46"/>
  <c r="AJ13" i="46" s="1"/>
  <c r="AB11" i="46"/>
  <c r="AB13" i="46" s="1"/>
  <c r="D106" i="46"/>
  <c r="D105" i="46"/>
  <c r="AI11" i="46"/>
  <c r="AI13" i="46" s="1"/>
  <c r="AA11" i="46"/>
  <c r="AA13" i="46" s="1"/>
  <c r="C23" i="46"/>
  <c r="C21" i="46" s="1"/>
  <c r="C29" i="46" s="1"/>
  <c r="F101" i="46"/>
  <c r="N101" i="46"/>
  <c r="K101" i="46"/>
  <c r="Z7" i="46"/>
  <c r="E101" i="46"/>
  <c r="F22" i="46"/>
  <c r="D22" i="46" s="1"/>
  <c r="L101" i="46"/>
  <c r="N104" i="45"/>
  <c r="B113" i="46"/>
  <c r="J101" i="46"/>
  <c r="G101" i="46"/>
  <c r="C101" i="46"/>
  <c r="E5" i="52"/>
  <c r="B16" i="52"/>
  <c r="E10" i="52"/>
  <c r="B8" i="52"/>
  <c r="B9" i="52"/>
  <c r="B7" i="52"/>
  <c r="E4" i="52"/>
  <c r="E16" i="52"/>
  <c r="B11" i="52"/>
  <c r="E8" i="52"/>
  <c r="B5" i="52"/>
  <c r="B13" i="52"/>
  <c r="B22" i="52"/>
  <c r="E21" i="52"/>
  <c r="C4" i="4" s="1"/>
  <c r="B20" i="55" s="1"/>
  <c r="B70" i="63" s="1"/>
  <c r="B14" i="52"/>
  <c r="E6" i="52"/>
  <c r="E7" i="52"/>
  <c r="A11" i="55"/>
  <c r="B62" i="63" s="1"/>
  <c r="K17" i="4"/>
  <c r="A22" i="51" s="1"/>
  <c r="B16" i="63" s="1"/>
  <c r="AP16" i="1"/>
  <c r="F22" i="11" s="1"/>
  <c r="H12" i="39"/>
  <c r="E37" i="46"/>
  <c r="J12" i="39"/>
  <c r="F12" i="40"/>
  <c r="F12" i="39"/>
  <c r="H12" i="40"/>
  <c r="N76" i="9"/>
  <c r="L76" i="9"/>
  <c r="K76" i="9"/>
  <c r="K77" i="9" s="1"/>
  <c r="K79" i="9" s="1"/>
  <c r="K81" i="9" s="1"/>
  <c r="J9" i="40"/>
  <c r="H9" i="40"/>
  <c r="F9" i="40"/>
  <c r="I59" i="34"/>
  <c r="J59" i="34" s="1"/>
  <c r="K59" i="34" s="1"/>
  <c r="L59" i="34" s="1"/>
  <c r="M59" i="34" s="1"/>
  <c r="N59" i="34" s="1"/>
  <c r="O59" i="34" s="1"/>
  <c r="H7" i="34"/>
  <c r="M72" i="39"/>
  <c r="J9" i="39" s="1"/>
  <c r="K52" i="37"/>
  <c r="L52" i="37" s="1"/>
  <c r="M52" i="37" s="1"/>
  <c r="N52" i="37" s="1"/>
  <c r="O52" i="37" s="1"/>
  <c r="F7" i="37"/>
  <c r="J7" i="37"/>
  <c r="F46" i="36"/>
  <c r="F7" i="34"/>
  <c r="E58" i="33"/>
  <c r="F58" i="33" s="1"/>
  <c r="G58" i="33" s="1"/>
  <c r="H58" i="33" s="1"/>
  <c r="I58" i="33" s="1"/>
  <c r="J58" i="33" s="1"/>
  <c r="K58" i="33" s="1"/>
  <c r="L58" i="33" s="1"/>
  <c r="M58" i="33" s="1"/>
  <c r="N58" i="33" s="1"/>
  <c r="O58" i="33" s="1"/>
  <c r="J7" i="33"/>
  <c r="H7" i="33"/>
  <c r="F7" i="33"/>
  <c r="C36" i="46"/>
  <c r="C34" i="46"/>
  <c r="T8" i="46"/>
  <c r="V8" i="46" s="1"/>
  <c r="T10" i="46"/>
  <c r="V10" i="46" s="1"/>
  <c r="T12" i="46"/>
  <c r="V12" i="46" s="1"/>
  <c r="T14" i="46"/>
  <c r="V14" i="46" s="1"/>
  <c r="T16" i="46"/>
  <c r="V16" i="46" s="1"/>
  <c r="T9" i="46"/>
  <c r="V9" i="46" s="1"/>
  <c r="T11" i="46"/>
  <c r="V11" i="46" s="1"/>
  <c r="T13" i="46"/>
  <c r="V13" i="46" s="1"/>
  <c r="T15" i="46"/>
  <c r="V15" i="46" s="1"/>
  <c r="H7" i="35"/>
  <c r="J7" i="35"/>
  <c r="J7" i="34"/>
  <c r="F7" i="35"/>
  <c r="C36" i="44"/>
  <c r="J22" i="44"/>
  <c r="Q73" i="44"/>
  <c r="F70" i="15"/>
  <c r="F64" i="15"/>
  <c r="F50" i="15"/>
  <c r="L58" i="15"/>
  <c r="L59" i="15"/>
  <c r="C8" i="44"/>
  <c r="J57" i="15"/>
  <c r="J55" i="15" s="1"/>
  <c r="J58" i="15" s="1"/>
  <c r="Q51" i="15" s="1"/>
  <c r="J53" i="15"/>
  <c r="I54" i="15"/>
  <c r="L56" i="15"/>
  <c r="J60" i="15"/>
  <c r="Q49" i="15" s="1"/>
  <c r="J59" i="15"/>
  <c r="F67" i="15"/>
  <c r="C6" i="15"/>
  <c r="L60" i="44"/>
  <c r="L59" i="44"/>
  <c r="C27" i="15"/>
  <c r="I1" i="65"/>
  <c r="F65" i="15"/>
  <c r="I55" i="44"/>
  <c r="J60" i="44"/>
  <c r="J61" i="44"/>
  <c r="Q50" i="44" s="1"/>
  <c r="J54" i="44"/>
  <c r="J58" i="44"/>
  <c r="J56" i="44" s="1"/>
  <c r="J59" i="44" s="1"/>
  <c r="Q52" i="44" s="1"/>
  <c r="L57" i="44"/>
  <c r="L47" i="44"/>
  <c r="M9" i="44"/>
  <c r="F49" i="15"/>
  <c r="M7" i="15"/>
  <c r="C29" i="44"/>
  <c r="F63" i="15"/>
  <c r="Q72" i="15"/>
  <c r="J1" i="65"/>
  <c r="C4" i="65"/>
  <c r="B39" i="1" s="1"/>
  <c r="E20" i="46"/>
  <c r="F58" i="15"/>
  <c r="M19" i="44"/>
  <c r="M17" i="15"/>
  <c r="C18" i="44"/>
  <c r="C16" i="69"/>
  <c r="C16" i="70"/>
  <c r="E2" i="65"/>
  <c r="E3" i="65"/>
  <c r="AE7" i="1"/>
  <c r="C16" i="15"/>
  <c r="W27" i="39" l="1"/>
  <c r="U19" i="39"/>
  <c r="AB19" i="39"/>
  <c r="U43" i="39"/>
  <c r="AB43" i="39"/>
  <c r="AA43" i="39"/>
  <c r="S43" i="39"/>
  <c r="Q74" i="69"/>
  <c r="Q61" i="70"/>
  <c r="Q53" i="70"/>
  <c r="Q67" i="70"/>
  <c r="Q62" i="69"/>
  <c r="Q75" i="69"/>
  <c r="Q62" i="70"/>
  <c r="Q75" i="70"/>
  <c r="F11" i="70"/>
  <c r="M11" i="70"/>
  <c r="J10" i="70" s="1"/>
  <c r="J5" i="70" s="1"/>
  <c r="C15" i="12"/>
  <c r="W42" i="21"/>
  <c r="K15" i="1"/>
  <c r="L19" i="6"/>
  <c r="L27" i="6" s="1"/>
  <c r="M11" i="69"/>
  <c r="J10" i="69" s="1"/>
  <c r="J5" i="69" s="1"/>
  <c r="F11" i="69"/>
  <c r="U37" i="21"/>
  <c r="AB37" i="21"/>
  <c r="S37" i="21"/>
  <c r="AA37" i="21"/>
  <c r="W37" i="21"/>
  <c r="AC37" i="21"/>
  <c r="E33" i="46"/>
  <c r="F33" i="12"/>
  <c r="C34" i="12" s="1"/>
  <c r="D33" i="12" s="1"/>
  <c r="AC12" i="40"/>
  <c r="W12" i="40"/>
  <c r="E61" i="40"/>
  <c r="F31" i="6"/>
  <c r="E27" i="6"/>
  <c r="K19" i="6" s="1"/>
  <c r="S6" i="1" s="1"/>
  <c r="E6" i="3"/>
  <c r="E3" i="6"/>
  <c r="AY6" i="3"/>
  <c r="E60" i="40"/>
  <c r="E65" i="39"/>
  <c r="E16" i="6"/>
  <c r="E62" i="40"/>
  <c r="E67" i="39"/>
  <c r="E63" i="39"/>
  <c r="E58" i="40"/>
  <c r="E59" i="40"/>
  <c r="E64" i="39"/>
  <c r="K14" i="1"/>
  <c r="K20" i="6"/>
  <c r="E30" i="6"/>
  <c r="G38" i="46"/>
  <c r="I38" i="46" s="1"/>
  <c r="E38" i="46"/>
  <c r="N103" i="46"/>
  <c r="N104" i="46"/>
  <c r="N106" i="46"/>
  <c r="N109" i="46"/>
  <c r="N102" i="46"/>
  <c r="N105" i="46"/>
  <c r="N107" i="46"/>
  <c r="G103" i="46"/>
  <c r="G106" i="46"/>
  <c r="G104" i="46"/>
  <c r="G102" i="46"/>
  <c r="G105"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4" i="46"/>
  <c r="K103" i="46"/>
  <c r="K109" i="46"/>
  <c r="K105" i="46"/>
  <c r="F106" i="46"/>
  <c r="F103" i="46"/>
  <c r="F104" i="46"/>
  <c r="F102" i="46"/>
  <c r="F109" i="46"/>
  <c r="F107" i="46"/>
  <c r="F105" i="46"/>
  <c r="I105" i="46"/>
  <c r="I104" i="46"/>
  <c r="I103" i="46"/>
  <c r="I106" i="46"/>
  <c r="I109" i="46"/>
  <c r="I107" i="46"/>
  <c r="I102" i="46"/>
  <c r="C104" i="46"/>
  <c r="C107" i="46"/>
  <c r="C109" i="46"/>
  <c r="C103" i="46"/>
  <c r="C106" i="46"/>
  <c r="C105" i="46"/>
  <c r="C102" i="46"/>
  <c r="J107" i="46"/>
  <c r="J106" i="46"/>
  <c r="J105" i="46"/>
  <c r="J109" i="46"/>
  <c r="J102" i="46"/>
  <c r="J104" i="46"/>
  <c r="J103" i="46"/>
  <c r="M104" i="46"/>
  <c r="M103" i="46"/>
  <c r="M105" i="46"/>
  <c r="M107" i="46"/>
  <c r="M109" i="46"/>
  <c r="M102" i="46"/>
  <c r="M106" i="46"/>
  <c r="U12" i="39"/>
  <c r="AB12" i="39"/>
  <c r="U12" i="40"/>
  <c r="AB12" i="40"/>
  <c r="S12" i="40"/>
  <c r="AA12" i="40"/>
  <c r="AA12" i="39"/>
  <c r="S12" i="39"/>
  <c r="AC12" i="39"/>
  <c r="W12" i="39"/>
  <c r="AC9" i="39"/>
  <c r="W9" i="39"/>
  <c r="AC7" i="34"/>
  <c r="V49" i="34" s="1"/>
  <c r="I49" i="34" s="1"/>
  <c r="W7" i="34"/>
  <c r="AB7" i="35"/>
  <c r="T38" i="35" s="1"/>
  <c r="G38" i="35" s="1"/>
  <c r="U7" i="35"/>
  <c r="E34" i="46"/>
  <c r="G34" i="46"/>
  <c r="I34" i="46" s="1"/>
  <c r="U7" i="33"/>
  <c r="AB7" i="33"/>
  <c r="T48" i="33" s="1"/>
  <c r="G48" i="33" s="1"/>
  <c r="AC7" i="37"/>
  <c r="V42" i="37" s="1"/>
  <c r="I42" i="37" s="1"/>
  <c r="W7" i="37"/>
  <c r="H7" i="37"/>
  <c r="F9" i="39"/>
  <c r="H9" i="39"/>
  <c r="AB9" i="40"/>
  <c r="T44" i="40" s="1"/>
  <c r="G44" i="40" s="1"/>
  <c r="U9" i="40"/>
  <c r="S7" i="35"/>
  <c r="AA7" i="35"/>
  <c r="R38" i="35" s="1"/>
  <c r="AC7" i="35"/>
  <c r="V38" i="35" s="1"/>
  <c r="I38" i="35" s="1"/>
  <c r="W7" i="35"/>
  <c r="E36" i="46"/>
  <c r="G36" i="46"/>
  <c r="I36" i="46" s="1"/>
  <c r="C30" i="46"/>
  <c r="E30" i="46" s="1"/>
  <c r="C27" i="46" s="1"/>
  <c r="E29" i="46"/>
  <c r="S7" i="33"/>
  <c r="AA7" i="33"/>
  <c r="R48" i="33" s="1"/>
  <c r="AC7" i="33"/>
  <c r="V48" i="33" s="1"/>
  <c r="I48" i="33" s="1"/>
  <c r="W7" i="33"/>
  <c r="AA7" i="34"/>
  <c r="R49" i="34" s="1"/>
  <c r="S7" i="34"/>
  <c r="G46" i="36"/>
  <c r="AA7" i="37"/>
  <c r="R42" i="37" s="1"/>
  <c r="S7" i="37"/>
  <c r="AB7" i="34"/>
  <c r="T49" i="34" s="1"/>
  <c r="G49" i="34" s="1"/>
  <c r="U7" i="34"/>
  <c r="AA9" i="40"/>
  <c r="R44" i="40" s="1"/>
  <c r="S9" i="40"/>
  <c r="AC9" i="40"/>
  <c r="V44" i="40" s="1"/>
  <c r="I44" i="40" s="1"/>
  <c r="W9" i="40"/>
  <c r="F17" i="11"/>
  <c r="C17" i="11" s="1"/>
  <c r="C19" i="11" s="1"/>
  <c r="B40" i="1"/>
  <c r="Q63" i="44"/>
  <c r="Q76" i="44"/>
  <c r="Q75" i="15"/>
  <c r="Q62" i="15"/>
  <c r="C48" i="15"/>
  <c r="P17" i="46"/>
  <c r="N17" i="46"/>
  <c r="O17" i="46"/>
  <c r="M17" i="46"/>
  <c r="F11" i="15"/>
  <c r="F13" i="44"/>
  <c r="C12" i="44" s="1"/>
  <c r="C7" i="44" s="1"/>
  <c r="M11" i="15"/>
  <c r="J10" i="15" s="1"/>
  <c r="M13" i="44"/>
  <c r="J12" i="44" s="1"/>
  <c r="J6" i="15"/>
  <c r="J8" i="44"/>
  <c r="Q54" i="44"/>
  <c r="F1" i="44"/>
  <c r="Q62" i="44"/>
  <c r="Q75" i="44"/>
  <c r="F1" i="15"/>
  <c r="Q53" i="15"/>
  <c r="Q74" i="15"/>
  <c r="Q61" i="15"/>
  <c r="F7" i="67"/>
  <c r="AE8" i="1"/>
  <c r="F41" i="69"/>
  <c r="F68" i="69" l="1"/>
  <c r="J26" i="70"/>
  <c r="J24" i="70"/>
  <c r="J18" i="70"/>
  <c r="F24" i="69"/>
  <c r="C24" i="69" s="1"/>
  <c r="F24" i="70"/>
  <c r="C52" i="70"/>
  <c r="C47" i="70" s="1"/>
  <c r="C10" i="70"/>
  <c r="C5" i="70" s="1"/>
  <c r="E31" i="6"/>
  <c r="C52" i="69"/>
  <c r="C47" i="69" s="1"/>
  <c r="C10" i="69"/>
  <c r="C5" i="69" s="1"/>
  <c r="J24" i="69"/>
  <c r="J18" i="69"/>
  <c r="J26" i="69"/>
  <c r="J29" i="69" s="1"/>
  <c r="J7" i="44"/>
  <c r="J28" i="44" s="1"/>
  <c r="J31" i="44" s="1"/>
  <c r="M20" i="6"/>
  <c r="I20" i="6" s="1"/>
  <c r="S20" i="6" s="1"/>
  <c r="S7" i="1"/>
  <c r="K21" i="6"/>
  <c r="K23" i="6"/>
  <c r="M23" i="6" s="1"/>
  <c r="I23" i="6" s="1"/>
  <c r="S23" i="6" s="1"/>
  <c r="K24" i="6"/>
  <c r="M24" i="6" s="1"/>
  <c r="I24" i="6" s="1"/>
  <c r="S24" i="6" s="1"/>
  <c r="K26" i="6"/>
  <c r="M26" i="6" s="1"/>
  <c r="I26" i="6" s="1"/>
  <c r="S26" i="6" s="1"/>
  <c r="K25" i="6"/>
  <c r="M25" i="6" s="1"/>
  <c r="I25" i="6" s="1"/>
  <c r="S25" i="6" s="1"/>
  <c r="K22" i="6"/>
  <c r="M19" i="6"/>
  <c r="AY73" i="3"/>
  <c r="AY144" i="3"/>
  <c r="AY57" i="3"/>
  <c r="AY262" i="3"/>
  <c r="AY349" i="3"/>
  <c r="AY397" i="3"/>
  <c r="AY149" i="3"/>
  <c r="AY379" i="3"/>
  <c r="AY463" i="3"/>
  <c r="AY135" i="3"/>
  <c r="AY372" i="3"/>
  <c r="AY62" i="3"/>
  <c r="AY376" i="3"/>
  <c r="AY155" i="3"/>
  <c r="AY450" i="3"/>
  <c r="AY307" i="3"/>
  <c r="AY457" i="3"/>
  <c r="AY412" i="3"/>
  <c r="BC6" i="3"/>
  <c r="AY201"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74" i="3"/>
  <c r="AY136" i="3"/>
  <c r="AY448" i="3"/>
  <c r="AY381" i="3"/>
  <c r="AY178" i="3"/>
  <c r="AY550" i="3"/>
  <c r="AY389" i="3"/>
  <c r="AY122" i="3"/>
  <c r="AY438" i="3"/>
  <c r="AY33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40" i="3"/>
  <c r="AY60" i="3"/>
  <c r="AY235" i="3"/>
  <c r="AY475" i="3"/>
  <c r="AY195" i="3"/>
  <c r="AY334" i="3"/>
  <c r="AY421" i="3"/>
  <c r="AY331" i="3"/>
  <c r="AY362" i="3"/>
  <c r="AY270" i="3"/>
  <c r="AY205" i="3"/>
  <c r="AY487" i="3"/>
  <c r="AY252" i="3"/>
  <c r="AY571" i="3"/>
  <c r="BM6" i="3"/>
  <c r="AY509" i="3"/>
  <c r="AY260" i="3"/>
  <c r="AY554" i="3"/>
  <c r="AY477" i="3"/>
  <c r="AY482" i="3"/>
  <c r="AY517" i="3"/>
  <c r="BE6" i="3"/>
  <c r="AY292" i="3"/>
  <c r="AY441" i="3"/>
  <c r="AY535" i="3"/>
  <c r="AY121" i="3"/>
  <c r="AY452" i="3"/>
  <c r="AY491" i="3"/>
  <c r="AY523" i="3"/>
  <c r="AY508" i="3"/>
  <c r="AY53" i="3"/>
  <c r="AY98" i="3"/>
  <c r="AY232" i="3"/>
  <c r="AY49" i="3"/>
  <c r="AY326" i="3"/>
  <c r="AY294" i="3"/>
  <c r="AY269" i="3"/>
  <c r="AY302" i="3"/>
  <c r="AY16" i="3"/>
  <c r="AY278" i="3"/>
  <c r="AY253" i="3"/>
  <c r="AY320" i="3"/>
  <c r="AY27" i="3"/>
  <c r="BN6" i="3"/>
  <c r="AY552" i="3"/>
  <c r="AY527" i="3"/>
  <c r="AY519" i="3"/>
  <c r="AY325" i="3"/>
  <c r="BF6" i="3"/>
  <c r="AY390" i="3"/>
  <c r="AY484" i="3"/>
  <c r="AY17" i="3"/>
  <c r="AY68" i="3"/>
  <c r="AY404" i="3"/>
  <c r="AY327" i="3"/>
  <c r="AY213" i="3"/>
  <c r="AY502" i="3"/>
  <c r="AY110" i="3"/>
  <c r="AY298" i="3"/>
  <c r="AY403" i="3"/>
  <c r="AY514" i="3"/>
  <c r="AY454" i="3"/>
  <c r="AY423" i="3"/>
  <c r="AY539" i="3"/>
  <c r="AY228" i="3"/>
  <c r="AY532" i="3"/>
  <c r="AY18" i="3"/>
  <c r="AY564" i="3"/>
  <c r="AY268" i="3"/>
  <c r="AY407" i="3"/>
  <c r="AY140" i="3"/>
  <c r="AY461" i="3"/>
  <c r="AY66" i="3"/>
  <c r="AY186" i="3"/>
  <c r="AY222" i="3"/>
  <c r="AY540" i="3"/>
  <c r="AY505" i="3"/>
  <c r="AY563" i="3"/>
  <c r="AY357" i="3"/>
  <c r="AY133" i="3"/>
  <c r="AY84" i="3"/>
  <c r="AY468" i="3"/>
  <c r="AY377" i="3"/>
  <c r="BI6" i="3"/>
  <c r="AY164" i="3"/>
  <c r="AY469" i="3"/>
  <c r="AY177" i="3"/>
  <c r="AY263" i="3"/>
  <c r="AY499" i="3"/>
  <c r="AY524" i="3"/>
  <c r="AY391" i="3"/>
  <c r="AY231" i="3"/>
  <c r="AY507" i="3"/>
  <c r="AY300"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62" i="3"/>
  <c r="BQ6" i="3"/>
  <c r="AY396" i="3"/>
  <c r="BT6" i="3"/>
  <c r="AY406" i="3"/>
  <c r="AY151" i="3"/>
  <c r="AY221" i="3"/>
  <c r="AY323" i="3"/>
  <c r="AY303" i="3"/>
  <c r="AY504" i="3"/>
  <c r="AY83" i="3"/>
  <c r="AY182" i="3"/>
  <c r="AY45" i="3"/>
  <c r="AY217" i="3"/>
  <c r="AY383" i="3"/>
  <c r="AY427" i="3"/>
  <c r="AY170" i="3"/>
  <c r="AY214" i="3"/>
  <c r="AY476" i="3"/>
  <c r="AY116" i="3"/>
  <c r="AY366" i="3"/>
  <c r="AY548" i="3"/>
  <c r="AY256" i="3"/>
  <c r="AY81" i="3"/>
  <c r="AY342" i="3"/>
  <c r="AY279" i="3"/>
  <c r="AY420" i="3"/>
  <c r="AY555" i="3"/>
  <c r="AY188" i="3"/>
  <c r="AY1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7"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13" i="3"/>
  <c r="AY21" i="3"/>
  <c r="AY191" i="3"/>
  <c r="AY92" i="3"/>
  <c r="AY118" i="3"/>
  <c r="AY209" i="3"/>
  <c r="AY416" i="3"/>
  <c r="AY55" i="3"/>
  <c r="AY250" i="3"/>
  <c r="AY560" i="3"/>
  <c r="AY141" i="3"/>
  <c r="AY310" i="3"/>
  <c r="AY459" i="3"/>
  <c r="AY226" i="3"/>
  <c r="AY400" i="3"/>
  <c r="AY340" i="3"/>
  <c r="AY272" i="3"/>
  <c r="AY14" i="3"/>
  <c r="AY430" i="3"/>
  <c r="AY378" i="3"/>
  <c r="AY314" i="3"/>
  <c r="AY193" i="3"/>
  <c r="AY47" i="3"/>
  <c r="AY106" i="3"/>
  <c r="AY361" i="3"/>
  <c r="AY146" i="3"/>
  <c r="AY39" i="3"/>
  <c r="AY315" i="3"/>
  <c r="AY464" i="3"/>
  <c r="AY194" i="3"/>
  <c r="AY405" i="3"/>
  <c r="AY442"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549" i="3"/>
  <c r="AY69" i="3"/>
  <c r="AY88" i="3"/>
  <c r="AY26" i="3"/>
  <c r="AY129" i="3"/>
  <c r="AY529" i="3"/>
  <c r="AY104" i="3"/>
  <c r="AY145" i="3"/>
  <c r="AY259" i="3"/>
  <c r="AY248" i="3"/>
  <c r="AY368" i="3"/>
  <c r="AY472" i="3"/>
  <c r="AY409" i="3"/>
  <c r="AY96" i="3"/>
  <c r="AY171" i="3"/>
  <c r="AY233"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103" i="3"/>
  <c r="AY52" i="3"/>
  <c r="AY204" i="3"/>
  <c r="AY31" i="3"/>
  <c r="AY234" i="3"/>
  <c r="AY317" i="3"/>
  <c r="AY402" i="3"/>
  <c r="AY181" i="3"/>
  <c r="AY343" i="3"/>
  <c r="AY65" i="3"/>
  <c r="AY265" i="3"/>
  <c r="AY350" i="3"/>
  <c r="AY50" i="3"/>
  <c r="AY346" i="3"/>
  <c r="AY161" i="3"/>
  <c r="AY101" i="3"/>
  <c r="AY321" i="3"/>
  <c r="AY437" i="3"/>
  <c r="AY465" i="3"/>
  <c r="AY544" i="3"/>
  <c r="BH6" i="3"/>
  <c r="AY100" i="3"/>
  <c r="AY126" i="3"/>
  <c r="AY291" i="3"/>
  <c r="AY422" i="3"/>
  <c r="AY324" i="3"/>
  <c r="AY258" i="3"/>
  <c r="AY168" i="3"/>
  <c r="AY295" i="3"/>
  <c r="AY305" i="3"/>
  <c r="AY429" i="3"/>
  <c r="AY4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AY530" i="3"/>
  <c r="AY87" i="3"/>
  <c r="AY97" i="3"/>
  <c r="AY109" i="3"/>
  <c r="AY198" i="3"/>
  <c r="AY142" i="3"/>
  <c r="AY77" i="3"/>
  <c r="AY34" i="3"/>
  <c r="AY158" i="3"/>
  <c r="AY218" i="3"/>
  <c r="AY290" i="3"/>
  <c r="AY309" i="3"/>
  <c r="AY443" i="3"/>
  <c r="AY392" i="3"/>
  <c r="AY46" i="3"/>
  <c r="AY176" i="3"/>
  <c r="AY219"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M14" i="1"/>
  <c r="K16" i="1"/>
  <c r="D16" i="12"/>
  <c r="E6" i="6"/>
  <c r="L38" i="9"/>
  <c r="B14" i="66" s="1"/>
  <c r="B1" i="66" s="1"/>
  <c r="D46" i="9"/>
  <c r="D16" i="43"/>
  <c r="C16" i="43" s="1"/>
  <c r="D45" i="9"/>
  <c r="C21" i="4"/>
  <c r="O5" i="54" s="1"/>
  <c r="B45" i="63" s="1"/>
  <c r="D10" i="11"/>
  <c r="S6" i="46"/>
  <c r="T6" i="46" s="1"/>
  <c r="V6" i="46" s="1"/>
  <c r="S2" i="46"/>
  <c r="T2" i="46" s="1"/>
  <c r="V2" i="46" s="1"/>
  <c r="S4" i="46"/>
  <c r="T4" i="46" s="1"/>
  <c r="V4" i="46" s="1"/>
  <c r="S7" i="46"/>
  <c r="T7" i="46" s="1"/>
  <c r="V7" i="46" s="1"/>
  <c r="S5" i="46"/>
  <c r="T5" i="46" s="1"/>
  <c r="V5" i="46" s="1"/>
  <c r="S3" i="46"/>
  <c r="T3" i="46" s="1"/>
  <c r="V3" i="46" s="1"/>
  <c r="C115" i="46"/>
  <c r="D113" i="46" s="1"/>
  <c r="E4" i="67"/>
  <c r="I48" i="40"/>
  <c r="J48" i="40" s="1"/>
  <c r="E44" i="40"/>
  <c r="I49" i="40" s="1"/>
  <c r="J49" i="40" s="1"/>
  <c r="R45" i="40"/>
  <c r="G53" i="34"/>
  <c r="H53" i="34" s="1"/>
  <c r="G54" i="34"/>
  <c r="H54" i="34" s="1"/>
  <c r="E42" i="37"/>
  <c r="R43" i="37"/>
  <c r="H46" i="36"/>
  <c r="R50" i="34"/>
  <c r="E49" i="34"/>
  <c r="I54" i="34" s="1"/>
  <c r="J54" i="34" s="1"/>
  <c r="I52" i="33"/>
  <c r="J52" i="33" s="1"/>
  <c r="I42" i="35"/>
  <c r="J42" i="35" s="1"/>
  <c r="I43" i="35"/>
  <c r="J43" i="35" s="1"/>
  <c r="G48" i="40"/>
  <c r="H48" i="40" s="1"/>
  <c r="G49" i="40"/>
  <c r="H49" i="40" s="1"/>
  <c r="S9" i="39"/>
  <c r="AA9" i="39"/>
  <c r="G52" i="33"/>
  <c r="H52" i="33" s="1"/>
  <c r="G53" i="33"/>
  <c r="H53" i="33" s="1"/>
  <c r="R49" i="33"/>
  <c r="E48" i="33"/>
  <c r="C26" i="46"/>
  <c r="R39" i="35"/>
  <c r="E38" i="35"/>
  <c r="U9" i="39"/>
  <c r="AB9" i="39"/>
  <c r="U7" i="37"/>
  <c r="AB7" i="37"/>
  <c r="T42" i="37" s="1"/>
  <c r="G42" i="37" s="1"/>
  <c r="I46" i="37"/>
  <c r="J46" i="37" s="1"/>
  <c r="I47" i="37"/>
  <c r="J47" i="37" s="1"/>
  <c r="G42" i="35"/>
  <c r="H42" i="35" s="1"/>
  <c r="G43" i="35"/>
  <c r="H43" i="35" s="1"/>
  <c r="I53" i="34"/>
  <c r="J53" i="34" s="1"/>
  <c r="J5" i="15"/>
  <c r="J18" i="15" s="1"/>
  <c r="F21" i="43"/>
  <c r="F24" i="15"/>
  <c r="C24" i="15" s="1"/>
  <c r="F26" i="44"/>
  <c r="C26" i="44" s="1"/>
  <c r="F26" i="12"/>
  <c r="C40" i="44"/>
  <c r="C34" i="44"/>
  <c r="C52" i="15"/>
  <c r="C47" i="15" s="1"/>
  <c r="C10" i="15"/>
  <c r="C5" i="15" s="1"/>
  <c r="C20" i="11"/>
  <c r="C21" i="11" s="1"/>
  <c r="C22" i="11" s="1"/>
  <c r="C23" i="11" s="1"/>
  <c r="B2" i="11" s="1"/>
  <c r="L52" i="44"/>
  <c r="C17" i="69"/>
  <c r="F41" i="15"/>
  <c r="E7" i="67"/>
  <c r="J26" i="44" l="1"/>
  <c r="F68" i="15"/>
  <c r="J20" i="44"/>
  <c r="C38" i="70"/>
  <c r="C32" i="70"/>
  <c r="C59" i="70"/>
  <c r="C65" i="70"/>
  <c r="C24" i="70"/>
  <c r="C59" i="69"/>
  <c r="C65" i="69"/>
  <c r="C32" i="69"/>
  <c r="C38" i="69"/>
  <c r="M22" i="6"/>
  <c r="I22" i="6" s="1"/>
  <c r="S22" i="6" s="1"/>
  <c r="S9" i="1"/>
  <c r="K27" i="6"/>
  <c r="M21" i="6"/>
  <c r="I21" i="6" s="1"/>
  <c r="S21" i="6" s="1"/>
  <c r="S8" i="1"/>
  <c r="C8" i="66"/>
  <c r="C7" i="66"/>
  <c r="D19" i="12"/>
  <c r="C19" i="12" s="1"/>
  <c r="C16" i="12"/>
  <c r="O14" i="1"/>
  <c r="M16" i="1"/>
  <c r="E45" i="9"/>
  <c r="F45" i="9"/>
  <c r="D24" i="6"/>
  <c r="D22" i="6"/>
  <c r="D12" i="6"/>
  <c r="H25" i="6"/>
  <c r="D5" i="6"/>
  <c r="H22" i="6"/>
  <c r="H26" i="6"/>
  <c r="E46" i="9"/>
  <c r="C22" i="4"/>
  <c r="D21" i="6"/>
  <c r="D10" i="6"/>
  <c r="H21" i="6"/>
  <c r="D6" i="6"/>
  <c r="D14" i="6"/>
  <c r="D20" i="6"/>
  <c r="H23" i="6"/>
  <c r="E68" i="39"/>
  <c r="K38" i="9"/>
  <c r="C14" i="66" s="1"/>
  <c r="B2" i="66" s="1"/>
  <c r="D26" i="6"/>
  <c r="R26" i="6" s="1"/>
  <c r="D11" i="6"/>
  <c r="H20" i="6"/>
  <c r="D9" i="6"/>
  <c r="D29" i="6"/>
  <c r="D15" i="6"/>
  <c r="F46" i="9"/>
  <c r="E63" i="40"/>
  <c r="D19" i="6"/>
  <c r="D25" i="6"/>
  <c r="R25" i="6" s="1"/>
  <c r="D13" i="6"/>
  <c r="H24" i="6"/>
  <c r="D23" i="6"/>
  <c r="D28" i="6"/>
  <c r="D30" i="6" s="1"/>
  <c r="D8" i="6"/>
  <c r="I19" i="6"/>
  <c r="M27" i="6"/>
  <c r="D22" i="12"/>
  <c r="C22" i="12" s="1"/>
  <c r="C20" i="12" s="1"/>
  <c r="D13" i="11"/>
  <c r="C13" i="11" s="1"/>
  <c r="J24" i="15"/>
  <c r="E3" i="67"/>
  <c r="E52" i="33"/>
  <c r="F52" i="33" s="1"/>
  <c r="E53" i="33"/>
  <c r="F53" i="33" s="1"/>
  <c r="I53" i="33"/>
  <c r="J53" i="33" s="1"/>
  <c r="J26" i="15"/>
  <c r="J29" i="15" s="1"/>
  <c r="G47" i="37"/>
  <c r="H47" i="37" s="1"/>
  <c r="G46" i="37"/>
  <c r="H46" i="37" s="1"/>
  <c r="E43" i="35"/>
  <c r="F43" i="35" s="1"/>
  <c r="E42" i="35"/>
  <c r="F42" i="35" s="1"/>
  <c r="B2" i="46"/>
  <c r="C48" i="33"/>
  <c r="C49" i="33"/>
  <c r="B3" i="33" s="1"/>
  <c r="B2" i="33" s="1"/>
  <c r="C49" i="34"/>
  <c r="C50" i="34"/>
  <c r="B3" i="34" s="1"/>
  <c r="B2" i="34" s="1"/>
  <c r="I46" i="36"/>
  <c r="E46" i="37"/>
  <c r="F46" i="37" s="1"/>
  <c r="E47" i="37"/>
  <c r="F47" i="37" s="1"/>
  <c r="E48" i="40"/>
  <c r="F48" i="40" s="1"/>
  <c r="E49" i="40"/>
  <c r="F49" i="40" s="1"/>
  <c r="C38" i="35"/>
  <c r="C39" i="35"/>
  <c r="B3" i="35" s="1"/>
  <c r="B2" i="35" s="1"/>
  <c r="E54" i="34"/>
  <c r="F54" i="34" s="1"/>
  <c r="E53" i="34"/>
  <c r="F53" i="34" s="1"/>
  <c r="C43" i="37"/>
  <c r="B3" i="37" s="1"/>
  <c r="B2" i="37" s="1"/>
  <c r="C42" i="37"/>
  <c r="C45" i="40"/>
  <c r="C44" i="40"/>
  <c r="Q69" i="44"/>
  <c r="L58" i="44"/>
  <c r="L61" i="44" s="1"/>
  <c r="C59" i="15"/>
  <c r="C65" i="15"/>
  <c r="B5" i="11"/>
  <c r="B3" i="11"/>
  <c r="B4" i="11"/>
  <c r="C38" i="15"/>
  <c r="C32" i="15"/>
  <c r="C23" i="43"/>
  <c r="D21" i="43" s="1"/>
  <c r="Q67" i="44"/>
  <c r="Q49" i="44"/>
  <c r="Q55" i="44" s="1"/>
  <c r="Q58" i="44"/>
  <c r="C27" i="12"/>
  <c r="D26" i="12" s="1"/>
  <c r="C32" i="12" s="1"/>
  <c r="D30" i="12" s="1"/>
  <c r="C17" i="70"/>
  <c r="C17" i="15"/>
  <c r="B7" i="67"/>
  <c r="S16" i="1" l="1"/>
  <c r="D16" i="6"/>
  <c r="T10" i="1"/>
  <c r="T12" i="1"/>
  <c r="T7" i="1"/>
  <c r="T13" i="1"/>
  <c r="T8" i="1"/>
  <c r="T9" i="1"/>
  <c r="T6" i="1"/>
  <c r="T11" i="1"/>
  <c r="R23" i="6"/>
  <c r="R24" i="6"/>
  <c r="S19" i="6"/>
  <c r="S27" i="6" s="1"/>
  <c r="I27" i="6"/>
  <c r="D27" i="6"/>
  <c r="D31" i="6" s="1"/>
  <c r="R20" i="6"/>
  <c r="R7" i="1" s="1"/>
  <c r="A20" i="64"/>
  <c r="N5" i="54"/>
  <c r="B43" i="63" s="1"/>
  <c r="A6" i="64"/>
  <c r="A20" i="51"/>
  <c r="B15" i="63" s="1"/>
  <c r="A6" i="51"/>
  <c r="B7" i="63" s="1"/>
  <c r="N16" i="1"/>
  <c r="C29" i="43" s="1"/>
  <c r="L16" i="1"/>
  <c r="C13" i="43"/>
  <c r="D7" i="66"/>
  <c r="D8" i="66"/>
  <c r="R21" i="6"/>
  <c r="R8" i="1" s="1"/>
  <c r="R22" i="6"/>
  <c r="R9" i="1" s="1"/>
  <c r="H19" i="6"/>
  <c r="H27" i="6" s="1"/>
  <c r="P14" i="1"/>
  <c r="P16" i="1" s="1"/>
  <c r="C13" i="12" s="1"/>
  <c r="O16" i="1"/>
  <c r="B2" i="67"/>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46"/>
  <c r="D4" i="46"/>
  <c r="B3" i="46"/>
  <c r="J46" i="36"/>
  <c r="Q68" i="44"/>
  <c r="Q77" i="44" s="1"/>
  <c r="Q59" i="44"/>
  <c r="Q64" i="44" s="1"/>
  <c r="M21" i="15"/>
  <c r="C14" i="70"/>
  <c r="F35" i="70"/>
  <c r="C14" i="69"/>
  <c r="M21" i="70"/>
  <c r="C14" i="15"/>
  <c r="C16" i="44"/>
  <c r="F35" i="15"/>
  <c r="F35" i="69"/>
  <c r="M21" i="69"/>
  <c r="J20" i="70" l="1"/>
  <c r="F62" i="70"/>
  <c r="C61" i="70" s="1"/>
  <c r="C34" i="70"/>
  <c r="C18" i="70"/>
  <c r="C15" i="70"/>
  <c r="F62" i="69"/>
  <c r="C61" i="69" s="1"/>
  <c r="C34" i="69"/>
  <c r="J20" i="69"/>
  <c r="J20" i="15"/>
  <c r="F62" i="15"/>
  <c r="C61" i="15" s="1"/>
  <c r="C34" i="15"/>
  <c r="C18" i="69"/>
  <c r="C15" i="69"/>
  <c r="T16" i="1"/>
  <c r="C15" i="15"/>
  <c r="C18" i="15"/>
  <c r="C20" i="44"/>
  <c r="C17" i="44"/>
  <c r="C14" i="43"/>
  <c r="C17" i="43"/>
  <c r="I6" i="6"/>
  <c r="I7" i="6" s="1"/>
  <c r="I5" i="6"/>
  <c r="C17" i="12"/>
  <c r="C14" i="12"/>
  <c r="R19" i="6"/>
  <c r="B3" i="40"/>
  <c r="B5" i="40"/>
  <c r="B4" i="40"/>
  <c r="K46" i="36"/>
  <c r="B3" i="67"/>
  <c r="B4" i="67"/>
  <c r="C11" i="21" l="1"/>
  <c r="C13" i="39"/>
  <c r="C19" i="70"/>
  <c r="C20" i="70" s="1"/>
  <c r="C26" i="70" s="1"/>
  <c r="C19" i="69"/>
  <c r="C20" i="69" s="1"/>
  <c r="C23" i="69" s="1"/>
  <c r="H11" i="21"/>
  <c r="F11" i="21"/>
  <c r="J11" i="21"/>
  <c r="C21" i="44"/>
  <c r="C22" i="44" s="1"/>
  <c r="C28" i="44" s="1"/>
  <c r="C19" i="15"/>
  <c r="C20" i="15" s="1"/>
  <c r="C23" i="15" s="1"/>
  <c r="R27" i="6"/>
  <c r="R6" i="1"/>
  <c r="R16" i="1" s="1"/>
  <c r="C18" i="12"/>
  <c r="C23" i="12" s="1"/>
  <c r="C18" i="43"/>
  <c r="C19" i="43" s="1"/>
  <c r="C25" i="43" s="1"/>
  <c r="C24" i="43" s="1"/>
  <c r="L46" i="36"/>
  <c r="F13" i="39" l="1"/>
  <c r="H13" i="39"/>
  <c r="J13" i="39"/>
  <c r="C23" i="70"/>
  <c r="C29" i="70" s="1"/>
  <c r="C26" i="69"/>
  <c r="C29" i="69" s="1"/>
  <c r="W11" i="21"/>
  <c r="AC11" i="21"/>
  <c r="V48" i="21" s="1"/>
  <c r="I48" i="21" s="1"/>
  <c r="U11" i="21"/>
  <c r="AB11" i="21"/>
  <c r="T48" i="21" s="1"/>
  <c r="G48" i="21" s="1"/>
  <c r="S11" i="21"/>
  <c r="AA11" i="21"/>
  <c r="R48" i="21" s="1"/>
  <c r="C26" i="15"/>
  <c r="C29" i="15" s="1"/>
  <c r="Q50" i="15" s="1"/>
  <c r="C25" i="44"/>
  <c r="C31" i="44" s="1"/>
  <c r="C38" i="44" s="1"/>
  <c r="J14" i="15"/>
  <c r="C22" i="43"/>
  <c r="C21" i="43" s="1"/>
  <c r="C28" i="43" s="1"/>
  <c r="C30" i="43" s="1"/>
  <c r="C32" i="43" s="1"/>
  <c r="B2" i="43" s="1"/>
  <c r="M46" i="36"/>
  <c r="AB13" i="39" l="1"/>
  <c r="T49" i="39" s="1"/>
  <c r="G49" i="39" s="1"/>
  <c r="U13" i="39"/>
  <c r="AC13" i="39"/>
  <c r="V49" i="39" s="1"/>
  <c r="I49" i="39" s="1"/>
  <c r="W13" i="39"/>
  <c r="S13" i="39"/>
  <c r="AA13" i="39"/>
  <c r="R49" i="39" s="1"/>
  <c r="J19" i="70"/>
  <c r="J17" i="70" s="1"/>
  <c r="C13" i="70"/>
  <c r="Q50" i="70"/>
  <c r="C33" i="70"/>
  <c r="C31" i="70" s="1"/>
  <c r="J14" i="70"/>
  <c r="C56" i="70"/>
  <c r="C36" i="70"/>
  <c r="R49" i="21"/>
  <c r="E48" i="21"/>
  <c r="G52" i="21"/>
  <c r="H52" i="21" s="1"/>
  <c r="G53" i="21"/>
  <c r="H53" i="21" s="1"/>
  <c r="I52" i="21"/>
  <c r="J52" i="21" s="1"/>
  <c r="I53" i="21"/>
  <c r="J53" i="21" s="1"/>
  <c r="C56" i="69"/>
  <c r="C13" i="69"/>
  <c r="C33" i="69"/>
  <c r="C31" i="69" s="1"/>
  <c r="C36" i="69"/>
  <c r="J14" i="69"/>
  <c r="J19" i="69"/>
  <c r="J17" i="69" s="1"/>
  <c r="Q50" i="69"/>
  <c r="C56" i="15"/>
  <c r="C60" i="15" s="1"/>
  <c r="C58" i="15" s="1"/>
  <c r="C36" i="15"/>
  <c r="C13" i="15"/>
  <c r="C37" i="15" s="1"/>
  <c r="C33" i="15"/>
  <c r="C31" i="15" s="1"/>
  <c r="J19" i="15"/>
  <c r="J17" i="15" s="1"/>
  <c r="C35" i="44"/>
  <c r="C33" i="44" s="1"/>
  <c r="J21" i="44"/>
  <c r="J19" i="44" s="1"/>
  <c r="C15" i="44"/>
  <c r="Q51" i="44"/>
  <c r="J16" i="44"/>
  <c r="C63" i="15"/>
  <c r="J22" i="15"/>
  <c r="J13" i="15"/>
  <c r="J23" i="15" s="1"/>
  <c r="B3" i="43"/>
  <c r="B5" i="43"/>
  <c r="B4" i="43"/>
  <c r="N46" i="36"/>
  <c r="E49" i="39" l="1"/>
  <c r="R50" i="39"/>
  <c r="I53" i="39"/>
  <c r="J53" i="39" s="1"/>
  <c r="I54" i="39"/>
  <c r="J54" i="39" s="1"/>
  <c r="G53" i="39"/>
  <c r="H53" i="39" s="1"/>
  <c r="G54" i="39"/>
  <c r="H54" i="39" s="1"/>
  <c r="C60" i="70"/>
  <c r="C58" i="70" s="1"/>
  <c r="C63" i="70"/>
  <c r="C37" i="70"/>
  <c r="C30" i="70" s="1"/>
  <c r="C39" i="70" s="1"/>
  <c r="C55" i="70"/>
  <c r="C64" i="70" s="1"/>
  <c r="Q71" i="70"/>
  <c r="J35" i="70"/>
  <c r="J22" i="70"/>
  <c r="J13" i="70"/>
  <c r="J23" i="70" s="1"/>
  <c r="J13" i="69"/>
  <c r="J23" i="69" s="1"/>
  <c r="J22" i="69"/>
  <c r="C60" i="69"/>
  <c r="C58" i="69" s="1"/>
  <c r="C63" i="69"/>
  <c r="C48" i="21"/>
  <c r="C49" i="21"/>
  <c r="B3" i="21" s="1"/>
  <c r="C55" i="69"/>
  <c r="C64" i="69" s="1"/>
  <c r="J35" i="69"/>
  <c r="Q71" i="69"/>
  <c r="C37" i="69"/>
  <c r="C30" i="69" s="1"/>
  <c r="C39" i="69" s="1"/>
  <c r="E52" i="21"/>
  <c r="F52" i="21" s="1"/>
  <c r="E53" i="21"/>
  <c r="F53" i="21" s="1"/>
  <c r="J35" i="15"/>
  <c r="C30" i="15"/>
  <c r="C39" i="15" s="1"/>
  <c r="Q70" i="15" s="1"/>
  <c r="Q71" i="15"/>
  <c r="C55" i="15"/>
  <c r="C64" i="15" s="1"/>
  <c r="C57" i="15" s="1"/>
  <c r="C66" i="15" s="1"/>
  <c r="C67" i="15" s="1"/>
  <c r="J16" i="15"/>
  <c r="J25" i="15" s="1"/>
  <c r="J15" i="44"/>
  <c r="J25" i="44" s="1"/>
  <c r="J24" i="44"/>
  <c r="C43" i="44"/>
  <c r="C39" i="44"/>
  <c r="C32" i="44" s="1"/>
  <c r="C42" i="44" s="1"/>
  <c r="Q72" i="44"/>
  <c r="O46" i="36"/>
  <c r="F7" i="36" s="1"/>
  <c r="J7" i="36"/>
  <c r="H7" i="36"/>
  <c r="L51" i="69"/>
  <c r="L51" i="70"/>
  <c r="C49" i="39" l="1"/>
  <c r="C50" i="39"/>
  <c r="E53" i="39"/>
  <c r="F53" i="39" s="1"/>
  <c r="E54" i="39"/>
  <c r="F54" i="39" s="1"/>
  <c r="J16" i="70"/>
  <c r="J25" i="70" s="1"/>
  <c r="C57" i="70"/>
  <c r="C66" i="70" s="1"/>
  <c r="Q68" i="70"/>
  <c r="J39" i="70"/>
  <c r="J40" i="70" s="1"/>
  <c r="Q70" i="70"/>
  <c r="Q69" i="70" s="1"/>
  <c r="J16" i="69"/>
  <c r="J25" i="69" s="1"/>
  <c r="C40" i="15"/>
  <c r="C46" i="15" s="1"/>
  <c r="Q68" i="69"/>
  <c r="L57" i="69"/>
  <c r="L60" i="69" s="1"/>
  <c r="C40" i="69"/>
  <c r="Q70" i="69"/>
  <c r="Q69" i="69" s="1"/>
  <c r="J39" i="69"/>
  <c r="J40" i="69" s="1"/>
  <c r="C57" i="69"/>
  <c r="C66" i="69" s="1"/>
  <c r="C67" i="69" s="1"/>
  <c r="B2" i="21"/>
  <c r="C8" i="12"/>
  <c r="C10" i="12" s="1"/>
  <c r="Q69" i="15"/>
  <c r="J39" i="15"/>
  <c r="J40" i="15" s="1"/>
  <c r="L57" i="15"/>
  <c r="L60" i="15" s="1"/>
  <c r="J18" i="44"/>
  <c r="J27" i="44" s="1"/>
  <c r="C44" i="44"/>
  <c r="C45" i="44" s="1"/>
  <c r="B2" i="44" s="1"/>
  <c r="Q71" i="44"/>
  <c r="Q70" i="44" s="1"/>
  <c r="C70" i="15"/>
  <c r="W7" i="36"/>
  <c r="AC7" i="36"/>
  <c r="V36" i="36" s="1"/>
  <c r="I36" i="36" s="1"/>
  <c r="AB7" i="36"/>
  <c r="T36" i="36" s="1"/>
  <c r="G36" i="36" s="1"/>
  <c r="U7" i="36"/>
  <c r="S7" i="36"/>
  <c r="AA7" i="36"/>
  <c r="R36" i="36" s="1"/>
  <c r="L51" i="15"/>
  <c r="B64" i="39" l="1"/>
  <c r="F64" i="39" s="1"/>
  <c r="B65" i="39"/>
  <c r="F65" i="39" s="1"/>
  <c r="B58" i="39"/>
  <c r="F58" i="39" s="1"/>
  <c r="B62" i="39"/>
  <c r="F62" i="39" s="1"/>
  <c r="B67" i="39"/>
  <c r="F67" i="39" s="1"/>
  <c r="B66" i="39"/>
  <c r="F66" i="39" s="1"/>
  <c r="B61" i="39"/>
  <c r="F61" i="39" s="1"/>
  <c r="B59" i="39"/>
  <c r="F59" i="39" s="1"/>
  <c r="B63" i="39"/>
  <c r="F63" i="39" s="1"/>
  <c r="B60" i="39"/>
  <c r="F60" i="39" s="1"/>
  <c r="Q68" i="15"/>
  <c r="Q57" i="15"/>
  <c r="Q67" i="15"/>
  <c r="L46" i="15"/>
  <c r="B2" i="15" s="1"/>
  <c r="B3" i="15" s="1"/>
  <c r="E8" i="12" s="1"/>
  <c r="C43" i="15"/>
  <c r="Q58" i="15"/>
  <c r="Q63" i="15" s="1"/>
  <c r="J42" i="15"/>
  <c r="J43" i="15" s="1"/>
  <c r="Q48" i="15"/>
  <c r="Q54" i="15" s="1"/>
  <c r="Q66" i="15"/>
  <c r="Q76" i="15" s="1"/>
  <c r="C70" i="69"/>
  <c r="C46" i="69"/>
  <c r="Q58" i="69"/>
  <c r="Q67" i="69"/>
  <c r="Q66" i="69"/>
  <c r="Q48" i="69"/>
  <c r="Q54" i="69" s="1"/>
  <c r="B2" i="69"/>
  <c r="E10" i="12" s="1"/>
  <c r="Q57" i="69"/>
  <c r="C43" i="69"/>
  <c r="J42" i="69"/>
  <c r="J43" i="69" s="1"/>
  <c r="B5" i="44"/>
  <c r="B4" i="44"/>
  <c r="B3" i="44"/>
  <c r="E36" i="36"/>
  <c r="R37" i="36"/>
  <c r="I40" i="36"/>
  <c r="J40" i="36" s="1"/>
  <c r="I41" i="36"/>
  <c r="J41" i="36" s="1"/>
  <c r="G41" i="36"/>
  <c r="H41" i="36" s="1"/>
  <c r="G40" i="36"/>
  <c r="H40" i="36" s="1"/>
  <c r="F68" i="39" l="1"/>
  <c r="B2" i="39" s="1"/>
  <c r="B3" i="69"/>
  <c r="D8" i="12" s="1"/>
  <c r="D10" i="12"/>
  <c r="Q76" i="69"/>
  <c r="Q63" i="69"/>
  <c r="C37" i="36"/>
  <c r="B3" i="36" s="1"/>
  <c r="B2" i="36" s="1"/>
  <c r="C36" i="36"/>
  <c r="E40" i="36"/>
  <c r="F40" i="36" s="1"/>
  <c r="E41" i="36"/>
  <c r="F41" i="36" s="1"/>
  <c r="AE9" i="1"/>
  <c r="C19" i="9"/>
  <c r="L43" i="9" l="1"/>
  <c r="B3" i="39"/>
  <c r="B4" i="39"/>
  <c r="B5" i="39"/>
  <c r="C20" i="9"/>
  <c r="F41" i="70"/>
  <c r="C21" i="9"/>
  <c r="C40" i="70" l="1"/>
  <c r="C43" i="70" s="1"/>
  <c r="J29" i="70"/>
  <c r="F68" i="70"/>
  <c r="C67" i="70" s="1"/>
  <c r="C70" i="70" s="1"/>
  <c r="B2" i="70" l="1"/>
  <c r="F10" i="12" s="1"/>
  <c r="C6" i="12" s="1"/>
  <c r="C24" i="12" s="1"/>
  <c r="Q66" i="70"/>
  <c r="Q76" i="70" s="1"/>
  <c r="Q48" i="70"/>
  <c r="Q54" i="70" s="1"/>
  <c r="J42" i="70"/>
  <c r="J43" i="70" s="1"/>
  <c r="Q57" i="70"/>
  <c r="Q63" i="70" s="1"/>
  <c r="C46" i="70"/>
  <c r="C29" i="12"/>
  <c r="F8" i="12"/>
  <c r="B3" i="70" l="1"/>
  <c r="C28" i="12"/>
  <c r="C26" i="12" s="1"/>
  <c r="C31" i="12" s="1"/>
  <c r="C30" i="12" s="1"/>
  <c r="C35" i="12"/>
  <c r="C33" i="12" s="1"/>
  <c r="C36" i="12" l="1"/>
  <c r="B2" i="12" s="1"/>
  <c r="B3" i="12" s="1"/>
  <c r="D20" i="9"/>
  <c r="D19" i="9"/>
  <c r="B5" i="12" l="1"/>
  <c r="D27" i="9"/>
  <c r="G19" i="9"/>
  <c r="N43" i="9" s="1"/>
  <c r="D22" i="9"/>
  <c r="L44" i="9"/>
  <c r="B4" i="12"/>
  <c r="G20" i="9"/>
  <c r="D21" i="9"/>
  <c r="C32" i="9" l="1"/>
  <c r="C42" i="9" s="1"/>
  <c r="G22" i="9"/>
  <c r="G21" i="9"/>
  <c r="O38" i="9" l="1"/>
  <c r="K26" i="9" s="1"/>
  <c r="C34" i="9"/>
  <c r="M38" i="9" s="1"/>
  <c r="K27" i="9" s="1"/>
  <c r="O43" i="9"/>
  <c r="C33" i="9"/>
  <c r="N38" i="9" s="1"/>
  <c r="K28" i="9" s="1"/>
  <c r="C35" i="9"/>
  <c r="F42" i="9" s="1"/>
  <c r="D42" i="9"/>
  <c r="Q5" i="54" s="1"/>
  <c r="B47" i="63" s="1"/>
  <c r="K25" i="9"/>
  <c r="E42" i="9"/>
  <c r="P5" i="54" s="1"/>
  <c r="B46" i="63" s="1"/>
  <c r="C44" i="9"/>
  <c r="N68" i="9"/>
  <c r="R5" i="54"/>
  <c r="B48" i="63" s="1"/>
  <c r="D14" i="66"/>
  <c r="D63" i="9"/>
  <c r="F14" i="66" l="1"/>
  <c r="E14" i="66"/>
  <c r="B5" i="66"/>
  <c r="C111" i="9"/>
  <c r="C104" i="9" s="1"/>
  <c r="D77" i="9"/>
  <c r="N75" i="9" s="1"/>
  <c r="C82" i="9"/>
  <c r="C81" i="9" s="1"/>
  <c r="C85" i="9" s="1"/>
  <c r="C86" i="9" s="1"/>
  <c r="D72" i="9" s="1"/>
  <c r="C103" i="9"/>
  <c r="D71" i="9"/>
  <c r="D66" i="9" s="1"/>
  <c r="N72" i="9" s="1"/>
  <c r="D70" i="9"/>
  <c r="C96" i="9"/>
  <c r="C91" i="9" s="1"/>
  <c r="C90" i="9"/>
  <c r="N69" i="9"/>
  <c r="O39" i="9"/>
  <c r="F44" i="9"/>
  <c r="G14" i="66"/>
  <c r="B6" i="66" s="1"/>
  <c r="E44" i="9"/>
  <c r="D44" i="9"/>
  <c r="C113" i="9" l="1"/>
  <c r="M86" i="9"/>
  <c r="N86" i="9" s="1"/>
  <c r="M88" i="9"/>
  <c r="N88" i="9" s="1"/>
  <c r="M85" i="9"/>
  <c r="N85" i="9" s="1"/>
  <c r="M84" i="9"/>
  <c r="N84" i="9" s="1"/>
  <c r="M87" i="9"/>
  <c r="N87" i="9" s="1"/>
  <c r="M83" i="9"/>
  <c r="N83" i="9" s="1"/>
  <c r="D6" i="66"/>
  <c r="C6" i="66"/>
  <c r="K29" i="9"/>
  <c r="K30" i="9" s="1"/>
  <c r="R6" i="54"/>
  <c r="B50" i="63" s="1"/>
  <c r="C97" i="9"/>
  <c r="C114" i="9"/>
  <c r="E114" i="9" s="1"/>
  <c r="E115" i="9" s="1"/>
  <c r="C5" i="66"/>
  <c r="D5" i="66"/>
  <c r="N89" i="9" l="1"/>
  <c r="O89" i="9" s="1"/>
  <c r="C115" i="9"/>
  <c r="D76" i="9" s="1"/>
  <c r="D74" i="9" s="1"/>
  <c r="N74" i="9" s="1"/>
  <c r="O77" i="9" s="1"/>
  <c r="Q77" i="9" s="1"/>
  <c r="C98" i="9"/>
  <c r="E98" i="9" s="1"/>
  <c r="E99" i="9" s="1"/>
  <c r="O78" i="9" l="1"/>
  <c r="O79" i="9"/>
  <c r="O81" i="9" s="1"/>
  <c r="C99"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<sst xmlns="http://schemas.openxmlformats.org/spreadsheetml/2006/main" count="7956" uniqueCount="3195">
  <si>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</si>
  <si>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</si>
  <si>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</si>
  <si>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</si>
  <si>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</si>
  <si>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</si>
  <si>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</si>
  <si>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</si>
  <si>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</si>
  <si>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</si>
  <si>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</si>
  <si>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</si>
  <si>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</si>
  <si>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</si>
  <si>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</si>
  <si>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</si>
  <si>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</si>
  <si>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</si>
  <si>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</si>
  <si>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</si>
  <si>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</si>
  <si>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</si>
  <si>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</si>
  <si>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</si>
  <si>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</si>
  <si>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</si>
  <si>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</si>
  <si>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</si>
  <si>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</si>
  <si>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</si>
  <si>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</si>
  <si>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</si>
  <si>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</si>
  <si>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</si>
  <si>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</si>
  <si>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</si>
  <si>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</si>
  <si>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</si>
  <si>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</si>
  <si>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</si>
  <si>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</si>
  <si>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</si>
  <si>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</si>
  <si>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</si>
  <si>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</si>
  <si>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</si>
  <si>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</si>
  <si>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</si>
  <si>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</si>
  <si>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</si>
  <si>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</si>
  <si>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</si>
  <si>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</si>
  <si>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</si>
  <si>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</si>
  <si>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</si>
  <si>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</si>
  <si>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</si>
  <si>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</si>
  <si>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</si>
  <si>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</si>
  <si>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</si>
  <si>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</si>
  <si>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</si>
  <si>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</si>
  <si>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</si>
  <si>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</si>
  <si>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</si>
  <si>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</si>
  <si>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</si>
  <si>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</si>
  <si>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</si>
  <si>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</si>
  <si>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</si>
  <si>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</si>
  <si>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</si>
  <si>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</si>
  <si>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</si>
  <si>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</si>
  <si>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</si>
  <si>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</si>
  <si>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</si>
  <si>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</si>
  <si>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</si>
  <si>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</si>
  <si>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</si>
  <si>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</si>
  <si>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</si>
  <si>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</si>
  <si>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</si>
  <si>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</si>
  <si>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</si>
  <si>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</si>
  <si>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</si>
  <si>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</si>
  <si>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</si>
  <si>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</si>
  <si>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</si>
  <si>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</si>
  <si>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</si>
  <si>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</si>
  <si>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</si>
  <si>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</si>
  <si>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</si>
  <si>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</si>
  <si>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</si>
  <si>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</si>
  <si>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</si>
  <si>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</si>
  <si>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</si>
  <si>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</si>
  <si>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</si>
  <si>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</si>
  <si>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</si>
  <si>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</si>
  <si>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</si>
  <si>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</si>
  <si>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</si>
  <si>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</si>
  <si>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</si>
  <si>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</si>
  <si>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</si>
  <si>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</si>
  <si>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</si>
  <si>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</si>
  <si>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</si>
  <si>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</si>
  <si>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</si>
  <si>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</si>
  <si>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</si>
  <si>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</si>
  <si>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</si>
  <si>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</si>
  <si>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</si>
  <si>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</si>
  <si>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</si>
  <si>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</si>
  <si>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</si>
  <si>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</si>
  <si>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</si>
  <si>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</si>
  <si>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</si>
  <si>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</si>
  <si>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</si>
  <si>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</si>
  <si>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</si>
  <si>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</si>
  <si>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</si>
  <si>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</si>
  <si>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</si>
  <si>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</si>
  <si>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</si>
  <si>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</si>
  <si>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</si>
  <si>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</si>
  <si>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</si>
  <si>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</si>
  <si>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</si>
  <si>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</si>
  <si>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</si>
  <si>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</si>
  <si>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</si>
  <si>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</si>
  <si>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</si>
  <si>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</si>
  <si>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</si>
  <si>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</si>
  <si>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</si>
  <si>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</si>
  <si>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</si>
  <si>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</si>
  <si>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</si>
  <si>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</si>
  <si>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</si>
  <si>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</si>
  <si>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</si>
  <si>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</si>
  <si>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</si>
  <si>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</si>
  <si>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</si>
  <si>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</si>
  <si>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</si>
  <si>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</si>
  <si>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</si>
  <si>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</si>
  <si>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</si>
  <si>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</si>
  <si>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</si>
  <si>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</si>
  <si>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</si>
  <si>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</si>
  <si>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</si>
  <si>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</si>
  <si>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</si>
  <si>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</si>
  <si>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</si>
  <si>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</si>
  <si>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</si>
  <si>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</si>
  <si>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</si>
  <si>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</si>
  <si>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</si>
  <si>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</si>
  <si>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</si>
  <si>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</si>
  <si>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</si>
  <si>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</si>
  <si>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</si>
  <si>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</si>
  <si>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</si>
  <si>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</si>
  <si>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</si>
  <si>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</si>
  <si>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</si>
  <si>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</si>
  <si>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</si>
  <si>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</si>
  <si>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</si>
  <si>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</si>
  <si>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</si>
  <si>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</si>
  <si>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</si>
  <si>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</si>
  <si>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</si>
  <si>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</si>
  <si>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</si>
  <si>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</si>
  <si>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</si>
  <si>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</si>
  <si>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</si>
  <si>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</si>
  <si>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</si>
  <si>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</si>
  <si>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</si>
  <si>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</si>
  <si>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</si>
  <si>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</si>
  <si>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</si>
  <si>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</si>
  <si>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</si>
  <si>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</si>
  <si>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</si>
  <si>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</si>
  <si>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</si>
  <si>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</si>
  <si>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</si>
  <si>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</si>
  <si>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</si>
  <si>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</si>
  <si>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</si>
  <si>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</si>
  <si>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</si>
  <si>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</si>
  <si>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</si>
  <si>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</si>
  <si>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</si>
  <si>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</si>
  <si>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</si>
  <si>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</si>
  <si>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</si>
  <si>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</si>
  <si>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</si>
  <si>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</si>
  <si>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</si>
  <si>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</si>
  <si>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</si>
  <si>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</si>
  <si>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</si>
  <si>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</si>
  <si>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</si>
  <si>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</si>
  <si>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</si>
  <si>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</si>
  <si>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</si>
  <si>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</si>
  <si>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</si>
  <si>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</si>
  <si>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</si>
  <si>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</si>
  <si>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</si>
  <si>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</si>
  <si>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</si>
  <si>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</si>
  <si>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</si>
  <si>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</si>
  <si>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</si>
  <si>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</si>
  <si>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</si>
  <si>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</si>
  <si>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</si>
  <si>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</si>
  <si>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</si>
  <si>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</si>
  <si>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</si>
  <si>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</si>
  <si>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</si>
  <si>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</si>
  <si>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</si>
  <si>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</si>
  <si>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</si>
  <si>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</si>
  <si>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</si>
  <si>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</si>
  <si>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</si>
  <si>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</si>
  <si>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</si>
  <si>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</si>
  <si>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</si>
  <si>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</si>
  <si>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</si>
  <si>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</si>
  <si>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</si>
  <si>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</si>
  <si>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</si>
  <si>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</si>
  <si>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</si>
  <si>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</si>
  <si>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</si>
  <si>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</si>
  <si>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</si>
  <si>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</si>
  <si>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</si>
  <si>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</si>
  <si>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</si>
  <si>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</si>
  <si>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</si>
  <si>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</si>
  <si>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</si>
  <si>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</si>
  <si>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</si>
  <si>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</si>
  <si>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</si>
  <si>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</si>
  <si>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</si>
  <si>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</si>
  <si>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</si>
  <si>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</si>
  <si>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</si>
  <si>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</si>
  <si>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</si>
  <si>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</si>
  <si>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</si>
  <si>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</si>
  <si>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</si>
  <si>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</si>
  <si>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</si>
  <si>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</si>
  <si>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</si>
  <si>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</si>
  <si>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</si>
  <si>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</si>
  <si>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</si>
  <si>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</si>
  <si>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</si>
  <si>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</si>
  <si>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</si>
  <si>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</si>
  <si>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</si>
  <si>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</si>
  <si>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</si>
  <si>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</si>
  <si>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</si>
  <si>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</si>
  <si>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</si>
  <si>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</si>
  <si>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</si>
  <si>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</si>
  <si>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</si>
  <si>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</si>
  <si>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</si>
  <si>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</si>
  <si>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</si>
  <si>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</si>
  <si>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</si>
  <si>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</si>
  <si>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</si>
  <si>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</si>
  <si>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</si>
  <si>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</si>
  <si>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</si>
  <si>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</si>
  <si>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</si>
  <si>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</si>
  <si>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</si>
  <si>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</si>
  <si>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</si>
  <si>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</si>
  <si>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</si>
  <si>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</si>
  <si>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</si>
  <si>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</si>
  <si>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</si>
  <si>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</si>
  <si>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</si>
  <si>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</si>
  <si>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</si>
  <si>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</si>
  <si>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</si>
  <si>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</si>
  <si>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</si>
  <si>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</si>
  <si>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</si>
  <si>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</si>
  <si>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</si>
  <si>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</si>
  <si>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</si>
  <si>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</si>
  <si>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</si>
  <si>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</si>
  <si>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</si>
  <si>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</si>
  <si>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</si>
  <si>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</si>
  <si>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</si>
  <si>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</si>
  <si>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</si>
  <si>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</si>
  <si>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</si>
  <si>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</si>
  <si>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</si>
  <si>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</si>
  <si>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</si>
  <si>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</si>
  <si>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</si>
  <si>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</si>
  <si>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</si>
  <si>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</si>
  <si>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</si>
  <si>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</si>
  <si>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</si>
  <si>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</si>
  <si>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</si>
  <si>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</si>
  <si>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</si>
  <si>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</si>
  <si>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</si>
  <si>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</si>
  <si>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</si>
  <si>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</si>
  <si>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</si>
  <si>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</si>
  <si>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</si>
  <si>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</si>
  <si>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</si>
  <si>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</si>
  <si>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</si>
  <si>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</si>
  <si>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</si>
  <si>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</si>
  <si>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</si>
  <si>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</si>
  <si>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</si>
  <si>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</si>
  <si>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</si>
  <si>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</si>
  <si>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</si>
  <si>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</si>
  <si>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</si>
  <si>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</si>
  <si>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</si>
  <si>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</si>
  <si>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</si>
  <si>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</si>
  <si>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</si>
  <si>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</si>
  <si>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</si>
  <si>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</si>
  <si>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</si>
  <si>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</si>
  <si>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</si>
  <si>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</si>
  <si>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</si>
  <si>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</si>
  <si>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</si>
  <si>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</si>
  <si>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</si>
  <si>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</si>
  <si>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</si>
  <si>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</si>
  <si>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</si>
  <si>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</si>
  <si>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</si>
  <si>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</si>
  <si>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</si>
  <si>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</si>
  <si>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</si>
  <si>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</si>
  <si>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</si>
  <si>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</si>
  <si>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</si>
  <si>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</si>
  <si>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</si>
  <si>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</si>
  <si>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</si>
  <si>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</si>
  <si>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</si>
  <si>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</si>
  <si>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</si>
  <si>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</si>
  <si>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</si>
  <si>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</si>
  <si>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</si>
  <si>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</si>
  <si>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</si>
  <si>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</si>
  <si>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</si>
  <si>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</si>
  <si>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</si>
  <si>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</si>
  <si>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</si>
  <si>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</si>
  <si>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</si>
  <si>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</si>
  <si>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</si>
  <si>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</si>
  <si>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</si>
  <si>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</si>
  <si>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</si>
  <si>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</si>
  <si>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</si>
  <si>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</si>
  <si>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</si>
  <si>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</si>
  <si>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</si>
  <si>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</si>
  <si>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</si>
  <si>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</si>
  <si>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</si>
  <si>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</si>
  <si>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</si>
  <si>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</si>
  <si>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</si>
  <si>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</si>
  <si>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</si>
  <si>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</si>
  <si>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</si>
  <si>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</si>
  <si>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</si>
  <si>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</si>
  <si>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</si>
  <si>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</si>
  <si>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</si>
  <si>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</si>
  <si>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</si>
  <si>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</si>
  <si>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</si>
  <si>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</si>
  <si>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</si>
  <si>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</si>
  <si>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</si>
  <si>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</si>
  <si>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</si>
  <si>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</si>
  <si>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</si>
  <si>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</si>
  <si>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</si>
  <si>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</si>
  <si>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</si>
  <si>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</si>
  <si>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</si>
  <si>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</si>
  <si>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</si>
  <si>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</si>
  <si>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</si>
  <si>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</si>
  <si>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</si>
  <si>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</si>
  <si>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</si>
  <si>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</si>
  <si>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</si>
  <si>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</si>
  <si>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</si>
  <si>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</si>
  <si>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</si>
  <si>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</si>
  <si>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</si>
  <si>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</si>
  <si>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</si>
  <si>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</si>
  <si>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</si>
  <si>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</si>
  <si>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</si>
  <si>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</si>
  <si>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</si>
  <si>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</si>
  <si>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</si>
  <si>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</si>
  <si>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</si>
  <si>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</si>
  <si>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</si>
  <si>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</si>
  <si>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</si>
  <si>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</si>
  <si>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</si>
  <si>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</si>
  <si>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</si>
  <si>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</si>
  <si>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</si>
  <si>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</si>
  <si>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</si>
  <si>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</si>
  <si>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</si>
  <si>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</si>
  <si>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</si>
  <si>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</si>
  <si>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</si>
  <si>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</si>
  <si>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</si>
  <si>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</si>
  <si>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</si>
  <si>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</si>
  <si>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</si>
  <si>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</si>
  <si>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</si>
  <si>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</si>
  <si>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</si>
  <si>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</si>
  <si>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</si>
  <si>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</si>
  <si>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</si>
  <si>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</si>
  <si>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</si>
  <si>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</si>
  <si>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</si>
  <si>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</si>
  <si>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</si>
  <si>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</si>
  <si>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</si>
  <si>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</si>
  <si>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</si>
  <si>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</si>
  <si>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</si>
  <si>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</si>
  <si>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</si>
  <si>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</si>
  <si>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</si>
  <si>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</si>
  <si>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</si>
  <si>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</si>
  <si>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</si>
  <si>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</si>
  <si>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</si>
  <si>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</si>
  <si>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</si>
  <si>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</si>
  <si>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</si>
  <si>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</si>
  <si>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</si>
  <si>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</si>
  <si>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</si>
  <si>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</si>
  <si>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</si>
  <si>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</si>
  <si>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</si>
  <si>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</si>
  <si>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</si>
  <si>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</si>
  <si>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</si>
  <si>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</si>
  <si>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</si>
  <si>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</si>
  <si>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</si>
  <si>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</si>
  <si>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</si>
  <si>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</si>
  <si>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</si>
  <si>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</si>
  <si>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</si>
  <si>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</si>
  <si>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</si>
  <si>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</si>
  <si>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</si>
  <si>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</si>
  <si>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</si>
  <si>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</si>
  <si>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</si>
  <si>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</si>
  <si>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</si>
  <si>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</si>
  <si>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</si>
  <si>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</si>
  <si>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</si>
  <si>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</si>
  <si>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</si>
  <si>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</si>
  <si>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</si>
  <si>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</si>
  <si>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</si>
  <si>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</si>
  <si>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</si>
  <si>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</si>
  <si>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</si>
  <si>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</si>
  <si>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</si>
  <si>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</si>
  <si>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</si>
  <si>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</si>
  <si>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</si>
  <si>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</si>
  <si>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</si>
  <si>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</si>
  <si>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</si>
  <si>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</si>
  <si>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</si>
  <si>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</si>
  <si>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</si>
  <si>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</si>
  <si>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</si>
  <si>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</si>
  <si>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</si>
  <si>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</si>
  <si>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</si>
  <si>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</si>
  <si>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</si>
  <si>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</si>
  <si>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</si>
  <si>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</si>
  <si>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</si>
  <si>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</si>
  <si>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</si>
  <si>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</si>
  <si>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</si>
  <si>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</si>
  <si>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</si>
  <si>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</si>
  <si>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</si>
  <si>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</si>
  <si>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</si>
  <si>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</si>
  <si>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</si>
  <si>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</si>
  <si>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</si>
  <si>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</si>
  <si>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</si>
  <si>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</si>
  <si>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</si>
  <si>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</si>
  <si>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</si>
  <si>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</si>
  <si>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</si>
  <si>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</si>
  <si>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</si>
  <si>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</si>
  <si>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</si>
  <si>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</si>
  <si>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</si>
  <si>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</si>
  <si>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</si>
  <si>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</si>
  <si>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</si>
  <si>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</si>
  <si>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</si>
  <si>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</si>
  <si>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</si>
  <si>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</si>
  <si>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</si>
  <si>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</si>
  <si>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</si>
  <si>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</si>
  <si>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</si>
  <si>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</si>
  <si>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</si>
  <si>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</si>
  <si>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</si>
  <si>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</si>
  <si>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</si>
  <si>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</si>
  <si>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</si>
  <si>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</si>
  <si>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</si>
  <si>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</si>
  <si>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</si>
  <si>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</si>
  <si>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</si>
  <si>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</si>
  <si>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</si>
  <si>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</si>
  <si>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</si>
  <si>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</si>
  <si>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</si>
  <si>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</si>
  <si>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</si>
  <si>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</si>
  <si>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</si>
  <si>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</si>
  <si>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</si>
  <si>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</si>
  <si>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</si>
  <si>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</si>
  <si>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</si>
  <si>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</si>
  <si>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</si>
  <si>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</si>
  <si>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</si>
  <si>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</si>
  <si>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</si>
  <si>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</si>
  <si>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</si>
  <si>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</si>
  <si>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</si>
  <si>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</si>
  <si>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</si>
  <si>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</si>
  <si>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</si>
  <si>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</si>
  <si>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</si>
  <si>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</si>
  <si>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</si>
  <si>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</si>
  <si>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</si>
  <si>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</si>
  <si>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</si>
  <si>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</si>
  <si>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</si>
  <si>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</si>
  <si>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</si>
  <si>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</si>
  <si>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</si>
  <si>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</si>
  <si>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</si>
  <si>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</si>
  <si>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</si>
  <si>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</si>
  <si>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</si>
  <si>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</si>
  <si>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</si>
  <si>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</si>
  <si>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</si>
  <si>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</si>
  <si>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</si>
  <si>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</si>
  <si>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</si>
  <si>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</si>
  <si>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</si>
  <si>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</si>
  <si>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</si>
  <si>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</si>
  <si>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</si>
  <si>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</si>
  <si>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</si>
  <si>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</si>
  <si>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</si>
  <si>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</si>
  <si>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</si>
  <si>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</si>
  <si>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</si>
  <si>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</si>
  <si>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</si>
  <si>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</si>
  <si>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</si>
  <si>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</si>
  <si>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</si>
  <si>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</si>
  <si>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</si>
  <si>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</si>
  <si>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</si>
  <si>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</si>
  <si>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</si>
  <si>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</si>
  <si>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</si>
  <si>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</si>
  <si>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</si>
  <si>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</si>
  <si>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</si>
  <si>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</si>
  <si>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</si>
  <si>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</si>
  <si>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</si>
  <si>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</si>
  <si>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</si>
  <si>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</si>
  <si>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</si>
  <si>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</si>
  <si>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</si>
  <si>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</si>
  <si>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</si>
  <si>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</si>
  <si>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</si>
  <si>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</si>
  <si>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</si>
  <si>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</si>
  <si>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</si>
  <si>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</si>
  <si>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</si>
  <si>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</si>
  <si>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</si>
  <si>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</si>
  <si>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</si>
  <si>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</si>
  <si>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</si>
  <si>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</si>
  <si>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</si>
  <si>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</si>
  <si>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</si>
  <si>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</si>
  <si>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</si>
  <si>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</si>
  <si>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</si>
  <si>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</si>
  <si>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</si>
  <si>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</si>
  <si>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</si>
  <si>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</si>
  <si>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</si>
  <si>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</si>
  <si>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</si>
  <si>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</si>
  <si>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</si>
  <si>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</si>
  <si>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</si>
  <si>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</si>
  <si>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</si>
  <si>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</si>
  <si>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</si>
  <si>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</si>
  <si>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</si>
  <si>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</si>
  <si>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</si>
  <si>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</si>
  <si>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</si>
  <si>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</si>
  <si>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</si>
  <si>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</si>
  <si>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</si>
  <si>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</si>
  <si>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</si>
  <si>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</si>
  <si>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</si>
  <si>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</si>
  <si>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</si>
  <si>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</si>
  <si>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</si>
  <si>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</si>
  <si>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</si>
  <si>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</si>
  <si>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</si>
  <si>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</si>
  <si>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</si>
  <si>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</si>
  <si>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</si>
  <si>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</si>
  <si>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</si>
  <si>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</si>
  <si>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</si>
  <si>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</si>
  <si>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</si>
  <si>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</si>
  <si>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</si>
  <si>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</si>
  <si>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</si>
  <si>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</si>
  <si>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</si>
  <si>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</si>
  <si>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</si>
  <si>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</si>
  <si>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</si>
  <si>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</si>
  <si>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</si>
  <si>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</si>
  <si>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</si>
  <si>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</si>
  <si>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</si>
  <si>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</si>
  <si>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</si>
  <si>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</si>
  <si>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</si>
  <si>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</si>
  <si>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</si>
  <si>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</si>
  <si>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</si>
  <si>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</si>
  <si>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</si>
  <si>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</si>
  <si>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</si>
  <si>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</si>
  <si>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</si>
  <si>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</si>
  <si>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</si>
  <si>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</si>
  <si>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</si>
  <si>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</si>
  <si>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</si>
  <si>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</si>
  <si>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</si>
  <si>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</si>
  <si>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</si>
  <si>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</si>
  <si>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</si>
  <si>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</si>
  <si>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</si>
  <si>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</si>
  <si>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</si>
  <si>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</si>
  <si>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</si>
  <si>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</si>
  <si>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</si>
  <si>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</si>
  <si>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</si>
  <si>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</si>
  <si>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</si>
  <si>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</si>
  <si>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</si>
  <si>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</si>
  <si>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</si>
  <si>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</si>
  <si>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</si>
  <si>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</si>
  <si>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</si>
  <si>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</si>
  <si>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</si>
  <si>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</si>
  <si>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</si>
  <si>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</si>
  <si>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</si>
  <si>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</si>
  <si>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</si>
  <si>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</si>
  <si>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</si>
  <si>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</si>
  <si>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</si>
  <si>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</si>
  <si>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</si>
  <si>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</si>
  <si>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</si>
  <si>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</si>
  <si>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</si>
  <si>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</si>
  <si>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</si>
  <si>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</si>
  <si>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</si>
  <si>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</si>
  <si>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</si>
  <si>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</si>
  <si>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</si>
  <si>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</si>
  <si>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</si>
  <si>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</si>
  <si>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</si>
  <si>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</si>
  <si>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</si>
  <si>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</si>
  <si>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</si>
  <si>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</si>
  <si>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</si>
  <si>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</si>
  <si>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</si>
  <si>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</si>
  <si>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</si>
  <si>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</si>
  <si>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</si>
  <si>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</si>
  <si>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</si>
  <si>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</si>
  <si>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</si>
  <si>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</si>
  <si>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</si>
  <si>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</si>
  <si>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</si>
  <si>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</si>
  <si>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</si>
  <si>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</si>
  <si>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</si>
  <si>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</si>
  <si>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</si>
  <si>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</si>
  <si>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</si>
  <si>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</si>
  <si>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</si>
  <si>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</si>
  <si>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</si>
  <si>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</si>
  <si>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</si>
  <si>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</si>
  <si>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</si>
  <si>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</si>
  <si>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</si>
  <si>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</si>
  <si>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</si>
  <si>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</si>
  <si>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</si>
  <si>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</si>
  <si>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</si>
  <si>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</si>
  <si>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</si>
  <si>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</si>
  <si>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</si>
  <si>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</si>
  <si>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</si>
  <si>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</si>
  <si>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</si>
  <si>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</si>
  <si>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</si>
  <si>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</si>
  <si>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</si>
  <si>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</si>
  <si>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</si>
  <si>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</si>
  <si>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</si>
  <si>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</si>
  <si>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</si>
  <si>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</si>
  <si>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</si>
  <si>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</si>
  <si>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</si>
  <si>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</si>
  <si>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</si>
  <si>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</si>
  <si>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</si>
  <si>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</si>
  <si>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</si>
  <si>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</si>
  <si>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</si>
  <si>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</si>
  <si>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</si>
  <si>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</si>
  <si>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</si>
  <si>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</si>
  <si>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</si>
  <si>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</si>
  <si>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</si>
  <si>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</si>
  <si>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</si>
  <si>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</si>
  <si>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</si>
  <si>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</si>
  <si>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</si>
  <si>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</si>
  <si>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</si>
  <si>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</si>
  <si>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</si>
  <si>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</si>
  <si>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</si>
  <si>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</si>
  <si>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</si>
  <si>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</si>
  <si>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</si>
  <si>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</si>
  <si>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</si>
  <si>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</si>
  <si>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</si>
  <si>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</si>
  <si>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</si>
  <si>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</si>
  <si>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</si>
  <si>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</si>
  <si>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</si>
  <si>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</si>
  <si>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</si>
  <si>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</si>
  <si>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</si>
  <si>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</si>
  <si>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</si>
  <si>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</si>
  <si>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</si>
  <si>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</si>
  <si>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</si>
  <si>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</si>
  <si>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</si>
  <si>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</si>
  <si>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</si>
  <si>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</si>
  <si>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</si>
  <si>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</si>
  <si>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</si>
  <si>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</si>
  <si>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</si>
  <si>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</si>
  <si>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</si>
  <si>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</si>
  <si>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</si>
  <si>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</si>
  <si>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</si>
  <si>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</si>
  <si>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</si>
  <si>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</si>
  <si>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</si>
  <si>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</si>
  <si>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</si>
  <si>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</si>
  <si>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</si>
  <si>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</si>
  <si>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</si>
  <si>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</si>
  <si>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</si>
  <si>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</si>
  <si>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</si>
  <si>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</si>
  <si>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</si>
  <si>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</si>
  <si>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</si>
  <si>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</si>
  <si>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</si>
  <si>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</si>
  <si>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</si>
  <si>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</si>
  <si>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</si>
  <si>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</si>
  <si>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</si>
  <si>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</si>
  <si>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</si>
  <si>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</si>
  <si>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</si>
  <si>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</si>
  <si>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</si>
  <si>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</si>
  <si>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</si>
  <si>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</si>
  <si>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</si>
  <si>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</si>
  <si>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</si>
  <si>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</si>
  <si>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</si>
  <si>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</si>
  <si>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</si>
  <si>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</si>
  <si>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</si>
  <si>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</si>
  <si>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</si>
  <si>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</si>
  <si>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</si>
  <si>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</si>
  <si>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</si>
  <si>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</si>
  <si>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</si>
  <si>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</si>
  <si>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</si>
  <si>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</si>
  <si>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</si>
  <si>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</si>
  <si>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</si>
  <si>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</si>
  <si>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</si>
  <si>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</si>
  <si>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</si>
  <si>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</si>
  <si>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</si>
  <si>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</si>
  <si>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</si>
  <si>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</si>
  <si>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</si>
  <si>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</si>
  <si>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</si>
  <si>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</si>
  <si>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</si>
  <si>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</si>
  <si>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</si>
  <si>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</si>
  <si>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</si>
  <si>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</si>
  <si>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</si>
  <si>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</si>
  <si>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</si>
  <si>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</si>
  <si>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</si>
  <si>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</si>
  <si>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</si>
  <si>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</si>
  <si>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</si>
  <si>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</si>
  <si>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</si>
  <si>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</si>
  <si>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</si>
  <si>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</si>
  <si>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</si>
  <si>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</si>
  <si>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</si>
  <si>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</si>
  <si>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</si>
  <si>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</si>
  <si>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</si>
  <si>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</si>
  <si>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</si>
  <si>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</si>
  <si>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</si>
  <si>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</si>
  <si>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</si>
  <si>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</si>
  <si>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</si>
  <si>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</si>
  <si>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</si>
  <si>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</si>
  <si>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</si>
  <si>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</si>
  <si>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</si>
  <si>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</si>
  <si>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</si>
  <si>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</si>
  <si>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</si>
  <si>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</si>
  <si>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</si>
  <si>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</si>
  <si>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</si>
  <si>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</si>
  <si>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</si>
  <si>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</si>
  <si>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</si>
  <si>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</si>
  <si>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</si>
  <si>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</si>
  <si>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</si>
  <si>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</si>
  <si>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</si>
  <si>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</si>
  <si>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</si>
  <si>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</si>
  <si>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</si>
  <si>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</si>
  <si>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</si>
  <si>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</si>
  <si>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</si>
  <si>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</si>
  <si>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</si>
  <si>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</si>
  <si>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</si>
  <si>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</si>
  <si>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</si>
  <si>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</si>
  <si>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</si>
  <si>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</si>
  <si>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</si>
  <si>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</si>
  <si>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</si>
  <si>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</si>
  <si>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</si>
  <si>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</si>
  <si>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</si>
  <si>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</si>
  <si>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</si>
  <si>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</si>
  <si>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</si>
  <si>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</si>
  <si>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</si>
  <si>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</si>
  <si>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</si>
  <si>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</si>
  <si>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</si>
  <si>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</si>
  <si>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</si>
  <si>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</si>
  <si>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</si>
  <si>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</si>
  <si>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</si>
  <si>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</si>
  <si>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</si>
  <si>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</si>
  <si>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</si>
  <si>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</si>
  <si>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</si>
  <si>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</si>
  <si>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</si>
  <si>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</si>
  <si>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</si>
  <si>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</si>
  <si>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</si>
  <si>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</si>
  <si>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</si>
  <si>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</si>
  <si>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</si>
  <si>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</si>
  <si>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</si>
  <si>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</si>
  <si>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</si>
  <si>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</si>
  <si>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</si>
  <si>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</si>
  <si>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</si>
  <si>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</si>
  <si>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</si>
  <si>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</si>
  <si>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</si>
  <si>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</si>
  <si>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</si>
  <si>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</si>
  <si>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</si>
  <si>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</si>
  <si>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</si>
  <si>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</si>
  <si>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</si>
  <si>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</si>
  <si>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</si>
  <si>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</si>
  <si>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</si>
  <si>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</si>
  <si>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</si>
  <si>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</si>
  <si>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</si>
  <si>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</si>
  <si>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</si>
  <si>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</si>
  <si>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</si>
  <si>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</si>
  <si>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</si>
  <si>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</si>
  <si>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</si>
  <si>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</si>
  <si>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</si>
  <si>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</si>
  <si>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</si>
  <si>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</si>
  <si>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</si>
  <si>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</si>
  <si>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</si>
  <si>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</si>
  <si>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</si>
  <si>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</si>
  <si>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</si>
  <si>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</si>
  <si>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</si>
  <si>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</si>
  <si>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</si>
  <si>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</si>
  <si>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</si>
  <si>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</si>
  <si>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</si>
  <si>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</si>
  <si>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</si>
  <si>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</si>
  <si>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</si>
  <si>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</si>
  <si>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</si>
  <si>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</si>
  <si>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</si>
  <si>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</si>
  <si>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</si>
  <si>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</si>
  <si>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</si>
  <si>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</si>
  <si>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</si>
  <si>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</si>
  <si>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</si>
  <si>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</si>
  <si>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</si>
  <si>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</si>
  <si>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</si>
  <si>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</si>
  <si>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</si>
  <si>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</si>
  <si>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</si>
  <si>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</si>
  <si>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</si>
  <si>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</si>
  <si>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</si>
  <si>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</si>
  <si>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</si>
  <si>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</si>
  <si>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</si>
  <si>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</si>
  <si>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</si>
  <si>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</si>
  <si>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</si>
  <si>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</si>
  <si>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</si>
  <si>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</si>
  <si>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</si>
  <si>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</si>
  <si>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</si>
  <si>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</si>
  <si>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</si>
  <si>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</si>
  <si>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</si>
  <si>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</si>
  <si>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</si>
  <si>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</si>
  <si>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</si>
  <si>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</si>
  <si>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</si>
  <si>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</si>
  <si>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</si>
  <si>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</si>
  <si>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</si>
  <si>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</si>
  <si>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</si>
  <si>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</si>
  <si>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</si>
  <si>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</si>
  <si>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</si>
  <si>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</si>
  <si>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</si>
  <si>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</si>
  <si>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</si>
  <si>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</si>
  <si>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</si>
  <si>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</si>
  <si>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</si>
  <si>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</si>
  <si>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</si>
  <si>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</si>
  <si>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</si>
  <si>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</si>
  <si>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</si>
  <si>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</si>
  <si>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</si>
  <si>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</si>
  <si>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</si>
  <si>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</si>
  <si>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</si>
  <si>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</si>
  <si>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</si>
  <si>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</si>
  <si>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</si>
  <si>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</si>
  <si>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</si>
  <si>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</si>
  <si>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</si>
  <si>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</si>
  <si>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</si>
  <si>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</si>
  <si>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</si>
  <si>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</si>
  <si>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</si>
  <si>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</si>
  <si>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</si>
  <si>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</si>
  <si>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</si>
  <si>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</si>
  <si>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</si>
  <si>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</si>
  <si>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</si>
  <si>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</si>
  <si>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</si>
  <si>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</si>
  <si>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</si>
  <si>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</si>
  <si>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</si>
  <si>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</si>
  <si>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</si>
  <si>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</si>
  <si>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</si>
  <si>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</si>
  <si>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</si>
  <si>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</si>
  <si>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</si>
  <si>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</si>
  <si>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</si>
  <si>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</si>
  <si>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</si>
  <si>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</si>
  <si>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</si>
  <si>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</si>
  <si>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</si>
  <si>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</si>
  <si>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</si>
  <si>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</si>
  <si>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</si>
  <si>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</si>
  <si>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</si>
  <si>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</si>
  <si>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</si>
  <si>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</si>
  <si>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</si>
  <si>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</si>
  <si>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</si>
  <si>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</si>
  <si>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</si>
  <si>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</si>
  <si>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</si>
  <si>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</si>
  <si>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</si>
  <si>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</si>
  <si>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</si>
  <si>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</si>
  <si>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</si>
  <si>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</si>
  <si>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</si>
  <si>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</si>
  <si>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</si>
  <si>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</si>
  <si>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</si>
  <si>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</si>
  <si>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</si>
  <si>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</si>
  <si>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</si>
  <si>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</si>
  <si>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</si>
  <si>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</si>
  <si>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</si>
  <si>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</si>
  <si>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</si>
  <si>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</si>
  <si>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</si>
  <si>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</si>
  <si>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</si>
  <si>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</si>
  <si>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</si>
  <si>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</si>
  <si>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</si>
  <si>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</si>
  <si>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</si>
  <si>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</si>
  <si>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</si>
  <si>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</si>
  <si>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</si>
  <si>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</si>
  <si>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</si>
  <si>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</si>
  <si>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</si>
  <si>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</si>
  <si>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</si>
  <si>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</si>
  <si>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</si>
  <si>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</si>
  <si>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</si>
  <si>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</si>
  <si>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</si>
  <si>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</si>
  <si>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</si>
  <si>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</si>
  <si>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</si>
  <si>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</si>
  <si>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</si>
  <si>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</si>
  <si>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</si>
  <si>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</si>
  <si>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</si>
  <si>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</si>
  <si>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</si>
  <si>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</si>
  <si>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</si>
  <si>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</si>
  <si>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</si>
  <si>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</si>
  <si>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</si>
  <si>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</si>
  <si>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</si>
  <si>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</si>
  <si>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</si>
  <si>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</si>
  <si>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</si>
  <si>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</si>
  <si>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</si>
  <si>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</si>
  <si>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</si>
  <si>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</si>
  <si>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</si>
  <si>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</si>
  <si>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</si>
  <si>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</si>
  <si>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</si>
  <si>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</si>
  <si>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</si>
  <si>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</si>
  <si>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</si>
  <si>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</si>
  <si>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</si>
  <si>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</si>
  <si>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</si>
  <si>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</si>
  <si>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</si>
  <si>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</si>
  <si>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</si>
  <si>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</si>
  <si>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</si>
  <si>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</si>
  <si>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</si>
  <si>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</si>
  <si>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</si>
  <si>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</si>
  <si>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</si>
  <si>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</si>
  <si>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</si>
  <si>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</si>
  <si>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</si>
  <si>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</si>
  <si>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</si>
  <si>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</si>
  <si>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</si>
  <si>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</si>
  <si>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</si>
  <si>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</si>
  <si>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</si>
  <si>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</si>
  <si>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</si>
  <si>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</si>
  <si>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</si>
  <si>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</si>
  <si>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</si>
  <si>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</si>
  <si>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</si>
  <si>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</si>
  <si>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</si>
  <si>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</si>
  <si>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</si>
  <si>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</si>
  <si>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</si>
  <si>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</si>
  <si>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</si>
  <si>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</si>
  <si>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</si>
  <si>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</si>
  <si>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</si>
  <si>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</si>
  <si>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</si>
  <si>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</si>
  <si>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</si>
  <si>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</si>
  <si>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</si>
  <si>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</si>
  <si>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</si>
  <si>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</si>
  <si>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</si>
  <si>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</si>
  <si>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</si>
  <si>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</si>
  <si>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</si>
  <si>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</si>
  <si>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</si>
  <si>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</si>
  <si>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</si>
  <si>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</si>
  <si>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</si>
  <si>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</si>
  <si>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</si>
  <si>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</si>
  <si>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</si>
  <si>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</si>
  <si>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</si>
  <si>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</si>
  <si>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</si>
  <si>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</si>
  <si>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</si>
  <si>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</si>
  <si>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</si>
  <si>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</si>
  <si>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</si>
  <si>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</si>
  <si>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</si>
  <si>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</si>
  <si>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</si>
  <si>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</si>
  <si>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</si>
  <si>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</si>
  <si>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</si>
  <si>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</si>
  <si>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</si>
  <si>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</si>
  <si>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</si>
  <si>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</si>
  <si>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</si>
  <si>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</si>
  <si>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</si>
  <si>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</si>
  <si>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</si>
  <si>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</si>
  <si>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</si>
  <si>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</si>
  <si>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</si>
  <si>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</si>
  <si>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</si>
  <si>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</si>
  <si>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</si>
  <si>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</si>
  <si>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</si>
  <si>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</si>
  <si>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</si>
  <si>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</si>
  <si>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</si>
  <si>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</si>
  <si>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</si>
  <si>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</si>
  <si>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</si>
  <si>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</si>
  <si>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</si>
  <si>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</si>
  <si>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</si>
  <si>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</si>
  <si>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</si>
  <si>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</si>
  <si>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</si>
  <si>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</si>
  <si>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</si>
  <si>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</si>
  <si>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</si>
  <si>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</si>
  <si>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</si>
  <si>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</si>
  <si>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</si>
  <si>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</si>
  <si>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</si>
  <si>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</si>
  <si>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</si>
  <si>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</si>
  <si>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</si>
  <si>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</si>
  <si>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</si>
  <si>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</si>
  <si>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</si>
  <si>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</si>
  <si>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</si>
  <si>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</si>
  <si>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</si>
  <si>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</si>
  <si>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</si>
  <si>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</si>
  <si>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</si>
  <si>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</si>
  <si>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</si>
  <si>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</si>
  <si>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</si>
  <si>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</si>
  <si>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</si>
  <si>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</si>
  <si>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</si>
  <si>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</si>
  <si>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</si>
  <si>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</si>
  <si>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</si>
  <si>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</si>
  <si>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</si>
  <si>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</si>
  <si>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</si>
  <si>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</si>
  <si>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</si>
  <si>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</si>
  <si>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</si>
  <si>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</si>
  <si>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</si>
  <si>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</si>
  <si>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</si>
  <si>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</si>
  <si>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</si>
  <si>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</si>
  <si>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</si>
  <si>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</si>
  <si>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</si>
  <si>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</si>
  <si>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</si>
  <si>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</si>
  <si>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</si>
  <si>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</si>
  <si>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</si>
  <si>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</si>
  <si>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</si>
  <si>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</si>
  <si>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</si>
  <si>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</si>
  <si>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</si>
  <si>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</si>
  <si>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</si>
  <si>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</si>
  <si>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</si>
  <si>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</si>
  <si>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</si>
  <si>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</si>
  <si>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</si>
  <si>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</si>
  <si>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</si>
  <si>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</si>
  <si>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</si>
  <si>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</si>
  <si>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</si>
  <si>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</si>
  <si>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</si>
  <si>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</si>
  <si>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</si>
  <si>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</si>
  <si>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</si>
  <si>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</si>
  <si>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</si>
  <si>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</si>
  <si>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</si>
  <si>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</si>
  <si>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</si>
  <si>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</si>
  <si>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</si>
  <si>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</si>
  <si>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</si>
  <si>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</si>
  <si>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</si>
  <si>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</si>
  <si>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</si>
  <si>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</si>
  <si>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</si>
  <si>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</si>
  <si>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</si>
  <si>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</si>
  <si>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</si>
  <si>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</si>
  <si>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</si>
  <si>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</si>
  <si>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</si>
  <si>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</si>
  <si>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</si>
  <si>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</si>
  <si>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</si>
  <si>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</si>
  <si>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</si>
  <si>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</si>
  <si>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</si>
  <si>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</si>
  <si>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</si>
  <si>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</si>
  <si>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</si>
  <si>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</si>
  <si>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</si>
  <si>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</si>
  <si>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</si>
  <si>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</si>
  <si>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</si>
  <si>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</si>
  <si>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</si>
  <si>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</si>
  <si>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</si>
  <si>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</si>
  <si>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</si>
  <si>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</si>
  <si>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</si>
  <si>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</si>
  <si>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</si>
  <si>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</si>
  <si>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</si>
  <si>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</si>
  <si>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</si>
  <si>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</si>
  <si>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</si>
  <si>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</si>
  <si>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</si>
  <si>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</si>
  <si>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</si>
  <si>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</si>
  <si>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</si>
  <si>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</si>
  <si>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</si>
  <si>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</si>
  <si>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</si>
  <si>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</si>
  <si>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</si>
  <si>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</si>
  <si>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</si>
  <si>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</si>
  <si>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</si>
  <si>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</si>
  <si>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</si>
  <si>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</si>
  <si>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</si>
  <si>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</si>
  <si>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</si>
  <si>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</si>
  <si>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</si>
  <si>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</si>
  <si>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</si>
  <si>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</si>
  <si>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</si>
  <si>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</si>
  <si>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</si>
  <si>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</si>
  <si>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</si>
  <si>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</si>
  <si>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</si>
  <si>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</si>
  <si>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</si>
  <si>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</si>
  <si>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</si>
  <si>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</si>
  <si>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</si>
  <si>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</si>
  <si>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</si>
  <si>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</si>
  <si>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</si>
  <si>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</si>
  <si>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</si>
  <si>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</si>
  <si>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</si>
  <si>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</si>
  <si>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</si>
  <si>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</si>
  <si>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</si>
  <si>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</si>
  <si>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</si>
  <si>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</si>
  <si>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</si>
  <si>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</si>
  <si>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</si>
  <si>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</si>
  <si>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</si>
  <si>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</si>
  <si>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</si>
  <si>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</si>
  <si>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</si>
  <si>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</si>
  <si>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</si>
  <si>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</si>
  <si>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</si>
  <si>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</si>
  <si>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</si>
  <si>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</si>
  <si>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</si>
  <si>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</si>
  <si>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</si>
  <si>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</si>
  <si>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</si>
  <si>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</si>
  <si>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</si>
  <si>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</si>
  <si>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</si>
  <si>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</si>
  <si>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</si>
  <si>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</si>
  <si>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</si>
  <si>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</si>
  <si>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</si>
  <si>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</si>
  <si>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</si>
  <si>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</si>
  <si>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</si>
  <si>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</si>
  <si>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</si>
  <si>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</si>
  <si>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</si>
  <si>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</si>
  <si>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</si>
  <si>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</si>
  <si>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</si>
  <si>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</si>
  <si>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</si>
  <si>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</si>
  <si>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</si>
  <si>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</si>
  <si>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</si>
  <si>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</si>
  <si>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</si>
  <si>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</si>
  <si>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</si>
  <si>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</si>
  <si>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</si>
  <si>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</si>
  <si>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</si>
  <si>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</si>
  <si>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</si>
  <si>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</si>
  <si>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</si>
  <si>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</si>
  <si>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</si>
  <si>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</si>
  <si>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</si>
  <si>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</si>
  <si>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</si>
  <si>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</si>
  <si>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</si>
  <si>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</si>
  <si>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</si>
  <si>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</si>
  <si>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</si>
  <si>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</si>
  <si>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</si>
  <si>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</si>
  <si>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</si>
  <si>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</si>
  <si>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</si>
  <si>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</si>
  <si>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</si>
  <si>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</si>
  <si>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</si>
  <si>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</si>
  <si>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</si>
  <si>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</si>
  <si>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</si>
  <si>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</si>
  <si>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</si>
  <si>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</si>
  <si>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</si>
  <si>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</si>
  <si>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</si>
  <si>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</si>
  <si>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</si>
  <si>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</si>
  <si>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</si>
  <si>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</si>
  <si>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</si>
  <si>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</si>
  <si>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</si>
  <si>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</si>
  <si>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</si>
  <si>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</si>
  <si>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</si>
  <si>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</si>
  <si>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</si>
  <si>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</si>
  <si>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</si>
  <si>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</si>
  <si>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</si>
  <si>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</si>
  <si>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</si>
  <si>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</si>
  <si>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</si>
  <si>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</si>
  <si>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</si>
  <si>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</si>
  <si>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</si>
  <si>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</si>
  <si>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</si>
  <si>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</si>
  <si>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</si>
  <si>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</si>
  <si>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</si>
  <si>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</si>
  <si>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</si>
  <si>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</si>
  <si>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</si>
  <si>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</si>
  <si>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</si>
  <si>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</si>
  <si>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</si>
  <si>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</si>
  <si>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</si>
  <si>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</si>
  <si>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</si>
  <si>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</si>
  <si>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</si>
  <si>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</si>
  <si>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</si>
  <si>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</si>
  <si>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</si>
  <si>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</si>
  <si>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</si>
  <si>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</si>
  <si>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</si>
  <si>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</si>
  <si>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</si>
  <si>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</si>
  <si>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</si>
  <si>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</si>
  <si>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</si>
  <si>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</si>
  <si>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</si>
  <si>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</si>
  <si>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</si>
  <si>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</si>
  <si>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</si>
  <si>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</si>
  <si>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</si>
  <si>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</si>
  <si>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</si>
  <si>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</si>
  <si>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</si>
  <si>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</si>
  <si>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</si>
  <si>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</si>
  <si>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</si>
  <si>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</si>
  <si>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</si>
  <si>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</si>
  <si>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</si>
  <si>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</si>
  <si>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</si>
  <si>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</si>
  <si>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</si>
  <si>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</si>
  <si>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</si>
  <si>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</si>
  <si>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</si>
  <si>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</si>
  <si>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</si>
  <si>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</si>
  <si>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</si>
  <si>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</si>
  <si>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</si>
  <si>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</si>
  <si>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</si>
  <si>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</si>
  <si>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</si>
  <si>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</si>
  <si>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</si>
  <si>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</si>
  <si>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</si>
  <si>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</si>
  <si>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</si>
  <si>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</si>
  <si>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</si>
  <si>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</si>
  <si>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</si>
  <si>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</si>
  <si>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</si>
  <si>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</si>
  <si>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</si>
  <si>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</si>
  <si>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</si>
  <si>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</si>
  <si>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</si>
  <si>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</si>
  <si>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</si>
  <si>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</si>
  <si>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</si>
  <si>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</si>
  <si>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</si>
  <si>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</si>
  <si>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</si>
  <si>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</si>
  <si>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</si>
  <si>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</si>
  <si>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</si>
  <si>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</si>
  <si>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</si>
  <si>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</si>
  <si>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</si>
  <si>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</si>
  <si>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</si>
  <si>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</si>
  <si>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</si>
  <si>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</si>
  <si>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</si>
  <si>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</si>
  <si>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</si>
  <si>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</si>
  <si>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</si>
  <si>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</si>
  <si>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</si>
  <si>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</si>
  <si>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</si>
  <si>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</si>
  <si>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</si>
  <si>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</si>
  <si>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</si>
  <si>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</si>
  <si>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</si>
  <si>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</si>
  <si>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</si>
  <si>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</si>
  <si>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</si>
  <si>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</si>
  <si>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</si>
  <si>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</si>
  <si>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</si>
  <si>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</si>
  <si>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</si>
  <si>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</si>
  <si>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</si>
  <si>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</si>
  <si>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</si>
  <si>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</si>
  <si>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</si>
  <si>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</si>
  <si>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</si>
  <si>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</si>
  <si>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</si>
  <si>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</si>
  <si>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</si>
  <si>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</si>
  <si>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</si>
  <si>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</si>
  <si>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</si>
  <si>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</si>
  <si>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</si>
  <si>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</si>
  <si>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</si>
  <si>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</si>
  <si>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</si>
  <si>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</si>
  <si>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</si>
  <si>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</si>
  <si>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</si>
  <si>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</si>
  <si>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</si>
  <si>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</si>
  <si>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</si>
  <si>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</si>
  <si>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</si>
  <si>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</si>
  <si>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</si>
  <si>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</si>
  <si>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</si>
  <si>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</si>
  <si>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</si>
  <si>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</si>
  <si>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</si>
  <si>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</si>
  <si>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</si>
  <si>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</si>
  <si>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</si>
  <si>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</si>
  <si>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</si>
  <si>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</si>
  <si>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</si>
  <si>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</si>
  <si>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</si>
  <si>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</si>
  <si>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</si>
  <si>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</si>
  <si>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</si>
  <si>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</si>
  <si>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</si>
  <si>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</si>
  <si>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</si>
  <si>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</si>
  <si>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</si>
  <si>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</si>
  <si>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</si>
  <si>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</si>
  <si>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</si>
  <si>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</si>
  <si>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</si>
  <si>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</si>
  <si>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</si>
  <si>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</si>
  <si>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</si>
  <si>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</si>
  <si>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</si>
  <si>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</si>
  <si>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</si>
  <si>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</si>
  <si>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</si>
  <si>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</si>
  <si>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</si>
  <si>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</si>
  <si>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</si>
  <si>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</si>
  <si>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</si>
  <si>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</si>
  <si>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</si>
  <si>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</si>
  <si>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</si>
  <si>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</si>
  <si>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</si>
  <si>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</si>
  <si>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</si>
  <si>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</si>
  <si>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</si>
  <si>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</si>
  <si>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</si>
  <si>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</si>
  <si>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</si>
  <si>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</si>
  <si>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</si>
  <si>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</si>
  <si>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</si>
  <si>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</si>
  <si>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</si>
  <si>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</si>
  <si>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</si>
  <si>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</si>
  <si>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</si>
  <si>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</si>
  <si>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</si>
  <si>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</si>
  <si>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</si>
  <si>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</si>
  <si>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</si>
  <si>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</si>
  <si>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</si>
  <si>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</si>
  <si>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</si>
  <si>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</si>
  <si>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</si>
  <si>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</si>
  <si>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</si>
  <si>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</si>
  <si>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</si>
  <si>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</si>
  <si>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</si>
  <si>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</si>
  <si>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</si>
  <si>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</si>
  <si>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</si>
  <si>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</si>
  <si>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</si>
  <si>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</si>
  <si>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</si>
  <si>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</si>
  <si>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</si>
  <si>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</si>
  <si>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</si>
  <si>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</si>
  <si>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</si>
  <si>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</si>
  <si>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</si>
  <si>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</si>
  <si>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</si>
  <si>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</si>
  <si>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</si>
  <si>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</si>
  <si>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</si>
  <si>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</si>
  <si>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</si>
  <si>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</si>
  <si>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</si>
  <si>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</si>
  <si>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</si>
  <si>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</si>
  <si>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</si>
  <si>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</si>
  <si>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</si>
  <si>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</si>
  <si>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</si>
  <si>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</si>
  <si>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</si>
  <si>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</si>
  <si>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</si>
  <si>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</si>
  <si>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</si>
  <si>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</si>
  <si>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</si>
  <si>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</si>
  <si>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</si>
  <si>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</si>
  <si>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</si>
  <si>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</si>
  <si>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</si>
  <si>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</si>
  <si>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</si>
  <si>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</si>
  <si>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</si>
  <si>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</si>
  <si>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</si>
  <si>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</si>
  <si>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</si>
  <si>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</si>
  <si>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</si>
  <si>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</si>
  <si>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</si>
  <si>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</si>
  <si>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</si>
  <si>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</si>
  <si>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</si>
  <si>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</si>
  <si>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</si>
  <si>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</si>
  <si>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</si>
  <si>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</si>
  <si>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</si>
  <si>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</si>
  <si>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</si>
  <si>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</si>
  <si>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</si>
  <si>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</si>
  <si>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</si>
  <si>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</si>
  <si>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</si>
  <si>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</si>
  <si>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</si>
  <si>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</si>
  <si>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</si>
  <si>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</si>
  <si>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</si>
  <si>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</si>
  <si>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</si>
  <si>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</si>
  <si>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</si>
  <si>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</si>
  <si>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</si>
  <si>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</si>
  <si>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</si>
  <si>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</si>
  <si>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</si>
  <si>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</si>
  <si>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</si>
  <si>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</si>
  <si>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</si>
  <si>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</si>
  <si>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</si>
  <si>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</si>
  <si>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</si>
  <si>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</si>
  <si>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</si>
  <si>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</si>
  <si>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</si>
  <si>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</si>
  <si>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</si>
  <si>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</si>
  <si>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</si>
  <si>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</si>
  <si>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</si>
  <si>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</si>
  <si>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</si>
  <si>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</si>
  <si>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</si>
  <si>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</si>
  <si>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</si>
  <si>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</si>
  <si>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</si>
  <si>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</si>
  <si>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</si>
  <si>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</si>
  <si>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</si>
  <si>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</si>
  <si>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</si>
  <si>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</si>
  <si>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</si>
  <si>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</si>
  <si>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</si>
  <si>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</si>
  <si>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</si>
  <si>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</si>
  <si>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</si>
  <si>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</si>
  <si>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</si>
  <si>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</si>
  <si>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</si>
  <si>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</si>
  <si>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</si>
  <si>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</si>
  <si>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</si>
  <si>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</si>
  <si>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</si>
  <si>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</si>
  <si>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</si>
  <si>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</si>
  <si>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</si>
  <si>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</si>
  <si>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</si>
  <si>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</si>
  <si>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</si>
  <si>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</si>
  <si>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</si>
  <si>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</si>
  <si>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</si>
  <si>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</si>
  <si>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</si>
  <si>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</si>
  <si>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</si>
  <si>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</si>
  <si>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</si>
  <si>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</si>
  <si>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</si>
  <si>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</si>
  <si>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</si>
  <si>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</si>
  <si>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</si>
  <si>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</si>
  <si>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</si>
  <si>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</si>
  <si>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</si>
  <si>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</si>
  <si>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</si>
  <si>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</si>
  <si>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</si>
  <si>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</si>
  <si>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</si>
  <si>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</si>
  <si>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</si>
  <si>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</si>
  <si>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</si>
  <si>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</si>
  <si>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</si>
  <si>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</si>
  <si>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</si>
  <si>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</si>
  <si>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</si>
  <si>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</si>
  <si>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</si>
  <si>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</si>
  <si>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</si>
  <si>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</si>
  <si>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</si>
  <si>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</si>
  <si>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</si>
  <si>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</si>
  <si>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</si>
  <si>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</si>
  <si>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</si>
  <si>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</si>
  <si>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</si>
  <si>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</si>
  <si>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</si>
  <si>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</si>
  <si>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</si>
  <si>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</si>
  <si>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</si>
  <si>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</si>
  <si>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</si>
  <si>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</si>
  <si>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</si>
  <si>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</si>
  <si>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</si>
  <si>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</si>
  <si>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</si>
  <si>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</si>
  <si>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</si>
  <si>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</si>
  <si>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</si>
  <si>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</si>
  <si>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</si>
  <si>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</si>
  <si>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</si>
  <si>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</si>
  <si>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</si>
  <si>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</si>
  <si>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</si>
  <si>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</si>
  <si>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</si>
  <si>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</si>
  <si>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</si>
  <si>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</si>
  <si>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</si>
  <si>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</si>
  <si>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</si>
  <si>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</si>
  <si>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</si>
  <si>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</si>
  <si>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</si>
  <si>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</si>
  <si>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</si>
  <si>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</si>
  <si>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</si>
  <si>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</si>
  <si>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</si>
  <si>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</si>
  <si>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</si>
  <si>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</si>
  <si>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</si>
  <si>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</si>
  <si>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</si>
  <si>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</si>
  <si>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</si>
  <si>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</si>
  <si>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</si>
  <si>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</si>
  <si>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</si>
  <si>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</si>
  <si>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</si>
  <si>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</si>
  <si>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</si>
  <si>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</si>
  <si>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</si>
  <si>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</si>
  <si>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</si>
  <si>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</si>
  <si>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</si>
  <si>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</si>
  <si>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</si>
  <si>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</si>
  <si>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</si>
  <si>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</si>
  <si>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</si>
  <si>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</si>
  <si>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</si>
  <si>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</si>
  <si>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</si>
  <si>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</si>
  <si>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</si>
  <si>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</si>
  <si>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</si>
  <si>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</si>
  <si>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</si>
  <si>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</si>
  <si>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</si>
  <si>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</si>
  <si>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</si>
  <si>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</si>
  <si>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</si>
  <si>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</si>
  <si>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</si>
  <si>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</si>
  <si>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</si>
  <si>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</si>
  <si>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</si>
  <si>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</si>
  <si>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</si>
  <si>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</si>
  <si>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</si>
  <si>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</si>
  <si>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</si>
  <si>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</si>
  <si>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</si>
  <si>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</si>
  <si>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</si>
  <si>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</si>
  <si>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</si>
  <si>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</si>
  <si>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</si>
  <si>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</si>
  <si>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</si>
  <si>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</si>
  <si>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</si>
  <si>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</si>
  <si>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</si>
  <si>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</si>
  <si>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</si>
  <si>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</si>
  <si>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</si>
  <si>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</si>
  <si>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</si>
  <si>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</si>
  <si>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</si>
  <si>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</si>
  <si>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</si>
  <si>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</si>
  <si>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</si>
  <si>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</si>
  <si>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</si>
  <si>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</si>
  <si>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</si>
  <si>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</si>
  <si>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</si>
  <si>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</si>
  <si>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</si>
  <si>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</si>
  <si>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</si>
  <si>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</si>
  <si>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</si>
  <si>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</si>
  <si>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</si>
  <si>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</si>
  <si>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</si>
  <si>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</si>
  <si>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</si>
  <si>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</si>
  <si>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</si>
  <si>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</si>
  <si>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</si>
  <si>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</si>
  <si>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</si>
  <si>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</si>
  <si>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</si>
  <si>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</si>
  <si>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</si>
  <si>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</si>
  <si>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</si>
  <si>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</si>
  <si>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</si>
  <si>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</si>
  <si>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</si>
  <si>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</si>
  <si>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</si>
  <si>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</si>
  <si>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</si>
  <si>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</si>
  <si>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</si>
  <si>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</si>
  <si>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</si>
  <si>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</si>
  <si>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</si>
  <si>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</si>
  <si>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</si>
  <si>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</si>
  <si>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</si>
  <si>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</si>
  <si>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</si>
  <si>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</si>
  <si>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</si>
  <si>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</si>
  <si>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</si>
  <si>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</si>
  <si>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</si>
  <si>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</si>
  <si>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</si>
  <si>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</si>
  <si>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</si>
  <si>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</si>
  <si>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</si>
  <si>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</si>
  <si>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</si>
  <si>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</si>
  <si>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</si>
  <si>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</si>
  <si>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</si>
  <si>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</si>
  <si>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</si>
  <si>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</si>
  <si>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</si>
  <si>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</si>
  <si>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</si>
  <si>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</si>
  <si>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</si>
  <si>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</si>
  <si>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</si>
  <si>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</si>
  <si>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</si>
  <si>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</si>
  <si>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</si>
  <si>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</si>
  <si>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</si>
  <si>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</si>
  <si>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</si>
  <si>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</si>
  <si>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</si>
  <si>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</si>
  <si>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</si>
  <si>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</si>
  <si>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</si>
  <si>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</si>
  <si>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</si>
  <si>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</si>
  <si>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</si>
  <si>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</si>
  <si>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</si>
  <si>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</si>
  <si>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</si>
  <si>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</si>
  <si>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</si>
  <si>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</si>
  <si>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</si>
  <si>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</si>
  <si>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</si>
  <si>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</si>
  <si>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</si>
  <si>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</si>
  <si>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</si>
  <si>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</si>
  <si>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</si>
  <si>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</si>
  <si>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</si>
  <si>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</si>
  <si>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</si>
  <si>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</si>
  <si>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</si>
  <si>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</si>
  <si>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</si>
  <si>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</si>
  <si>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</si>
  <si>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</si>
  <si>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</si>
  <si>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</si>
  <si>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</si>
  <si>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</si>
  <si>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</si>
  <si>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</si>
  <si>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</si>
  <si>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</si>
  <si>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</si>
  <si>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</si>
  <si>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</si>
  <si>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</si>
  <si>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</si>
  <si>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</si>
  <si>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</si>
  <si>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</si>
  <si>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</si>
  <si>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</si>
  <si>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</si>
  <si>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</si>
  <si>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</si>
  <si>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</si>
  <si>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</si>
  <si>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</si>
  <si>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</si>
  <si>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</si>
  <si>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</si>
  <si>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</si>
  <si>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</si>
  <si>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</si>
  <si>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</si>
  <si>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</si>
  <si>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</si>
  <si>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</si>
  <si>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</si>
  <si>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</si>
  <si>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</si>
  <si>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</si>
  <si>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</si>
  <si>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</si>
  <si>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</si>
  <si>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</si>
  <si>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</si>
  <si>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</si>
  <si>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</si>
  <si>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</si>
  <si>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</si>
  <si>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</si>
  <si>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</si>
  <si>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</si>
  <si>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</si>
  <si>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</si>
  <si>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</si>
  <si>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</si>
  <si>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</si>
  <si>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</si>
  <si>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</si>
  <si>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</si>
  <si>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</si>
  <si>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</si>
  <si>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</si>
  <si>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</si>
  <si>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</si>
  <si>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</si>
  <si>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</si>
  <si>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</si>
  <si>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</si>
  <si>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</si>
  <si>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</si>
  <si>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</si>
  <si>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</si>
  <si>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</si>
  <si>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</si>
  <si>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</si>
  <si>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</si>
  <si>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</si>
  <si>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</si>
  <si>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</si>
  <si>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</si>
  <si>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</si>
  <si>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</si>
  <si>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</si>
  <si>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</si>
  <si>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</si>
  <si>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</si>
  <si>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</si>
  <si>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</si>
  <si>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</si>
  <si>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</si>
  <si>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</si>
  <si>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</si>
  <si>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</si>
  <si>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</si>
  <si>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</si>
  <si>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</si>
  <si>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</si>
  <si>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</si>
  <si>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</si>
  <si>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</si>
  <si>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</si>
  <si>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</si>
  <si>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</si>
  <si>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</si>
  <si>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</si>
  <si>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</si>
  <si>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</si>
  <si>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</si>
  <si>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</si>
  <si>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</si>
  <si>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</si>
  <si>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</si>
  <si>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</si>
  <si>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</si>
  <si>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</si>
  <si>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</si>
  <si>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</si>
  <si>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</si>
  <si>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</si>
  <si>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</si>
  <si>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</si>
  <si>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</si>
  <si>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</si>
  <si>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</si>
  <si>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</si>
  <si>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</si>
  <si>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</si>
  <si>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</si>
  <si>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</si>
  <si>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</si>
  <si>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</si>
  <si>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</si>
  <si>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</si>
  <si>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</si>
  <si>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</si>
  <si>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</si>
  <si>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</si>
  <si>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</si>
  <si>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</si>
  <si>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</si>
  <si>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</si>
  <si>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</si>
  <si>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</si>
  <si>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</si>
  <si>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</si>
  <si>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</si>
  <si>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</si>
  <si>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</si>
  <si>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</si>
  <si>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</si>
  <si>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</si>
  <si>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</si>
  <si>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</si>
  <si>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</si>
  <si>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</si>
  <si>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</si>
  <si>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</si>
  <si>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</si>
  <si>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</si>
  <si>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</si>
  <si>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</si>
  <si>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</si>
  <si>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</si>
  <si>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</si>
  <si>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</si>
  <si>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</si>
  <si>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</si>
  <si>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</si>
  <si>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</si>
  <si>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</si>
  <si>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</si>
  <si>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</si>
  <si>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</si>
  <si>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</si>
  <si>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</si>
  <si>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</si>
  <si>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</si>
  <si>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</si>
  <si>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</si>
  <si>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</si>
  <si>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</si>
  <si>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</si>
  <si>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2018-1-0367-F01DYGJ1</t>
    <phoneticPr fontId="6" type="noConversion"/>
  </si>
  <si>
    <t>赵雯</t>
  </si>
  <si>
    <t>崔锴</t>
  </si>
  <si>
    <t>上海恺冠臻房地产开发有限公司</t>
    <phoneticPr fontId="6" type="noConversion"/>
  </si>
  <si>
    <t>中国金谷国际信托有限责任公司</t>
    <phoneticPr fontId="6" type="noConversion"/>
  </si>
  <si>
    <t>抵押</t>
  </si>
  <si>
    <t>抵押价格</t>
  </si>
  <si>
    <t>其他：</t>
  </si>
  <si>
    <t>上海市</t>
    <phoneticPr fontId="6" type="noConversion"/>
  </si>
  <si>
    <t>静安区宝山路街道147街坊11丘</t>
    <phoneticPr fontId="6" type="noConversion"/>
  </si>
  <si>
    <t>企业</t>
  </si>
  <si>
    <t>商住</t>
    <phoneticPr fontId="6" type="noConversion"/>
  </si>
  <si>
    <t>住宅、商业、地下车库</t>
    <phoneticPr fontId="6" type="noConversion"/>
  </si>
  <si>
    <t>一致</t>
  </si>
  <si>
    <t>符合</t>
  </si>
  <si>
    <t>出让</t>
  </si>
  <si>
    <t>商业</t>
  </si>
  <si>
    <t>否</t>
  </si>
  <si>
    <t>居住项目</t>
  </si>
  <si>
    <t>无</t>
  </si>
  <si>
    <t>含保障性住房</t>
  </si>
  <si>
    <t>5%保障房</t>
    <phoneticPr fontId="6" type="noConversion"/>
  </si>
  <si>
    <t>宗地内已开工建设</t>
  </si>
  <si>
    <t>平整</t>
  </si>
  <si>
    <t>序号</t>
    <phoneticPr fontId="233" type="noConversion"/>
  </si>
  <si>
    <t>地块</t>
    <phoneticPr fontId="233" type="noConversion"/>
  </si>
  <si>
    <t>土地面积</t>
    <phoneticPr fontId="233" type="noConversion"/>
  </si>
  <si>
    <t>容积率</t>
    <phoneticPr fontId="233" type="noConversion"/>
  </si>
  <si>
    <t>地上建筑面积</t>
    <phoneticPr fontId="233" type="noConversion"/>
  </si>
  <si>
    <t>住宅比例</t>
    <phoneticPr fontId="233" type="noConversion"/>
  </si>
  <si>
    <t>商业比例</t>
    <phoneticPr fontId="233" type="noConversion"/>
  </si>
  <si>
    <t>地下经营性面积</t>
    <phoneticPr fontId="233" type="noConversion"/>
  </si>
  <si>
    <t>配置公共设施等要求</t>
    <phoneticPr fontId="233" type="noConversion"/>
  </si>
  <si>
    <t>住宅部分开发建设要求</t>
    <phoneticPr fontId="233" type="noConversion"/>
  </si>
  <si>
    <t>自持物业</t>
    <phoneticPr fontId="233" type="noConversion"/>
  </si>
  <si>
    <t>332-01-A</t>
    <phoneticPr fontId="233" type="noConversion"/>
  </si>
  <si>
    <t>35250（其中住宅配套车库29800、非住宅配套5450平方米）</t>
    <phoneticPr fontId="233" type="noConversion"/>
  </si>
  <si>
    <t>分别配置：1）物业管理用房，产权归全体业主所有；2）业主委员会用房，不低于30平方米，，产权归全体业主所有</t>
    <phoneticPr fontId="233" type="noConversion"/>
  </si>
  <si>
    <t>市政管理养护用房建筑面积不小于572平方米，无偿移交政府。</t>
    <phoneticPr fontId="233" type="noConversion"/>
  </si>
  <si>
    <t>配建保障性住房建筑面积占该出让宗地规划总住宅建筑面积的5%以上，计4939平方米以上，按规定无偿移交政府。</t>
    <phoneticPr fontId="233" type="noConversion"/>
  </si>
  <si>
    <t>全装修住宅建筑面积占总住宅建筑面积的80%以上（不含保障性住宅等），计75072平方米以上</t>
    <phoneticPr fontId="233" type="noConversion"/>
  </si>
  <si>
    <t>中小套住宅建筑面积不低于该地块总建筑面积80%，计79022.9平方米以上（标准：多层住宅不大于90平方米、小高层住宅不大于95平方米、高层住宅不大于100平方米）</t>
    <phoneticPr fontId="233" type="noConversion"/>
  </si>
  <si>
    <t>按出让年限整体持有社区配套商业物业、商品住宅用地配套商业物业</t>
    <phoneticPr fontId="233" type="noConversion"/>
  </si>
  <si>
    <t>按出让年限自持建筑面积不低于15%（计14076平方米以上）的住宅物业（除移交政府的保障房等物业以外），以上自持用于租赁。</t>
    <phoneticPr fontId="233" type="noConversion"/>
  </si>
  <si>
    <t>受让人按出让年限整体持有建筑面积不低于100%（计10975.4平方米以上）的商业物业，对自持部分物业确需转让，须经出让人同意。</t>
    <phoneticPr fontId="233" type="noConversion"/>
  </si>
  <si>
    <t>333-01-A</t>
    <phoneticPr fontId="233" type="noConversion"/>
  </si>
  <si>
    <t>电信端局2000㎡、菜场2000㎡（其中电信端房无偿移交政府）</t>
    <phoneticPr fontId="233" type="noConversion"/>
  </si>
  <si>
    <t>企业指标</t>
    <phoneticPr fontId="233" type="noConversion"/>
  </si>
  <si>
    <t>332-01-A</t>
    <phoneticPr fontId="233" type="noConversion"/>
  </si>
  <si>
    <t>333-01-A</t>
    <phoneticPr fontId="233" type="noConversion"/>
  </si>
  <si>
    <t>合计</t>
    <phoneticPr fontId="233" type="noConversion"/>
  </si>
  <si>
    <t>用地面积</t>
    <phoneticPr fontId="233" type="noConversion"/>
  </si>
  <si>
    <t>建筑面积</t>
    <phoneticPr fontId="233" type="noConversion"/>
  </si>
  <si>
    <t>住宅</t>
    <phoneticPr fontId="233" type="noConversion"/>
  </si>
  <si>
    <t>保障房</t>
    <phoneticPr fontId="233" type="noConversion"/>
  </si>
  <si>
    <t>电信端房</t>
    <phoneticPr fontId="233" type="noConversion"/>
  </si>
  <si>
    <t>市政养护房</t>
    <phoneticPr fontId="233" type="noConversion"/>
  </si>
  <si>
    <t>物业及配套用房</t>
    <phoneticPr fontId="233" type="noConversion"/>
  </si>
  <si>
    <t>商业</t>
    <phoneticPr fontId="233" type="noConversion"/>
  </si>
  <si>
    <t>菜场</t>
    <phoneticPr fontId="233" type="noConversion"/>
  </si>
  <si>
    <t>自持住宅</t>
    <phoneticPr fontId="233" type="noConversion"/>
  </si>
  <si>
    <t>住宅</t>
    <phoneticPr fontId="3" type="noConversion"/>
  </si>
  <si>
    <t>地上</t>
  </si>
  <si>
    <t>平层住宅</t>
  </si>
  <si>
    <t>自持住宅</t>
  </si>
  <si>
    <t>自持住宅</t>
    <phoneticPr fontId="3" type="noConversion"/>
  </si>
  <si>
    <t>商业</t>
    <phoneticPr fontId="3" type="noConversion"/>
  </si>
  <si>
    <t>配套及设备</t>
    <phoneticPr fontId="3" type="noConversion"/>
  </si>
  <si>
    <t>底商</t>
  </si>
  <si>
    <t>地下车库</t>
    <phoneticPr fontId="3" type="noConversion"/>
  </si>
  <si>
    <t>地下</t>
  </si>
  <si>
    <t>车库</t>
  </si>
  <si>
    <t>售价</t>
  </si>
  <si>
    <t>住宅</t>
    <phoneticPr fontId="21" type="noConversion"/>
  </si>
  <si>
    <t>60-70（含）</t>
  </si>
  <si>
    <t>估价对象周边居住用地比例高、居住小区规模较大，社区发展完善程度较好，有万科翡翠雅宾利、绿洲雅宾利花园等多个项目，综合评价居住社区成熟度较好</t>
    <phoneticPr fontId="3" type="noConversion"/>
  </si>
  <si>
    <t>估价对象周边商业氛围较成熟，人流量较大，有嘉杰国际广场、壹丰广场等多个商业项目，商业繁华度较好</t>
    <phoneticPr fontId="3" type="noConversion"/>
  </si>
  <si>
    <t>估价对象周边道路状况较好、公共交通通达情况较好、停车便捷程度一般，有65、302、502等多路公交及地铁3、4、8号经过综合评价交通便捷度好</t>
    <phoneticPr fontId="3" type="noConversion"/>
  </si>
  <si>
    <t>估价对象所在区域公共配套设施齐备情况好</t>
    <phoneticPr fontId="3" type="noConversion"/>
  </si>
  <si>
    <t>估价对象所在区域基础设施水平六通</t>
    <phoneticPr fontId="3" type="noConversion"/>
  </si>
  <si>
    <t>区域自然环境：四川北路公园、交通公园；人文环境：上海城建职业学院、上海铁路博物馆；综合评价环境状况较好</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</si>
  <si>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南北高架路</t>
    </r>
    <phoneticPr fontId="21" type="noConversion"/>
  </si>
  <si>
    <t>较好</t>
  </si>
  <si>
    <t>好</t>
  </si>
  <si>
    <t>六通</t>
  </si>
  <si>
    <t>快速路</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</si>
  <si>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</si>
  <si>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</si>
  <si>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</si>
  <si>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</si>
  <si>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</si>
  <si>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钢混</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</si>
  <si>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</si>
  <si>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</si>
  <si>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</si>
  <si>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</si>
  <si>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</si>
  <si>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</si>
  <si>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</si>
  <si>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高层</t>
  </si>
  <si>
    <t>钢混</t>
  </si>
  <si>
    <t>中档</t>
  </si>
  <si>
    <t>精装修</t>
  </si>
  <si>
    <t>专业</t>
  </si>
  <si>
    <t>万科翡翠雅宾利</t>
    <phoneticPr fontId="3" type="noConversion"/>
  </si>
  <si>
    <t>绿洲雅宾利花园、三宝花苑</t>
    <phoneticPr fontId="21" type="noConversion"/>
  </si>
  <si>
    <r>
      <rPr>
        <sz val="11"/>
        <rFont val="宋体"/>
        <family val="3"/>
        <charset val="134"/>
      </rPr>
      <t>有</t>
    </r>
    <r>
      <rPr>
        <sz val="11"/>
        <rFont val="Arial"/>
        <family val="2"/>
      </rPr>
      <t>65</t>
    </r>
    <r>
      <rPr>
        <sz val="11"/>
        <rFont val="宋体"/>
        <family val="3"/>
        <charset val="134"/>
      </rPr>
      <t>、</t>
    </r>
    <r>
      <rPr>
        <sz val="11"/>
        <rFont val="Arial"/>
        <family val="2"/>
      </rPr>
      <t>302</t>
    </r>
    <r>
      <rPr>
        <sz val="11"/>
        <rFont val="宋体"/>
        <family val="3"/>
        <charset val="134"/>
      </rPr>
      <t>、</t>
    </r>
    <r>
      <rPr>
        <sz val="11"/>
        <rFont val="Arial"/>
        <family val="2"/>
      </rPr>
      <t>502</t>
    </r>
    <r>
      <rPr>
        <sz val="11"/>
        <rFont val="宋体"/>
        <family val="3"/>
        <charset val="134"/>
      </rPr>
      <t>等多路公交及地铁</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号</t>
    </r>
    <phoneticPr fontId="21" type="noConversion"/>
  </si>
  <si>
    <t>自然环境：四川北路公园、交通公园；人文环境：上海城建职业学院、上海铁路博物馆</t>
    <phoneticPr fontId="21" type="noConversion"/>
  </si>
  <si>
    <t>90-110</t>
    <phoneticPr fontId="21" type="noConversion"/>
  </si>
  <si>
    <t>毛坯</t>
  </si>
  <si>
    <r>
      <rPr>
        <sz val="11"/>
        <rFont val="宋体"/>
        <family val="3"/>
        <charset val="134"/>
      </rPr>
      <t>有</t>
    </r>
    <r>
      <rPr>
        <sz val="11"/>
        <rFont val="Arial"/>
        <family val="2"/>
      </rPr>
      <t>18</t>
    </r>
    <r>
      <rPr>
        <sz val="11"/>
        <rFont val="宋体"/>
        <family val="3"/>
        <charset val="134"/>
      </rPr>
      <t>、</t>
    </r>
    <r>
      <rPr>
        <sz val="11"/>
        <rFont val="Arial"/>
        <family val="2"/>
      </rPr>
      <t>46</t>
    </r>
    <r>
      <rPr>
        <sz val="11"/>
        <rFont val="宋体"/>
        <family val="3"/>
        <charset val="134"/>
      </rPr>
      <t>、</t>
    </r>
    <r>
      <rPr>
        <sz val="11"/>
        <rFont val="Arial"/>
        <family val="2"/>
      </rPr>
      <t>318</t>
    </r>
    <r>
      <rPr>
        <sz val="11"/>
        <rFont val="宋体"/>
        <family val="3"/>
        <charset val="134"/>
      </rPr>
      <t>等多路公交及地铁</t>
    </r>
    <r>
      <rPr>
        <sz val="11"/>
        <rFont val="Arial"/>
        <family val="2"/>
      </rPr>
      <t>1</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t>
    </r>
    <r>
      <rPr>
        <sz val="11"/>
        <rFont val="Arial"/>
        <family val="2"/>
      </rPr>
      <t>12</t>
    </r>
    <r>
      <rPr>
        <sz val="11"/>
        <rFont val="宋体"/>
        <family val="3"/>
        <charset val="134"/>
      </rPr>
      <t>号</t>
    </r>
    <phoneticPr fontId="21" type="noConversion"/>
  </si>
  <si>
    <t>住宅租金</t>
    <phoneticPr fontId="233" type="noConversion"/>
  </si>
  <si>
    <t>建筑面积</t>
    <phoneticPr fontId="233" type="noConversion"/>
  </si>
  <si>
    <t>租金/月</t>
    <phoneticPr fontId="233" type="noConversion"/>
  </si>
  <si>
    <t>租金元*平方米*天</t>
    <phoneticPr fontId="233" type="noConversion"/>
  </si>
  <si>
    <t>绿洲雅宾利</t>
    <phoneticPr fontId="233" type="noConversion"/>
  </si>
  <si>
    <t>项目</t>
    <phoneticPr fontId="233" type="noConversion"/>
  </si>
  <si>
    <t>万科翡翠雅宾利</t>
    <phoneticPr fontId="233" type="noConversion"/>
  </si>
  <si>
    <t>不动产收益法住</t>
  </si>
  <si>
    <t>不动产收益法住</t>
    <phoneticPr fontId="14" type="noConversion"/>
  </si>
  <si>
    <t>不动产收益法商</t>
  </si>
  <si>
    <t>不动产收益法商</t>
    <phoneticPr fontId="14" type="noConversion"/>
  </si>
  <si>
    <t>土地（套用方法）</t>
  </si>
  <si>
    <t>押一</t>
  </si>
  <si>
    <t>华侨城、怡水豪庭</t>
    <phoneticPr fontId="21" type="noConversion"/>
  </si>
  <si>
    <t>华侨城</t>
    <phoneticPr fontId="3" type="noConversion"/>
  </si>
  <si>
    <t>临江</t>
    <phoneticPr fontId="21" type="noConversion"/>
  </si>
  <si>
    <t>不临</t>
    <phoneticPr fontId="21" type="noConversion"/>
  </si>
  <si>
    <t>临</t>
    <phoneticPr fontId="21" type="noConversion"/>
  </si>
  <si>
    <t>超高层</t>
  </si>
  <si>
    <t>高层</t>
    <phoneticPr fontId="21" type="noConversion"/>
  </si>
  <si>
    <t>中粮天悦壹号、怡水豪庭</t>
    <phoneticPr fontId="21" type="noConversion"/>
  </si>
  <si>
    <t>中粮天悦壹号</t>
    <phoneticPr fontId="3" type="noConversion"/>
  </si>
  <si>
    <t>超高层</t>
    <phoneticPr fontId="21" type="noConversion"/>
  </si>
  <si>
    <t>地下车库及设备</t>
    <phoneticPr fontId="233" type="noConversion"/>
  </si>
  <si>
    <t>车库个数</t>
    <phoneticPr fontId="233" type="noConversion"/>
  </si>
  <si>
    <t>不动产收益法车</t>
  </si>
  <si>
    <t>不动产收益法车</t>
    <phoneticPr fontId="14" type="noConversion"/>
  </si>
  <si>
    <t>自定义</t>
  </si>
  <si>
    <t>剩余法-待开发</t>
  </si>
  <si>
    <t>地块名称</t>
  </si>
  <si>
    <t>城市</t>
  </si>
  <si>
    <t>用地性质</t>
  </si>
  <si>
    <t>区县</t>
  </si>
  <si>
    <t>出让方式</t>
  </si>
  <si>
    <t>建设用地面积(㎡)</t>
  </si>
  <si>
    <t>规划建筑面积(㎡)</t>
  </si>
  <si>
    <t>保障房类型</t>
  </si>
  <si>
    <t>配建自住房情况</t>
  </si>
  <si>
    <t>推出特殊政策</t>
  </si>
  <si>
    <t>成交特殊政策</t>
  </si>
  <si>
    <t>成交日期</t>
  </si>
  <si>
    <t>受让单位</t>
  </si>
  <si>
    <t>成交价(万元)</t>
  </si>
  <si>
    <t>成交每亩价(万元/亩)</t>
  </si>
  <si>
    <t>成交楼面价(元/㎡)</t>
  </si>
  <si>
    <t>成交楼面价(除保障房)(元/㎡)</t>
  </si>
  <si>
    <t>溢价率</t>
  </si>
  <si>
    <t>静安区中兴社区N070202单元332-01-A、333-01-A地块</t>
  </si>
  <si>
    <t>上海市</t>
  </si>
  <si>
    <t>综合用地(含住宅)</t>
  </si>
  <si>
    <t>静安区</t>
  </si>
  <si>
    <t>挂牌</t>
  </si>
  <si>
    <t>2016-08-17</t>
  </si>
  <si>
    <t>上海胤博投资有限公司、南京典捷建筑材料有限公司</t>
  </si>
  <si>
    <t>虹口区凉城新村街道073-06号地块</t>
  </si>
  <si>
    <t>住宅用地</t>
  </si>
  <si>
    <t>虹口区</t>
  </si>
  <si>
    <t>2016-07-14</t>
  </si>
  <si>
    <t>上海新城万嘉房地产有限公司、上海禹隆房地产开发有限公司</t>
  </si>
  <si>
    <t>黄浦区五里桥街道104街坊39/1宗地块</t>
  </si>
  <si>
    <t>黄浦区</t>
  </si>
  <si>
    <t>2014-07-09</t>
  </si>
  <si>
    <t>东方动力有限公司</t>
  </si>
  <si>
    <t>杨浦区新江湾城N091101单元A4-01(B3)地块</t>
  </si>
  <si>
    <t>杨浦区</t>
  </si>
  <si>
    <t>2016-07-29</t>
  </si>
  <si>
    <t>上海胤博投资有限公司</t>
  </si>
  <si>
    <t>正常</t>
  </si>
  <si>
    <t>杨浦区新江湾城N091104单元C1-02(D7)地块</t>
  </si>
  <si>
    <t>2015-11-25</t>
  </si>
  <si>
    <t>上海信达银泰置业有限公司、上海坤瓴投资有限公司</t>
  </si>
  <si>
    <t>住宅、商业</t>
  </si>
  <si>
    <t>住宅、商业</t>
    <phoneticPr fontId="26" type="noConversion"/>
  </si>
  <si>
    <t>住宅</t>
    <phoneticPr fontId="26" type="noConversion"/>
  </si>
  <si>
    <t>大宁金茂府、水木年华花园</t>
    <phoneticPr fontId="26" type="noConversion"/>
  </si>
  <si>
    <t>宝华现代商业街、凤珠百货店</t>
    <phoneticPr fontId="26" type="noConversion"/>
  </si>
  <si>
    <t>一般</t>
  </si>
  <si>
    <r>
      <rPr>
        <sz val="11"/>
        <rFont val="宋体"/>
        <family val="3"/>
        <charset val="134"/>
      </rPr>
      <t>有</t>
    </r>
    <r>
      <rPr>
        <sz val="11"/>
        <rFont val="Arial"/>
        <family val="2"/>
      </rPr>
      <t>79</t>
    </r>
    <r>
      <rPr>
        <sz val="11"/>
        <rFont val="宋体"/>
        <family val="3"/>
        <charset val="134"/>
      </rPr>
      <t>、</t>
    </r>
    <r>
      <rPr>
        <sz val="11"/>
        <rFont val="Arial"/>
        <family val="2"/>
      </rPr>
      <t>107</t>
    </r>
    <r>
      <rPr>
        <sz val="11"/>
        <rFont val="宋体"/>
        <family val="3"/>
        <charset val="134"/>
      </rPr>
      <t>、</t>
    </r>
    <r>
      <rPr>
        <sz val="11"/>
        <rFont val="Arial"/>
        <family val="2"/>
      </rPr>
      <t>222</t>
    </r>
    <r>
      <rPr>
        <sz val="11"/>
        <rFont val="宋体"/>
        <family val="3"/>
        <charset val="134"/>
      </rPr>
      <t>等多路公交及地铁</t>
    </r>
    <r>
      <rPr>
        <sz val="11"/>
        <rFont val="Arial"/>
        <family val="2"/>
      </rPr>
      <t>1</t>
    </r>
    <r>
      <rPr>
        <sz val="11"/>
        <rFont val="宋体"/>
        <family val="3"/>
        <charset val="134"/>
      </rPr>
      <t>号</t>
    </r>
    <phoneticPr fontId="21" type="noConversion"/>
  </si>
  <si>
    <t>主</t>
  </si>
  <si>
    <t>快速</t>
  </si>
  <si>
    <t>中环路</t>
    <phoneticPr fontId="26" type="noConversion"/>
  </si>
  <si>
    <t>七通</t>
  </si>
  <si>
    <t>五通</t>
  </si>
  <si>
    <t>四通</t>
  </si>
  <si>
    <t>三通</t>
  </si>
  <si>
    <t>较差</t>
  </si>
  <si>
    <t>差</t>
  </si>
  <si>
    <t>新江湾城、嘉誉湾</t>
    <phoneticPr fontId="26" type="noConversion"/>
  </si>
  <si>
    <t>新江湾生活广场</t>
    <phoneticPr fontId="26" type="noConversion"/>
  </si>
  <si>
    <r>
      <rPr>
        <sz val="11"/>
        <rFont val="宋体"/>
        <family val="3"/>
        <charset val="134"/>
      </rPr>
      <t>有</t>
    </r>
    <r>
      <rPr>
        <sz val="11"/>
        <rFont val="Arial"/>
        <family val="2"/>
      </rPr>
      <t>168</t>
    </r>
    <r>
      <rPr>
        <sz val="11"/>
        <rFont val="宋体"/>
        <family val="3"/>
        <charset val="134"/>
      </rPr>
      <t>、</t>
    </r>
    <r>
      <rPr>
        <sz val="11"/>
        <rFont val="Arial"/>
        <family val="2"/>
      </rPr>
      <t>1218</t>
    </r>
    <r>
      <rPr>
        <sz val="11"/>
        <rFont val="宋体"/>
        <family val="3"/>
        <charset val="134"/>
      </rPr>
      <t>等公交及地铁</t>
    </r>
    <r>
      <rPr>
        <sz val="11"/>
        <rFont val="Arial"/>
        <family val="2"/>
      </rPr>
      <t>3</t>
    </r>
    <r>
      <rPr>
        <sz val="11"/>
        <rFont val="宋体"/>
        <family val="3"/>
        <charset val="134"/>
      </rPr>
      <t>号</t>
    </r>
    <phoneticPr fontId="21" type="noConversion"/>
  </si>
  <si>
    <t>自然环境：新江湾城公园；人文环境：复旦大学</t>
    <phoneticPr fontId="21" type="noConversion"/>
  </si>
  <si>
    <t>自然环境：鲁迅公园、凉城公园；人文环境：上海大学</t>
    <phoneticPr fontId="21" type="noConversion"/>
  </si>
  <si>
    <t>逸仙高架桥</t>
    <phoneticPr fontId="26" type="noConversion"/>
  </si>
  <si>
    <t>尚浦名邸、盛世御珑湾</t>
    <phoneticPr fontId="26" type="noConversion"/>
  </si>
  <si>
    <t>悠方购物公园、上海星汇广场</t>
    <phoneticPr fontId="26" type="noConversion"/>
  </si>
  <si>
    <r>
      <rPr>
        <sz val="11"/>
        <rFont val="宋体"/>
        <family val="3"/>
        <charset val="134"/>
      </rPr>
      <t>有</t>
    </r>
    <r>
      <rPr>
        <sz val="11"/>
        <rFont val="Arial"/>
        <family val="2"/>
      </rPr>
      <t>1201</t>
    </r>
    <r>
      <rPr>
        <sz val="11"/>
        <rFont val="宋体"/>
        <family val="3"/>
        <charset val="134"/>
      </rPr>
      <t>、</t>
    </r>
    <r>
      <rPr>
        <sz val="11"/>
        <rFont val="Arial"/>
        <family val="2"/>
      </rPr>
      <t>1218</t>
    </r>
    <r>
      <rPr>
        <sz val="11"/>
        <rFont val="宋体"/>
        <family val="3"/>
        <charset val="134"/>
      </rPr>
      <t>等公交及地铁</t>
    </r>
    <r>
      <rPr>
        <sz val="11"/>
        <rFont val="Arial"/>
        <family val="2"/>
      </rPr>
      <t>10</t>
    </r>
    <r>
      <rPr>
        <sz val="11"/>
        <rFont val="宋体"/>
        <family val="3"/>
        <charset val="134"/>
      </rPr>
      <t>号</t>
    </r>
    <phoneticPr fontId="21" type="noConversion"/>
  </si>
  <si>
    <t>自然环境：安徒生童话乐园；人文环境：/</t>
    <phoneticPr fontId="21" type="noConversion"/>
  </si>
  <si>
    <t>少医院</t>
    <phoneticPr fontId="26" type="noConversion"/>
  </si>
  <si>
    <t>次</t>
  </si>
  <si>
    <t>殷行路</t>
    <phoneticPr fontId="26" type="noConversion"/>
  </si>
  <si>
    <t>权重</t>
    <phoneticPr fontId="26" type="noConversion"/>
  </si>
  <si>
    <t>比较法-住宅、综合</t>
  </si>
  <si>
    <t>楼面地价</t>
  </si>
  <si>
    <t>按合同面积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</si>
</sst>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61" fillId="0" borderId="2" xfId="14" applyBorder="1" applyAlignment="1">
      <alignment horizontal="center" vertical="center" wrapText="1"/>
    </xf>
    <xf numFmtId="0" fontId="261" fillId="0" borderId="0" xfId="14"/>
    <xf numFmtId="0" fontId="261" fillId="0" borderId="2" xfId="14" applyBorder="1" applyAlignment="1">
      <alignment horizontal="center" vertical="center"/>
    </xf>
    <xf numFmtId="0" fontId="261" fillId="0" borderId="2" xfId="14" applyFill="1" applyBorder="1" applyAlignment="1">
      <alignment horizontal="center" vertical="center"/>
    </xf>
    <xf numFmtId="9" fontId="261" fillId="17" borderId="2" xfId="14" applyNumberFormat="1" applyFill="1" applyBorder="1" applyAlignment="1">
      <alignment vertical="center"/>
    </xf>
    <xf numFmtId="9" fontId="261" fillId="18" borderId="2" xfId="14" applyNumberFormat="1" applyFill="1" applyBorder="1" applyAlignment="1">
      <alignment vertical="center"/>
    </xf>
    <xf numFmtId="0" fontId="261" fillId="19" borderId="2" xfId="14" applyFill="1" applyBorder="1" applyAlignment="1">
      <alignment vertical="center"/>
    </xf>
    <xf numFmtId="0" fontId="261" fillId="19" borderId="2" xfId="14" applyFill="1" applyBorder="1" applyAlignment="1">
      <alignment vertical="center" wrapText="1"/>
    </xf>
    <xf numFmtId="0" fontId="261" fillId="0" borderId="0" xfId="14" applyAlignment="1">
      <alignment horizontal="center"/>
    </xf>
    <xf numFmtId="0" fontId="261" fillId="0" borderId="2" xfId="14" applyBorder="1"/>
    <xf numFmtId="0" fontId="261" fillId="17" borderId="2" xfId="14" applyFill="1" applyBorder="1"/>
    <xf numFmtId="0" fontId="261" fillId="11" borderId="2" xfId="14" applyFill="1" applyBorder="1"/>
    <xf numFmtId="0" fontId="261" fillId="19" borderId="2" xfId="14" applyFill="1" applyBorder="1"/>
    <xf numFmtId="0" fontId="261" fillId="20" borderId="2" xfId="14" applyFill="1" applyBorder="1"/>
    <xf numFmtId="0" fontId="261" fillId="18" borderId="2" xfId="14" applyFill="1" applyBorder="1"/>
    <xf numFmtId="0" fontId="261" fillId="6" borderId="2" xfId="14" applyFill="1" applyBorder="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4" fontId="261" fillId="0" borderId="2" xfId="14" applyNumberFormat="1" applyBorder="1" applyAlignment="1">
      <alignment horizontal="right"/>
    </xf>
    <xf numFmtId="0" fontId="81" fillId="0" borderId="2" xfId="0" applyFont="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6" fontId="76" fillId="0" borderId="2" xfId="0" applyNumberFormat="1" applyFont="1" applyFill="1" applyBorder="1" applyAlignment="1" applyProtection="1">
      <alignment horizontal="center" vertical="center"/>
      <protection locked="0"/>
    </xf>
    <xf numFmtId="0" fontId="0" fillId="21" borderId="0" xfId="0" applyFill="1" applyAlignment="1"/>
    <xf numFmtId="0" fontId="0" fillId="6" borderId="0" xfId="0" applyFill="1" applyAlignment="1"/>
    <xf numFmtId="0" fontId="0" fillId="6" borderId="0" xfId="0" applyFill="1" applyBorder="1" applyAlignment="1"/>
    <xf numFmtId="0" fontId="0" fillId="0" borderId="0" xfId="0" applyFill="1" applyAlignment="1"/>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61" fillId="6" borderId="2" xfId="14" applyFill="1" applyBorder="1" applyAlignment="1">
      <alignment horizontal="center" vertical="center" wrapText="1"/>
    </xf>
    <xf numFmtId="0" fontId="261" fillId="7" borderId="2" xfId="14" applyFill="1" applyBorder="1" applyAlignment="1">
      <alignment horizontal="center" vertical="center" wrapText="1"/>
    </xf>
    <xf numFmtId="0" fontId="261" fillId="0" borderId="10" xfId="14" applyBorder="1" applyAlignment="1">
      <alignment horizontal="center"/>
    </xf>
    <xf numFmtId="0" fontId="261" fillId="0" borderId="3" xfId="14" applyBorder="1" applyAlignment="1">
      <alignment horizontal="center"/>
    </xf>
    <xf numFmtId="0" fontId="261" fillId="0" borderId="21" xfId="14" applyBorder="1" applyAlignment="1">
      <alignment horizontal="center"/>
    </xf>
    <xf numFmtId="0" fontId="261" fillId="0" borderId="2" xfId="14" applyBorder="1" applyAlignment="1">
      <alignment horizontal="center" vertical="center" wrapText="1"/>
    </xf>
    <xf numFmtId="0" fontId="261" fillId="0" borderId="5" xfId="14" applyBorder="1" applyAlignment="1">
      <alignment horizontal="center" vertical="center" wrapText="1"/>
    </xf>
    <xf numFmtId="0" fontId="261" fillId="0" borderId="8" xfId="14" applyBorder="1" applyAlignment="1">
      <alignment horizontal="center" vertical="center" wrapText="1"/>
    </xf>
    <xf numFmtId="0" fontId="261" fillId="0" borderId="9" xfId="14" applyBorder="1" applyAlignment="1">
      <alignment horizontal="center" vertical="center" wrapText="1"/>
    </xf>
    <xf numFmtId="0" fontId="261" fillId="0" borderId="10" xfId="14" applyBorder="1" applyAlignment="1">
      <alignment horizontal="center" vertical="center" wrapText="1"/>
    </xf>
    <xf numFmtId="0" fontId="261" fillId="0" borderId="21" xfId="14" applyBorder="1" applyAlignment="1">
      <alignment horizontal="center" vertical="center" wrapText="1"/>
    </xf>
    <xf numFmtId="0" fontId="261" fillId="20" borderId="2" xfId="14" applyFill="1" applyBorder="1" applyAlignment="1">
      <alignment horizontal="center" vertical="center" wrapText="1"/>
    </xf>
    <xf numFmtId="0" fontId="261" fillId="11" borderId="2" xfId="14"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06" fillId="18" borderId="83"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10</xdr:col>
      <xdr:colOff>847380</xdr:colOff>
      <xdr:row>27</xdr:row>
      <xdr:rowOff>37838</xdr:rowOff>
    </xdr:to>
    <xdr:pic>
      <xdr:nvPicPr>
        <xdr:cNvPr id="2" name="图片 1"/>
        <xdr:cNvPicPr>
          <a:picLocks noChangeAspect="1"/>
        </xdr:cNvPicPr>
      </xdr:nvPicPr>
      <xdr:blipFill>
        <a:blip xmlns:r="http://schemas.openxmlformats.org/officeDocument/2006/relationships" r:embed="rId1"/>
        <a:stretch>
          <a:fillRect/>
        </a:stretch>
      </xdr:blipFill>
      <xdr:spPr>
        <a:xfrm>
          <a:off x="8505825" y="4648200"/>
          <a:ext cx="2761905" cy="2095238"/>
        </a:xfrm>
        <a:prstGeom prst="rect">
          <a:avLst/>
        </a:prstGeom>
      </xdr:spPr>
    </xdr:pic>
    <xdr:clientData/>
  </xdr:twoCellAnchor>
  <xdr:twoCellAnchor editAs="oneCell">
    <xdr:from>
      <xdr:col>8</xdr:col>
      <xdr:colOff>0</xdr:colOff>
      <xdr:row>28</xdr:row>
      <xdr:rowOff>0</xdr:rowOff>
    </xdr:from>
    <xdr:to>
      <xdr:col>10</xdr:col>
      <xdr:colOff>742618</xdr:colOff>
      <xdr:row>39</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8505825" y="6877050"/>
          <a:ext cx="2657143"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356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8">
          <cell r="K38">
            <v>11382.9</v>
          </cell>
          <cell r="L38">
            <v>56746.020000000004</v>
          </cell>
          <cell r="O38">
            <v>318079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2656</v>
      </c>
      <c r="B1" s="2917" t="s">
        <v>2753</v>
      </c>
    </row>
    <row r="2" spans="1:55" s="2921" customFormat="1" ht="15" thickTop="1">
      <c r="A2" s="2919" t="s">
        <v>2660</v>
      </c>
      <c r="B2" s="2920" t="str">
        <f>'预评函-封皮'!B37</f>
        <v>上海市静安区宝山路街道147街坊11丘出让国有建设用地使用权抵押价格预评估</v>
      </c>
      <c r="AX2" s="2922"/>
      <c r="AZ2" s="2922"/>
      <c r="BA2" s="2923"/>
      <c r="BC2" s="2923"/>
    </row>
    <row r="3" spans="1:55" s="2924" customFormat="1">
      <c r="A3" s="2903" t="s">
        <v>2661</v>
      </c>
      <c r="B3" s="2906" t="str">
        <f>'预评函-封皮'!B40</f>
        <v>上海恺冠臻房地产开发有限公司</v>
      </c>
    </row>
    <row r="4" spans="1:55" s="2905" customFormat="1">
      <c r="A4" s="2903" t="s">
        <v>2662</v>
      </c>
      <c r="B4" s="2904" t="str">
        <f>'预评函-封皮'!B46</f>
        <v>赵雯、崔锴</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2663</v>
      </c>
      <c r="B5" s="2926" t="str">
        <f>'预评函-封皮'!B49</f>
        <v>康正预评字2018-1-0367-F01DYGJ1号</v>
      </c>
    </row>
    <row r="6" spans="1:55" s="2927" customFormat="1" ht="15" thickTop="1">
      <c r="A6" s="2919" t="s">
        <v>2705</v>
      </c>
      <c r="B6" s="2920" t="str">
        <f>'预评函-1'!A4</f>
        <v>受贵公司委托，我公司对上海市静安区宝山路街道147街坊11丘出让国有建设用地使用权抵押价格进行了预评估。</v>
      </c>
      <c r="AM6" s="2928"/>
    </row>
    <row r="7" spans="1:55" s="2902" customFormat="1">
      <c r="A7" s="2903" t="s">
        <v>2657</v>
      </c>
      <c r="B7" s="2904" t="str">
        <f>'预评函-1'!A6</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8" spans="1:55" s="2902" customFormat="1">
      <c r="A8" s="2903" t="s">
        <v>2658</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2708</v>
      </c>
      <c r="B9" s="2904" t="str">
        <f>'预评函-1'!A9</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2659</v>
      </c>
      <c r="B10" s="2904" t="str">
        <f>'预评函-1'!A11</f>
        <v>2018年5月28日（评估专业人员勘察现场之日）</v>
      </c>
    </row>
    <row r="11" spans="1:55" s="2902" customFormat="1">
      <c r="A11" s="2903" t="s">
        <v>2665</v>
      </c>
      <c r="B11" s="2904" t="str">
        <f>'预评函-1'!A14</f>
        <v>根据《国有土地使用证》[]，本次评估估价对象证载（地类）用途为商住。</v>
      </c>
    </row>
    <row r="12" spans="1:55" s="2902" customFormat="1">
      <c r="A12" s="2903" t="s">
        <v>2666</v>
      </c>
      <c r="B12" s="2904" t="str">
        <f>'预评函-1'!A15</f>
        <v>本次评估设定用途即为证载用途住宅、商业、地下车库。</v>
      </c>
    </row>
    <row r="13" spans="1:55" s="2902" customFormat="1">
      <c r="A13" s="2903" t="s">
        <v>2667</v>
      </c>
      <c r="B13" s="2904" t="str">
        <f>'预评函-1'!A17</f>
        <v>根据委托估价方介绍及评估专业人员现场勘查，本次评估估价对象实际土地开发程度为红线外市政基础设施达“七通”（即、、、、、、）、宗地红线内已开工建设。。</v>
      </c>
    </row>
    <row r="14" spans="1:55" s="2902" customFormat="1">
      <c r="A14" s="2903" t="s">
        <v>2668</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2664</v>
      </c>
      <c r="B15" s="2904" t="str">
        <f>'预评函-1'!A20</f>
        <v>根据《国有土地使用证》[]，估价对象（分摊）出让国有建设用地使用权面积为19651.2平方米。根据《建设工程规划许可证》[]、《出让合同》[]，估价对象规划建筑面积为88257.98平方米。</v>
      </c>
    </row>
    <row r="16" spans="1:55" s="2902" customFormat="1">
      <c r="A16" s="2903" t="s">
        <v>2669</v>
      </c>
      <c r="B16" s="2904" t="str">
        <f>'预评函-1'!A22</f>
        <v>本次估价对象为出让国有建设用地使用权，《国有土地使用证》[]证载土地终止日期为住宅2086年11月14日、商业2056年11月14日地下车库2066年11月14日。截至估价期日，出让国有建设用地使用权剩余土地使用年限为。</v>
      </c>
    </row>
    <row r="17" spans="1:48" s="2902" customFormat="1">
      <c r="A17" s="2903" t="s">
        <v>2670</v>
      </c>
      <c r="B17" s="2904" t="str">
        <f>'预评函-1'!A23</f>
        <v>本次评估设定估价对象剩余土地使用年限为。</v>
      </c>
    </row>
    <row r="18" spans="1:48" s="2902" customFormat="1">
      <c r="A18" s="2903" t="s">
        <v>2671</v>
      </c>
      <c r="B18" s="2904" t="str">
        <f>'预评函-1'!A25</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19" spans="1:48" s="2902" customFormat="1">
      <c r="A19" s="2903" t="s">
        <v>2672</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2673</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2674</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2675</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2676</v>
      </c>
      <c r="B23" s="2904" t="str">
        <f>'预评函-2'!K2</f>
        <v>估价期日：2018年5月28日</v>
      </c>
    </row>
    <row r="24" spans="1:48">
      <c r="A24" s="2903" t="s">
        <v>2677</v>
      </c>
      <c r="B24" s="2904" t="str">
        <f>'预评函-2'!R2</f>
        <v>估价期日的国有建设用地使用权性质：出让</v>
      </c>
    </row>
    <row r="25" spans="1:48">
      <c r="A25" s="2903" t="s">
        <v>2733</v>
      </c>
      <c r="B25" s="2904" t="str">
        <f>'预评函-2'!A3</f>
        <v>估价期日土地使用者</v>
      </c>
    </row>
    <row r="26" spans="1:48">
      <c r="A26" s="2903" t="s">
        <v>2709</v>
      </c>
      <c r="B26" s="2904" t="str">
        <f>'预评函-2'!A5</f>
        <v>中信开发</v>
      </c>
    </row>
    <row r="27" spans="1:48">
      <c r="A27" s="2903" t="s">
        <v>2734</v>
      </c>
      <c r="B27" s="2904" t="str">
        <f>'预评函-2'!B3</f>
        <v>宗地编号/不动产单元号</v>
      </c>
    </row>
    <row r="28" spans="1:48">
      <c r="A28" s="2903" t="s">
        <v>2710</v>
      </c>
      <c r="B28" s="2904" t="str">
        <f>'预评函-2'!B5</f>
        <v>11111111111</v>
      </c>
    </row>
    <row r="29" spans="1:48">
      <c r="A29" s="2903" t="s">
        <v>2736</v>
      </c>
      <c r="B29" s="2904">
        <f>'预评函-2'!C5</f>
        <v>22</v>
      </c>
    </row>
    <row r="30" spans="1:48">
      <c r="A30" s="2903" t="s">
        <v>2737</v>
      </c>
      <c r="B30" s="2904" t="str">
        <f>'预评函-2'!D3</f>
        <v>土地使用证编号/不动产权证书编号</v>
      </c>
    </row>
    <row r="31" spans="1:48">
      <c r="A31" s="2903" t="s">
        <v>2711</v>
      </c>
      <c r="B31" s="2904" t="str">
        <f>'预评函-2'!D5</f>
        <v>京国土字第111号</v>
      </c>
    </row>
    <row r="32" spans="1:48">
      <c r="A32" s="2903" t="s">
        <v>2712</v>
      </c>
      <c r="B32" s="2904" t="str">
        <f>'预评函-2'!E5</f>
        <v>商住</v>
      </c>
      <c r="AV32" s="2908"/>
    </row>
    <row r="33" spans="1:2">
      <c r="A33" s="2903" t="s">
        <v>2713</v>
      </c>
      <c r="B33" s="2904">
        <f>'预评函-2'!F5</f>
        <v>258</v>
      </c>
    </row>
    <row r="34" spans="1:2">
      <c r="A34" s="2903" t="s">
        <v>2714</v>
      </c>
      <c r="B34" s="2904" t="str">
        <f>'预评函-2'!G5</f>
        <v>住宅、商业、地下车库</v>
      </c>
    </row>
    <row r="35" spans="1:2">
      <c r="A35" s="2903" t="s">
        <v>2715</v>
      </c>
      <c r="B35" s="2904">
        <f>'预评函-2'!H5</f>
        <v>1.5</v>
      </c>
    </row>
    <row r="36" spans="1:2">
      <c r="A36" s="2903" t="s">
        <v>2716</v>
      </c>
      <c r="B36" s="2904">
        <f>'预评函-2'!I5</f>
        <v>1.5</v>
      </c>
    </row>
    <row r="37" spans="1:2">
      <c r="A37" s="2903" t="s">
        <v>2717</v>
      </c>
      <c r="B37" s="2904">
        <f>'预评函-2'!J5</f>
        <v>1.5</v>
      </c>
    </row>
    <row r="38" spans="1:2">
      <c r="A38" s="2903" t="s">
        <v>2718</v>
      </c>
      <c r="B38" s="2904" t="str">
        <f>'预评函-2'!K5</f>
        <v>红线外七通、宗地红线内宗地内已开工建设</v>
      </c>
    </row>
    <row r="39" spans="1:2">
      <c r="A39" s="2903" t="s">
        <v>2719</v>
      </c>
      <c r="B39" s="2904" t="str">
        <f>'预评函-2'!L5</f>
        <v>红线外七通、宗地红线内场地平整</v>
      </c>
    </row>
    <row r="40" spans="1:2">
      <c r="A40" s="2903" t="s">
        <v>2738</v>
      </c>
      <c r="B40" s="2904" t="str">
        <f>'预评函-2'!M3</f>
        <v>（剩余）土地使用年限/年</v>
      </c>
    </row>
    <row r="41" spans="1:2">
      <c r="A41" s="2903" t="s">
        <v>2720</v>
      </c>
      <c r="B41" s="2904">
        <f>'预评函-2'!M5</f>
        <v>0</v>
      </c>
    </row>
    <row r="42" spans="1:2">
      <c r="A42" s="2903" t="s">
        <v>2739</v>
      </c>
      <c r="B42" s="2904" t="str">
        <f>'预评函-2'!N3</f>
        <v>（分摊）出让国有建设用地使用权面积/㎡</v>
      </c>
    </row>
    <row r="43" spans="1:2">
      <c r="A43" s="2903" t="s">
        <v>2721</v>
      </c>
      <c r="B43" s="2904">
        <f>'预评函-2'!N5</f>
        <v>19651.2</v>
      </c>
    </row>
    <row r="44" spans="1:2">
      <c r="A44" s="2903" t="s">
        <v>2740</v>
      </c>
      <c r="B44" s="2904" t="str">
        <f>'预评函-2'!O3</f>
        <v>规划建筑面积/㎡</v>
      </c>
    </row>
    <row r="45" spans="1:2">
      <c r="A45" s="2903" t="s">
        <v>2722</v>
      </c>
      <c r="B45" s="2904">
        <f>'预评函-2'!O5</f>
        <v>88257.98000000001</v>
      </c>
    </row>
    <row r="46" spans="1:2">
      <c r="A46" s="2903" t="s">
        <v>2723</v>
      </c>
      <c r="B46" s="2904">
        <f ca="1">'预评函-2'!P5</f>
        <v>298875</v>
      </c>
    </row>
    <row r="47" spans="1:2">
      <c r="A47" s="2903" t="s">
        <v>2724</v>
      </c>
      <c r="B47" s="2904">
        <f ca="1">'预评函-2'!Q5</f>
        <v>66547</v>
      </c>
    </row>
    <row r="48" spans="1:2">
      <c r="A48" s="2903" t="s">
        <v>2725</v>
      </c>
      <c r="B48" s="2904">
        <f ca="1">'预评函-2'!R5</f>
        <v>587326</v>
      </c>
    </row>
    <row r="49" spans="1:2">
      <c r="A49" s="2903" t="s">
        <v>2741</v>
      </c>
      <c r="B49" s="2904" t="str">
        <f>'预评函-2'!A6</f>
        <v>抵押价格</v>
      </c>
    </row>
    <row r="50" spans="1:2">
      <c r="A50" s="2903" t="s">
        <v>2726</v>
      </c>
      <c r="B50" s="2904">
        <f ca="1">'预评函-2'!R6</f>
        <v>587326</v>
      </c>
    </row>
    <row r="51" spans="1:2">
      <c r="A51" s="2903" t="s">
        <v>2742</v>
      </c>
      <c r="B51" s="2904" t="str">
        <f>'预评函-2'!A7</f>
        <v>——</v>
      </c>
    </row>
    <row r="52" spans="1:2">
      <c r="A52" s="2903" t="s">
        <v>2727</v>
      </c>
      <c r="B52" s="2904" t="str">
        <f>'预评函-2'!R7</f>
        <v>——</v>
      </c>
    </row>
    <row r="53" spans="1:2">
      <c r="A53" s="2903" t="s">
        <v>2743</v>
      </c>
      <c r="B53" s="2904">
        <f>'预评函-2'!A8</f>
        <v>0</v>
      </c>
    </row>
    <row r="54" spans="1:2" s="2918" customFormat="1" ht="15" thickBot="1">
      <c r="A54" s="2925" t="s">
        <v>2728</v>
      </c>
      <c r="B54" s="2926" t="str">
        <f>'预评函-2'!R8</f>
        <v>——</v>
      </c>
    </row>
    <row r="55" spans="1:2" ht="15" thickTop="1">
      <c r="A55" s="2914" t="s">
        <v>2678</v>
      </c>
      <c r="B55" s="2915" t="str">
        <f>'预评函-3'!A2</f>
        <v>1.权利限制：根据估价对象《不动产权证书》复印件、《国有土地使用权》复印件，截至估价期日，估价对象抵押权未见登记。未设定租赁等其他他项权利。</v>
      </c>
    </row>
    <row r="56" spans="1:2">
      <c r="A56" s="2903" t="s">
        <v>2679</v>
      </c>
      <c r="B56" s="2904" t="str">
        <f>'预评函-3'!A3</f>
        <v>2.基础设施条件：估价对象实际开发程度为红线外七通、宗地红线内宗地内已开工建设；本次评估设定开发程度为红线外七通、宗地红线内场地平整。</v>
      </c>
    </row>
    <row r="57" spans="1:2">
      <c r="A57" s="2903" t="s">
        <v>2680</v>
      </c>
      <c r="B57" s="2904" t="str">
        <f>'预评函-3'!A4</f>
        <v>3.估价规划限制条件：详见《建设工程规划许可证》[]、《出让合同》[]。</v>
      </c>
    </row>
    <row r="58" spans="1:2" s="2918" customFormat="1" ht="15" thickBot="1">
      <c r="A58" s="2925" t="s">
        <v>2729</v>
      </c>
      <c r="B58" s="2926" t="str">
        <f>'预评函-3'!A5</f>
        <v>4.影响价格的其他限定条件：无。</v>
      </c>
    </row>
    <row r="59" spans="1:2" ht="15" thickTop="1">
      <c r="A59" s="2914" t="s">
        <v>2681</v>
      </c>
      <c r="B59" s="2915" t="str">
        <f>'预评函-3'!A8</f>
        <v>2.本《评估意见函》仅供金融机构进行内部审核使用，不做其他目的之用。</v>
      </c>
    </row>
    <row r="60" spans="1:2">
      <c r="A60" s="2903" t="s">
        <v>2682</v>
      </c>
      <c r="B60" s="2904" t="str">
        <f>'预评函-3'!A9</f>
        <v>3.抵押双方在办理抵押登记手续时，应使用本公司出具的正式《土地估价报告》，特提请报告使用者注意。</v>
      </c>
    </row>
    <row r="61" spans="1:2">
      <c r="A61" s="2903" t="s">
        <v>2684</v>
      </c>
      <c r="B61" s="2904" t="str">
        <f>'预评函-3'!A10</f>
        <v>4.估价师所知悉的法定优先受偿款情况为：</v>
      </c>
    </row>
    <row r="62" spans="1:2">
      <c r="A62" s="2903" t="s">
        <v>2683</v>
      </c>
      <c r="B62" s="2904" t="str">
        <f>'预评函-3'!A11</f>
        <v>（1）根据估价对象《不动产权证书》复印件、《国有土地使用权》复印件，截至估价期日，估价对象抵押权未见登记。</v>
      </c>
    </row>
    <row r="63" spans="1:2">
      <c r="A63" s="2903" t="s">
        <v>2685</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2686</v>
      </c>
      <c r="B64" s="2909" t="str">
        <f>'预评函-3'!A13</f>
        <v>（3）。</v>
      </c>
    </row>
    <row r="65" spans="1:2">
      <c r="A65" s="2903" t="s">
        <v>2687</v>
      </c>
      <c r="B65" s="2910" t="str">
        <f>'预评函-3'!A14</f>
        <v>综上，本次评估不存在估价师知悉的法定优先受偿款</v>
      </c>
    </row>
    <row r="66" spans="1:2">
      <c r="A66" s="2903" t="s">
        <v>2688</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2689</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2692</v>
      </c>
      <c r="B68" s="2929">
        <f>'预评函-3'!D30</f>
        <v>42558</v>
      </c>
    </row>
    <row r="69" spans="1:2" ht="15" thickTop="1">
      <c r="A69" s="2914" t="s">
        <v>2690</v>
      </c>
      <c r="B69" s="2915" t="str">
        <f>'预评函-3'!A20</f>
        <v>赵雯</v>
      </c>
    </row>
    <row r="70" spans="1:2">
      <c r="A70" s="2903" t="s">
        <v>2690</v>
      </c>
      <c r="B70" s="2910">
        <f ca="1">'预评函-3'!B20</f>
        <v>2011110090</v>
      </c>
    </row>
    <row r="71" spans="1:2">
      <c r="A71" s="2903" t="s">
        <v>2691</v>
      </c>
      <c r="B71" s="2904" t="str">
        <f>'预评函-3'!A21</f>
        <v>崔锴</v>
      </c>
    </row>
    <row r="72" spans="1:2" s="2918" customFormat="1" ht="15" thickBot="1">
      <c r="A72" s="2925" t="s">
        <v>2691</v>
      </c>
      <c r="B72" s="2931">
        <f ca="1">'预评函-3'!B21</f>
        <v>2010110070</v>
      </c>
    </row>
    <row r="73" spans="1:2" ht="15" thickTop="1">
      <c r="A73" s="2914" t="s">
        <v>2750</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2751</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2752</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2787</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1" customWidth="1"/>
    <col min="2" max="2" width="11.3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1937</v>
      </c>
      <c r="B1" s="3255" t="str">
        <f>IF(B10="北京市","北京市",C10)&amp;F10&amp;B16&amp;"国有建设用地使用权"&amp;B9&amp;"预评估"</f>
        <v>上海市静安区宝山路街道147街坊11丘出让国有建设用地使用权抵押价格预评估</v>
      </c>
      <c r="C1" s="3256"/>
      <c r="D1" s="3256"/>
      <c r="E1" s="3256"/>
      <c r="F1" s="3256"/>
      <c r="G1" s="3256"/>
      <c r="H1" s="3256"/>
      <c r="I1" s="3257"/>
      <c r="J1" s="1694"/>
      <c r="K1" s="2480" t="str">
        <f>IF(B10="北京市","北京市",C10)&amp;F10&amp;B16&amp;"国有建设用地使用权"&amp;B9</f>
        <v>上海市静安区宝山路街道147街坊11丘出让国有建设用地使用权抵押价格</v>
      </c>
      <c r="L1" s="1723"/>
      <c r="M1" s="1723"/>
      <c r="N1" s="1694"/>
      <c r="O1" s="1695"/>
      <c r="P1" s="1694"/>
      <c r="Q1" s="1694"/>
      <c r="R1" s="1694"/>
      <c r="S1" s="1694"/>
      <c r="T1" s="1694"/>
      <c r="U1" s="1694"/>
    </row>
    <row r="2" spans="1:21">
      <c r="A2" s="1660" t="s">
        <v>1938</v>
      </c>
      <c r="B2" s="1842" t="s">
        <v>2980</v>
      </c>
      <c r="D2" s="1694"/>
      <c r="E2" s="1694"/>
      <c r="F2" s="1694"/>
      <c r="G2" s="1694"/>
      <c r="H2" s="1660"/>
      <c r="I2" s="1695"/>
      <c r="J2" s="1694"/>
      <c r="K2" s="2480" t="str">
        <f>IF(B10="北京市","北京市",C10)&amp;F10&amp;B16&amp;"国有建设用地使用权"</f>
        <v>上海市静安区宝山路街道147街坊11丘出让国有建设用地使用权</v>
      </c>
      <c r="L2" s="1723"/>
      <c r="M2" s="1723"/>
      <c r="N2" s="1694"/>
      <c r="O2" s="1695"/>
      <c r="P2" s="1694"/>
      <c r="Q2" s="1694"/>
      <c r="R2" s="1694"/>
      <c r="S2" s="1694"/>
      <c r="T2" s="1694"/>
      <c r="U2" s="1694"/>
    </row>
    <row r="3" spans="1:21">
      <c r="A3" s="1661" t="s">
        <v>1939</v>
      </c>
      <c r="B3" s="1662">
        <v>43248</v>
      </c>
      <c r="C3" s="1663" t="s">
        <v>1994</v>
      </c>
      <c r="D3" s="1662">
        <f>B3</f>
        <v>43248</v>
      </c>
      <c r="E3" s="1694"/>
      <c r="F3" s="1694"/>
      <c r="G3" s="1694"/>
      <c r="H3" s="1660"/>
      <c r="I3" s="1695"/>
      <c r="J3" s="1694"/>
      <c r="K3" s="1774"/>
      <c r="L3" s="1723"/>
      <c r="M3" s="1723"/>
      <c r="N3" s="1694"/>
      <c r="O3" s="1695"/>
      <c r="P3" s="1694"/>
      <c r="Q3" s="1694"/>
      <c r="R3" s="1694"/>
      <c r="S3" s="1694"/>
      <c r="T3" s="1694"/>
      <c r="U3" s="1694"/>
    </row>
    <row r="4" spans="1:21" ht="15" thickBot="1">
      <c r="A4" s="1664" t="s">
        <v>1940</v>
      </c>
      <c r="B4" s="1843" t="s">
        <v>2981</v>
      </c>
      <c r="C4" s="1846">
        <f ca="1">SUMIF(土地估价师,B4,估价师及机构信息!E3:E24)</f>
        <v>2011110090</v>
      </c>
      <c r="D4" s="1843" t="s">
        <v>2982</v>
      </c>
      <c r="E4" s="1846">
        <f ca="1">SUMIF(土地估价师,D4,估价师及机构信息!E3:E24)</f>
        <v>2010110070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5" thickTop="1">
      <c r="A5" s="1665" t="s">
        <v>1941</v>
      </c>
      <c r="B5" s="1789" t="s">
        <v>2983</v>
      </c>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2984</v>
      </c>
      <c r="C6" s="1761"/>
      <c r="D6" s="1668"/>
      <c r="E6" s="1694"/>
      <c r="F6" s="1694"/>
      <c r="G6" s="1694"/>
      <c r="H6" s="1660"/>
      <c r="I6" s="1695"/>
      <c r="J6" s="1694"/>
      <c r="K6" s="3079" t="str">
        <f>IF(COUNTIF(B6,"*上海银行*"),"上海银行","")</f>
        <v/>
      </c>
      <c r="L6" s="1723"/>
      <c r="M6" s="1723"/>
      <c r="N6" s="1694"/>
      <c r="O6" s="1695"/>
      <c r="P6" s="1694"/>
      <c r="Q6" s="1694"/>
      <c r="R6" s="1694"/>
      <c r="S6" s="1694"/>
      <c r="T6" s="1694"/>
      <c r="U6" s="1694"/>
    </row>
    <row r="7" spans="1:21">
      <c r="A7" s="1669" t="s">
        <v>2707</v>
      </c>
      <c r="B7" s="1789" t="str">
        <f>B5</f>
        <v>上海恺冠臻房地产开发有限公司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1942</v>
      </c>
      <c r="B8" s="1670" t="s">
        <v>2985</v>
      </c>
      <c r="C8" s="1671"/>
      <c r="D8" s="3261" t="s">
        <v>1944</v>
      </c>
      <c r="E8" s="1844" t="s">
        <v>2986</v>
      </c>
      <c r="F8" s="1672"/>
      <c r="G8" s="1660"/>
      <c r="H8" s="1660"/>
      <c r="I8" s="1707"/>
      <c r="J8" s="1694"/>
      <c r="K8" s="1774"/>
      <c r="L8" s="1723"/>
      <c r="M8" s="1723"/>
      <c r="N8" s="1694"/>
      <c r="O8" s="1695"/>
      <c r="P8" s="1694"/>
      <c r="Q8" s="1694"/>
      <c r="R8" s="1694"/>
      <c r="S8" s="1694"/>
      <c r="T8" s="1694"/>
      <c r="U8" s="1694"/>
    </row>
    <row r="9" spans="1:21" ht="15" thickBot="1">
      <c r="A9" s="1673" t="s">
        <v>1943</v>
      </c>
      <c r="B9" s="1674" t="s">
        <v>2986</v>
      </c>
      <c r="C9" s="1675"/>
      <c r="D9" s="3262"/>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2987</v>
      </c>
      <c r="C10" s="1676" t="s">
        <v>2988</v>
      </c>
      <c r="D10" s="1667"/>
      <c r="E10" s="1677" t="s">
        <v>1946</v>
      </c>
      <c r="F10" s="1678" t="s">
        <v>2989</v>
      </c>
      <c r="G10" s="1745"/>
      <c r="H10" s="1746"/>
      <c r="I10" s="1667"/>
      <c r="J10" s="1694"/>
      <c r="K10" s="1774"/>
      <c r="L10" s="1723"/>
      <c r="M10" s="1723"/>
      <c r="N10" s="1694"/>
      <c r="O10" s="1695"/>
      <c r="P10" s="1694"/>
      <c r="Q10" s="1694"/>
      <c r="R10" s="1694"/>
      <c r="S10" s="1694"/>
      <c r="T10" s="1694"/>
      <c r="U10" s="1694"/>
    </row>
    <row r="11" spans="1:21">
      <c r="A11" s="1697" t="s">
        <v>1999</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258" t="s">
        <v>2991</v>
      </c>
      <c r="C12" s="3259"/>
      <c r="D12" s="3260"/>
      <c r="E12" s="1699" t="s">
        <v>2060</v>
      </c>
      <c r="F12" s="3276" t="s">
        <v>2889</v>
      </c>
      <c r="G12" s="3277"/>
      <c r="H12" s="3277"/>
      <c r="I12" s="3278"/>
      <c r="J12" s="1694"/>
      <c r="K12" s="1774"/>
      <c r="L12" s="1723"/>
      <c r="M12" s="1723"/>
      <c r="N12" s="1694"/>
      <c r="O12" s="1695"/>
      <c r="P12" s="1694"/>
      <c r="Q12" s="1694"/>
      <c r="R12" s="1694"/>
      <c r="S12" s="1694"/>
      <c r="T12" s="1694"/>
      <c r="U12" s="1694"/>
    </row>
    <row r="13" spans="1:21">
      <c r="A13" s="1687" t="s">
        <v>2058</v>
      </c>
      <c r="B13" s="3258" t="s">
        <v>2992</v>
      </c>
      <c r="C13" s="3259"/>
      <c r="D13" s="3260"/>
      <c r="E13" s="1699" t="s">
        <v>2060</v>
      </c>
      <c r="F13" s="3276" t="s">
        <v>2890</v>
      </c>
      <c r="G13" s="3277"/>
      <c r="H13" s="3277"/>
      <c r="I13" s="3278"/>
      <c r="J13" s="1694"/>
      <c r="K13" s="1774"/>
      <c r="L13" s="1723"/>
      <c r="M13" s="1723"/>
      <c r="N13" s="1694"/>
      <c r="O13" s="1695"/>
      <c r="P13" s="1694"/>
      <c r="Q13" s="1694"/>
      <c r="R13" s="1694"/>
      <c r="S13" s="1694"/>
      <c r="T13" s="1694"/>
      <c r="U13" s="1694"/>
    </row>
    <row r="14" spans="1:21">
      <c r="A14" s="1661" t="s">
        <v>2061</v>
      </c>
      <c r="B14" s="1699"/>
      <c r="C14" s="1845" t="s">
        <v>2993</v>
      </c>
      <c r="D14" s="1733" t="str">
        <f>IF(C14="不一致","是否符合证载地类范围","")</f>
        <v/>
      </c>
      <c r="E14" s="1699"/>
      <c r="F14" s="1790" t="s">
        <v>2994</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1949</v>
      </c>
      <c r="E15" s="1766" t="s">
        <v>1950</v>
      </c>
      <c r="F15" s="1766" t="s">
        <v>1951</v>
      </c>
      <c r="G15" s="1686" t="s">
        <v>1952</v>
      </c>
      <c r="H15" s="1686" t="s">
        <v>1953</v>
      </c>
      <c r="I15" s="1686" t="s">
        <v>1954</v>
      </c>
      <c r="J15" s="1694"/>
      <c r="K15" s="1774"/>
      <c r="L15" s="1723"/>
      <c r="M15" s="1723"/>
      <c r="N15" s="1694"/>
      <c r="O15" s="1695"/>
      <c r="P15" s="1694"/>
      <c r="Q15" s="1694"/>
      <c r="R15" s="1694"/>
      <c r="S15" s="1694"/>
      <c r="T15" s="1694"/>
      <c r="U15" s="1694"/>
    </row>
    <row r="16" spans="1:21" ht="42.75">
      <c r="A16" s="1680" t="s">
        <v>1947</v>
      </c>
      <c r="B16" s="1681" t="s">
        <v>2995</v>
      </c>
      <c r="C16" s="1699" t="s">
        <v>1948</v>
      </c>
      <c r="D16" s="2671" t="s">
        <v>1949</v>
      </c>
      <c r="E16" s="1722" t="s">
        <v>2996</v>
      </c>
      <c r="F16" s="1722"/>
      <c r="G16" s="1722" t="s">
        <v>35</v>
      </c>
      <c r="H16" s="1722"/>
      <c r="I16" s="1686" t="s">
        <v>1954</v>
      </c>
      <c r="J16" s="1694"/>
      <c r="K16" s="2481" t="str">
        <f>IF(D17="","",D16&amp;TEXT(D17,"yyyy年m月d日;;"))</f>
        <v>住宅2086年11月14日</v>
      </c>
      <c r="L16" s="1699" t="str">
        <f>IF(OR(K16="",M16=""),"","、")</f>
        <v>、</v>
      </c>
      <c r="M16" s="2481" t="str">
        <f>IF(E17="","",E16&amp;TEXT(E17,"yyyy年m月d日;;"))</f>
        <v>商业2056年11月14日</v>
      </c>
      <c r="N16" s="1699" t="str">
        <f>IF(OR(M16="",O16=""),"","、")</f>
        <v/>
      </c>
      <c r="O16" s="2481" t="str">
        <f>IF(F17="","",F16&amp;TEXT(F17,"yyyy年m月d日;;"))</f>
        <v/>
      </c>
      <c r="P16" s="1699" t="str">
        <f>IF(OR(O16="",Q16=""),"","、")</f>
        <v/>
      </c>
      <c r="Q16" s="2481" t="str">
        <f>IF(G17="","",G16&amp;TEXT(G17,"yyyy年m月d日;;"))</f>
        <v>地下车库2066年11月14日</v>
      </c>
      <c r="R16" s="1699" t="str">
        <f>IF(OR(Q16="",S16=""),"","、")</f>
        <v/>
      </c>
      <c r="S16" s="2481" t="str">
        <f>IF(H17="","",H16&amp;TEXT(H17,"yyyy年m月d日;;"))</f>
        <v/>
      </c>
      <c r="T16" s="1699" t="str">
        <f>IF(OR(S16="",U16=""),"","、")</f>
        <v/>
      </c>
      <c r="U16" s="2481" t="str">
        <f>IF(I17="","",I16&amp;TEXT(I17,"yyyy年m月d日;;"))</f>
        <v/>
      </c>
    </row>
    <row r="17" spans="1:21">
      <c r="A17" s="1763"/>
      <c r="B17" s="1682"/>
      <c r="C17" s="1683" t="s">
        <v>1955</v>
      </c>
      <c r="D17" s="1700">
        <v>68255</v>
      </c>
      <c r="E17" s="1700">
        <v>57298</v>
      </c>
      <c r="F17" s="1700"/>
      <c r="G17" s="1700">
        <v>60950</v>
      </c>
      <c r="H17" s="1700"/>
      <c r="I17" s="1700"/>
      <c r="J17" s="1694"/>
      <c r="K17" s="2480" t="str">
        <f>CONCATENATE(K16,L16,M16,N16,O16,P16,Q16,R16,S16,T16,,U16)</f>
        <v>住宅2086年11月14日、商业2056年11月14日地下车库2066年11月14日</v>
      </c>
      <c r="L17" s="1723"/>
      <c r="M17" s="1723"/>
      <c r="N17" s="1694"/>
      <c r="O17" s="1695"/>
      <c r="P17" s="1694"/>
      <c r="Q17" s="1694"/>
      <c r="R17" s="1694"/>
      <c r="S17" s="1694"/>
      <c r="T17" s="1694"/>
      <c r="U17" s="1694"/>
    </row>
    <row r="18" spans="1:21">
      <c r="A18" s="1763"/>
      <c r="B18" s="1682"/>
      <c r="C18" s="1683" t="s">
        <v>1956</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1957</v>
      </c>
      <c r="D19" s="1758">
        <f>IF(B16="出让",IF(D17="","",ROUNDDOWN(MIN((D17-$D$3)/365,D18),2)),D18)</f>
        <v>68.510000000000005</v>
      </c>
      <c r="E19" s="1685">
        <f>IF(B16="出让",IF(E17="","",ROUNDDOWN(MIN((E17-$D$3)/365,E18),2)),E18)</f>
        <v>38.49</v>
      </c>
      <c r="F19" s="1685" t="str">
        <f>IF(B16="出让",IF(F17="","",ROUNDDOWN(MIN((F17-$D$3)/365,F18),2)),F18)</f>
        <v/>
      </c>
      <c r="G19" s="1685">
        <f>IF(B16="出让",IF(G17="","",ROUNDDOWN(MIN((G17-$D$3)/365,G18),2)),G18)</f>
        <v>48.49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273"/>
      <c r="E20" s="3274"/>
      <c r="F20" s="3274"/>
      <c r="G20" s="3274"/>
      <c r="H20" s="3274"/>
      <c r="I20" s="3275"/>
      <c r="J20" s="1694"/>
      <c r="K20" s="1774"/>
      <c r="L20" s="1723"/>
      <c r="M20" s="1723"/>
      <c r="N20" s="1694"/>
      <c r="O20" s="1695"/>
      <c r="P20" s="1694"/>
      <c r="Q20" s="1694"/>
      <c r="R20" s="1694"/>
      <c r="S20" s="1694"/>
      <c r="T20" s="1694"/>
      <c r="U20" s="1694"/>
    </row>
    <row r="21" spans="1:21">
      <c r="A21" s="1763" t="s">
        <v>1958</v>
      </c>
      <c r="B21" s="1764" t="s">
        <v>1959</v>
      </c>
      <c r="C21" s="1759">
        <f>'数据-汇总表'!E3</f>
        <v>88257.98000000001</v>
      </c>
      <c r="D21" s="1760" t="s">
        <v>1960</v>
      </c>
      <c r="E21" s="3263" t="s">
        <v>1997</v>
      </c>
      <c r="F21" s="3264"/>
      <c r="G21" s="3264"/>
      <c r="H21" s="3264"/>
      <c r="I21" s="3265"/>
      <c r="J21" s="1694"/>
      <c r="K21" s="1774"/>
      <c r="L21" s="1723"/>
      <c r="M21" s="1723"/>
      <c r="N21" s="1694"/>
      <c r="O21" s="1695"/>
      <c r="P21" s="1694"/>
      <c r="Q21" s="1694"/>
      <c r="R21" s="1694"/>
      <c r="S21" s="1694"/>
      <c r="T21" s="1694"/>
      <c r="U21" s="1694"/>
    </row>
    <row r="22" spans="1:21">
      <c r="A22" s="3177" t="s">
        <v>952</v>
      </c>
      <c r="B22" s="1661" t="s">
        <v>1961</v>
      </c>
      <c r="C22" s="1686">
        <f>'数据-汇总表'!D3</f>
        <v>19651.2</v>
      </c>
      <c r="D22" s="1687" t="s">
        <v>1960</v>
      </c>
      <c r="E22" s="3263" t="s">
        <v>2891</v>
      </c>
      <c r="F22" s="3264"/>
      <c r="G22" s="3264"/>
      <c r="H22" s="3264"/>
      <c r="I22" s="3265"/>
      <c r="J22" s="1694"/>
      <c r="K22" s="1774"/>
      <c r="L22" s="1723"/>
      <c r="M22" s="1723"/>
      <c r="N22" s="1694"/>
      <c r="O22" s="1695"/>
      <c r="P22" s="1694"/>
      <c r="Q22" s="1694"/>
      <c r="R22" s="1694"/>
      <c r="S22" s="1694"/>
      <c r="T22" s="1694"/>
      <c r="U22" s="1694"/>
    </row>
    <row r="23" spans="1:21" ht="29.25" thickBot="1">
      <c r="A23" s="1765" t="s">
        <v>1962</v>
      </c>
      <c r="B23" s="1701" t="s">
        <v>1963</v>
      </c>
      <c r="C23" s="1702" t="s">
        <v>2997</v>
      </c>
      <c r="D23" s="1703" t="s">
        <v>1964</v>
      </c>
      <c r="E23" s="1704" t="s">
        <v>2997</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1965</v>
      </c>
      <c r="B24" s="3266" t="s">
        <v>1966</v>
      </c>
      <c r="C24" s="3267"/>
      <c r="D24" s="3268" t="s">
        <v>1967</v>
      </c>
      <c r="E24" s="3269"/>
      <c r="F24" s="1708" t="s">
        <v>1968</v>
      </c>
      <c r="G24" s="1694"/>
      <c r="H24" s="1694"/>
      <c r="I24" s="1707"/>
      <c r="J24" s="1694"/>
      <c r="K24" s="3254" t="s">
        <v>1969</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3"/>
      <c r="N24" s="1694"/>
      <c r="O24" s="1695"/>
      <c r="P24" s="1694"/>
      <c r="Q24" s="1694"/>
      <c r="R24" s="1694"/>
      <c r="S24" s="1694"/>
      <c r="T24" s="1694"/>
      <c r="U24" s="1694"/>
    </row>
    <row r="25" spans="1:21" ht="28.5">
      <c r="A25" s="1751"/>
      <c r="B25" s="1748" t="s">
        <v>2324</v>
      </c>
      <c r="C25" s="1709" t="s">
        <v>2325</v>
      </c>
      <c r="D25" s="1710"/>
      <c r="E25" s="1711" t="s">
        <v>952</v>
      </c>
      <c r="F25" s="1712"/>
      <c r="G25" s="1694"/>
      <c r="H25" s="1694"/>
      <c r="I25" s="1707"/>
      <c r="J25" s="1694"/>
      <c r="K25" s="325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1970</v>
      </c>
      <c r="C26" s="1709" t="s">
        <v>2325</v>
      </c>
      <c r="D26" s="1660"/>
      <c r="E26" s="1660"/>
      <c r="F26" s="1688"/>
      <c r="G26" s="1694"/>
      <c r="H26" s="1694"/>
      <c r="I26" s="1707"/>
      <c r="J26" s="1694"/>
      <c r="K26" s="325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1971</v>
      </c>
      <c r="B27" s="1753" t="s">
        <v>1972</v>
      </c>
      <c r="C27" s="1713"/>
      <c r="D27" s="2676" t="s">
        <v>1972</v>
      </c>
      <c r="E27" s="1714"/>
      <c r="F27" s="1688"/>
      <c r="G27" s="1694"/>
      <c r="H27" s="1694"/>
      <c r="I27" s="1707"/>
      <c r="J27" s="1694"/>
      <c r="K27" s="1774"/>
      <c r="L27" s="1723"/>
      <c r="M27" s="1723"/>
      <c r="N27" s="1694"/>
      <c r="O27" s="1695"/>
      <c r="P27" s="1694"/>
      <c r="Q27" s="1694"/>
      <c r="R27" s="1694"/>
      <c r="S27" s="1694"/>
      <c r="T27" s="1694"/>
      <c r="U27" s="1694"/>
    </row>
    <row r="28" spans="1:21">
      <c r="A28" s="1756"/>
      <c r="B28" s="1753" t="s">
        <v>1973</v>
      </c>
      <c r="C28" s="1715"/>
      <c r="D28" s="2677" t="s">
        <v>1973</v>
      </c>
      <c r="E28" s="1716"/>
      <c r="F28" s="1688"/>
      <c r="G28" s="1694"/>
      <c r="H28" s="1694"/>
      <c r="I28" s="1707"/>
      <c r="J28" s="1694"/>
      <c r="K28" s="1774"/>
      <c r="L28" s="1723"/>
      <c r="M28" s="1723"/>
      <c r="N28" s="1694"/>
      <c r="O28" s="1695"/>
      <c r="P28" s="1694"/>
      <c r="Q28" s="1694"/>
      <c r="R28" s="1694"/>
      <c r="S28" s="1694"/>
      <c r="T28" s="1694"/>
      <c r="U28" s="1694"/>
    </row>
    <row r="29" spans="1:21">
      <c r="A29" s="1756"/>
      <c r="B29" s="1753" t="s">
        <v>1974</v>
      </c>
      <c r="C29" s="1715"/>
      <c r="D29" s="2677" t="s">
        <v>1974</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1975</v>
      </c>
      <c r="C30" s="1717"/>
      <c r="D30" s="2678" t="s">
        <v>1975</v>
      </c>
      <c r="E30" s="1718"/>
      <c r="F30" s="1689"/>
      <c r="G30" s="1742"/>
      <c r="H30" s="1742"/>
      <c r="I30" s="1743"/>
      <c r="J30" s="1694"/>
      <c r="K30" s="1774"/>
      <c r="L30" s="1723"/>
      <c r="M30" s="1723"/>
      <c r="N30" s="1694"/>
      <c r="O30" s="1695"/>
      <c r="P30" s="1694"/>
      <c r="Q30" s="1694"/>
      <c r="R30" s="1694"/>
      <c r="S30" s="1694"/>
      <c r="T30" s="1694"/>
      <c r="U30" s="1694"/>
    </row>
    <row r="31" spans="1:21" ht="15" thickTop="1">
      <c r="A31" s="3281" t="s">
        <v>2000</v>
      </c>
      <c r="B31" s="1764" t="s">
        <v>2001</v>
      </c>
      <c r="C31" s="3279" t="s">
        <v>2998</v>
      </c>
      <c r="D31" s="3280"/>
      <c r="E31" s="1694"/>
      <c r="F31" s="1694"/>
      <c r="G31" s="1694"/>
      <c r="H31" s="1694"/>
      <c r="I31" s="1707"/>
      <c r="J31" s="1694"/>
      <c r="K31" s="2483"/>
      <c r="L31" s="1694"/>
      <c r="M31" s="1694"/>
      <c r="N31" s="1694"/>
      <c r="O31" s="1694"/>
      <c r="P31" s="1694"/>
      <c r="Q31" s="1694"/>
      <c r="R31" s="1694"/>
      <c r="S31" s="1694"/>
      <c r="T31" s="1694"/>
      <c r="U31" s="1694"/>
    </row>
    <row r="32" spans="1:21">
      <c r="A32" s="3281"/>
      <c r="B32" s="1661" t="s">
        <v>2002</v>
      </c>
      <c r="C32" s="1719" t="s">
        <v>2999</v>
      </c>
      <c r="D32" s="1720"/>
      <c r="E32" s="1694"/>
      <c r="F32" s="1694"/>
      <c r="G32" s="1694"/>
      <c r="H32" s="1694"/>
      <c r="I32" s="1707"/>
      <c r="J32" s="1694"/>
      <c r="K32" s="2483"/>
      <c r="L32" s="1694"/>
      <c r="M32" s="1694"/>
      <c r="N32" s="1694"/>
      <c r="O32" s="1694"/>
      <c r="P32" s="1694"/>
      <c r="Q32" s="1694"/>
      <c r="R32" s="1694"/>
      <c r="S32" s="1694"/>
      <c r="T32" s="1694"/>
      <c r="U32" s="1694"/>
    </row>
    <row r="33" spans="1:21">
      <c r="A33" s="3281"/>
      <c r="B33" s="1661" t="s">
        <v>2003</v>
      </c>
      <c r="C33" s="1721" t="s">
        <v>3000</v>
      </c>
      <c r="D33" s="1838"/>
      <c r="E33" s="1694"/>
      <c r="F33" s="1694"/>
      <c r="G33" s="1694"/>
      <c r="H33" s="1694"/>
      <c r="I33" s="1707"/>
      <c r="J33" s="1694"/>
      <c r="K33" s="2483"/>
      <c r="L33" s="1694"/>
      <c r="M33" s="1694"/>
      <c r="N33" s="1694"/>
      <c r="O33" s="1694"/>
      <c r="P33" s="1694"/>
      <c r="Q33" s="1694"/>
      <c r="R33" s="1694"/>
      <c r="S33" s="1694"/>
      <c r="T33" s="1694"/>
      <c r="U33" s="1694"/>
    </row>
    <row r="34" spans="1:21">
      <c r="A34" s="3282"/>
      <c r="B34" s="1661" t="s">
        <v>2004</v>
      </c>
      <c r="C34" s="3283" t="s">
        <v>3001</v>
      </c>
      <c r="D34" s="3284"/>
      <c r="E34" s="1694"/>
      <c r="F34" s="1694"/>
      <c r="G34" s="1694"/>
      <c r="H34" s="1694"/>
      <c r="I34" s="1707"/>
      <c r="J34" s="1694"/>
      <c r="K34" s="2483"/>
      <c r="L34" s="1694"/>
      <c r="M34" s="1694"/>
      <c r="N34" s="1694"/>
      <c r="O34" s="1694"/>
      <c r="P34" s="1694"/>
      <c r="Q34" s="1694"/>
      <c r="R34" s="1694"/>
      <c r="S34" s="1694"/>
      <c r="T34" s="1694"/>
      <c r="U34" s="1694"/>
    </row>
    <row r="35" spans="1:21" ht="28.5">
      <c r="A35" s="3285" t="s">
        <v>847</v>
      </c>
      <c r="B35" s="1722" t="s">
        <v>3002</v>
      </c>
      <c r="C35" s="1776" t="str">
        <f>IF(B35="场地平整","——","具体情况：")</f>
        <v>具体情况：</v>
      </c>
      <c r="D35" s="3287"/>
      <c r="E35" s="3288"/>
      <c r="F35" s="3288"/>
      <c r="G35" s="3288"/>
      <c r="H35" s="3288"/>
      <c r="I35" s="3289"/>
      <c r="J35" s="1694"/>
      <c r="K35" s="1775"/>
      <c r="L35" s="1723"/>
      <c r="M35" s="1723"/>
      <c r="N35" s="1694"/>
      <c r="O35" s="1695"/>
      <c r="P35" s="1694"/>
      <c r="Q35" s="1694"/>
      <c r="R35" s="1694"/>
      <c r="S35" s="1694"/>
      <c r="T35" s="1694"/>
      <c r="U35" s="1694"/>
    </row>
    <row r="36" spans="1:21">
      <c r="A36" s="3281"/>
      <c r="B36" s="3290" t="s">
        <v>2053</v>
      </c>
      <c r="C36" s="3291"/>
      <c r="D36" s="1792" t="s">
        <v>3003</v>
      </c>
      <c r="E36" s="3292"/>
      <c r="F36" s="3292"/>
      <c r="G36" s="1687" t="str">
        <f>IF(B35="场地未平整","估价结果处理","")</f>
        <v/>
      </c>
      <c r="H36" s="3293"/>
      <c r="I36" s="3293"/>
      <c r="J36" s="1694"/>
      <c r="K36" s="1775"/>
      <c r="L36" s="1723"/>
      <c r="M36" s="1723"/>
      <c r="N36" s="1694"/>
      <c r="O36" s="1695"/>
      <c r="P36" s="1694"/>
      <c r="Q36" s="1694"/>
      <c r="R36" s="1694"/>
      <c r="S36" s="1694"/>
      <c r="T36" s="1694"/>
      <c r="U36" s="1694"/>
    </row>
    <row r="37" spans="1:21" ht="28.5">
      <c r="A37" s="3281"/>
      <c r="B37" s="3270"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81"/>
      <c r="B38" s="3271"/>
      <c r="C38" s="1669" t="s">
        <v>850</v>
      </c>
      <c r="D38" s="1791">
        <f>ROUNDDOWN(MIN(('数据-取费表'!$B$2-D37)/365,D34),1)</f>
        <v>118.4</v>
      </c>
      <c r="E38" s="1727" t="s">
        <v>851</v>
      </c>
      <c r="F38" s="1694"/>
      <c r="G38" s="1694"/>
      <c r="H38" s="1694"/>
      <c r="I38" s="1707"/>
      <c r="J38" s="1694"/>
      <c r="K38" s="1775"/>
      <c r="L38" s="1694"/>
      <c r="M38" s="1694"/>
      <c r="N38" s="1694"/>
      <c r="O38" s="1694"/>
      <c r="P38" s="1694"/>
      <c r="Q38" s="1694"/>
      <c r="R38" s="1694"/>
      <c r="S38" s="1694"/>
      <c r="T38" s="1694"/>
      <c r="U38" s="1694"/>
    </row>
    <row r="39" spans="1:21">
      <c r="A39" s="3282"/>
      <c r="B39" s="3272"/>
      <c r="C39" s="1697" t="str">
        <f>IF(D38&lt;1,"不存在土地闲置",IF(B35="宗地内已开工建设","已开工，不存在土地闲置","估价对象已涉嫌土地闲置"))</f>
        <v>已开工，不存在土地闲置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1976</v>
      </c>
      <c r="B40" s="1690"/>
      <c r="C40" s="1690"/>
      <c r="D40" s="1690"/>
      <c r="E40" s="1690"/>
      <c r="F40" s="1690"/>
      <c r="G40" s="1690"/>
      <c r="H40" s="1690"/>
      <c r="I40" s="1707"/>
      <c r="J40" s="1694"/>
      <c r="K40" s="1730">
        <f>COUNTIF(B40:H40,"——")</f>
        <v>0</v>
      </c>
      <c r="L40" s="1699" t="s">
        <v>1977</v>
      </c>
      <c r="M40" s="1696" t="s">
        <v>1978</v>
      </c>
      <c r="N40" s="1696" t="s">
        <v>1979</v>
      </c>
      <c r="O40" s="1696" t="s">
        <v>1980</v>
      </c>
      <c r="P40" s="1696" t="s">
        <v>1981</v>
      </c>
      <c r="Q40" s="1696" t="s">
        <v>1982</v>
      </c>
      <c r="R40" s="1696" t="s">
        <v>1983</v>
      </c>
      <c r="S40" s="3253" t="s">
        <v>1984</v>
      </c>
      <c r="T40" s="1731" t="str">
        <f>NUMBERSTRING(7-K40,1)&amp;"通"</f>
        <v>七通</v>
      </c>
      <c r="U40" s="1694"/>
    </row>
    <row r="41" spans="1:21">
      <c r="A41" s="1663"/>
      <c r="B41" s="3286" t="s">
        <v>1719</v>
      </c>
      <c r="C41" s="3286"/>
      <c r="D41" s="3286"/>
      <c r="E41" s="3286"/>
      <c r="F41" s="1732" t="str">
        <f>C10</f>
        <v>上海市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3"/>
      <c r="T41" s="1733" t="str">
        <f>IF(T40="一通",L41,IF(T40="二通",M41,IF(T40="三通",N41,IF(T40="四通",O41,IF(T40="五通",P41,IF(T40="六通",Q41,R41))))))</f>
        <v>、、、、、、</v>
      </c>
      <c r="U41" s="1694"/>
    </row>
    <row r="42" spans="1:21">
      <c r="A42" s="1735"/>
      <c r="B42" s="1766" t="s">
        <v>1895</v>
      </c>
      <c r="C42" s="1766" t="s">
        <v>1896</v>
      </c>
      <c r="D42" s="1766" t="s">
        <v>1897</v>
      </c>
      <c r="E42" s="1699" t="s">
        <v>1898</v>
      </c>
      <c r="F42" s="1736"/>
      <c r="G42" s="1694"/>
      <c r="H42" s="1694"/>
      <c r="I42" s="1707"/>
      <c r="J42" s="1694"/>
      <c r="K42" s="1774"/>
      <c r="L42" s="1723"/>
      <c r="M42" s="1723"/>
      <c r="N42" s="1694"/>
      <c r="O42" s="1695"/>
      <c r="P42" s="1694"/>
      <c r="Q42" s="1694"/>
      <c r="R42" s="1694"/>
      <c r="S42" s="1694"/>
      <c r="T42" s="1694"/>
      <c r="U42" s="1694"/>
    </row>
    <row r="43" spans="1:21">
      <c r="A43" s="1737" t="s">
        <v>1704</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1705</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topLeftCell="A13" workbookViewId="0">
      <selection activeCell="C31" sqref="C31:F31"/>
    </sheetView>
  </sheetViews>
  <sheetFormatPr defaultRowHeight="13.5"/>
  <cols>
    <col min="1" max="1" width="39.875" style="3187" customWidth="1"/>
    <col min="2" max="2" width="10.25" style="3187" customWidth="1"/>
    <col min="3" max="3" width="11.75" style="3187" customWidth="1"/>
    <col min="4" max="4" width="9" style="3187"/>
    <col min="5" max="6" width="10.25" style="3187" customWidth="1"/>
    <col min="7" max="7" width="9" style="3187"/>
    <col min="8" max="8" width="11.25" style="3187" customWidth="1"/>
    <col min="9" max="9" width="11.75" style="3187" customWidth="1"/>
    <col min="10" max="10" width="13.375" style="3187" customWidth="1"/>
    <col min="11" max="11" width="11.625" style="3187" customWidth="1"/>
    <col min="12" max="12" width="13.375" style="3187" customWidth="1"/>
    <col min="13" max="13" width="11.5" style="3187" customWidth="1"/>
    <col min="14" max="17" width="15.5" style="3187" customWidth="1"/>
    <col min="18" max="18" width="19.125" style="3187" customWidth="1"/>
    <col min="19" max="16384" width="9" style="3187"/>
  </cols>
  <sheetData>
    <row r="1" spans="1:19" s="2965" customFormat="1">
      <c r="A1" s="2965" t="s">
        <v>3120</v>
      </c>
      <c r="B1" s="2965" t="s">
        <v>3121</v>
      </c>
      <c r="C1" s="2965" t="s">
        <v>3122</v>
      </c>
      <c r="D1" s="2965" t="s">
        <v>3123</v>
      </c>
      <c r="E1" s="2965" t="s">
        <v>3124</v>
      </c>
      <c r="F1" s="2965" t="s">
        <v>3125</v>
      </c>
      <c r="G1" s="2965" t="s">
        <v>3126</v>
      </c>
      <c r="H1" s="2965" t="s">
        <v>2031</v>
      </c>
      <c r="I1" s="2965" t="s">
        <v>3127</v>
      </c>
      <c r="J1" s="2965" t="s">
        <v>3128</v>
      </c>
      <c r="K1" s="2965" t="s">
        <v>3129</v>
      </c>
      <c r="L1" s="2965" t="s">
        <v>3130</v>
      </c>
      <c r="M1" s="2965" t="s">
        <v>3131</v>
      </c>
      <c r="N1" s="2965" t="s">
        <v>3132</v>
      </c>
      <c r="O1" s="2965" t="s">
        <v>3133</v>
      </c>
      <c r="P1" s="2965" t="s">
        <v>3134</v>
      </c>
      <c r="Q1" s="2965" t="s">
        <v>3135</v>
      </c>
      <c r="R1" s="2965" t="s">
        <v>3136</v>
      </c>
      <c r="S1" s="2965" t="s">
        <v>3137</v>
      </c>
    </row>
    <row r="2" spans="1:19" s="3218" customFormat="1">
      <c r="A2" s="3218" t="s">
        <v>3138</v>
      </c>
      <c r="B2" s="3218" t="s">
        <v>3139</v>
      </c>
      <c r="C2" s="3218" t="s">
        <v>3140</v>
      </c>
      <c r="D2" s="3218" t="s">
        <v>3141</v>
      </c>
      <c r="E2" s="3218" t="s">
        <v>3142</v>
      </c>
      <c r="F2" s="3218">
        <v>31034.1</v>
      </c>
      <c r="G2" s="3218">
        <v>109860.7</v>
      </c>
      <c r="H2" s="3218">
        <v>3.54</v>
      </c>
      <c r="I2" s="3218" t="s">
        <v>2818</v>
      </c>
      <c r="J2" s="3218" t="s">
        <v>2818</v>
      </c>
      <c r="K2" s="3218" t="s">
        <v>2818</v>
      </c>
      <c r="L2" s="3218" t="s">
        <v>2818</v>
      </c>
      <c r="M2" s="3218" t="s">
        <v>3143</v>
      </c>
      <c r="N2" s="3218" t="s">
        <v>3144</v>
      </c>
      <c r="O2" s="3218">
        <v>1101000</v>
      </c>
      <c r="P2" s="3218">
        <v>23651.4</v>
      </c>
      <c r="Q2" s="3218">
        <v>100217.82</v>
      </c>
      <c r="R2" s="3218">
        <v>104935</v>
      </c>
      <c r="S2" s="3218">
        <v>139.35</v>
      </c>
    </row>
    <row r="3" spans="1:19" s="3219" customFormat="1">
      <c r="A3" s="3219" t="s">
        <v>3145</v>
      </c>
      <c r="B3" s="3219" t="s">
        <v>3139</v>
      </c>
      <c r="C3" s="3219" t="s">
        <v>3146</v>
      </c>
      <c r="D3" s="3219" t="s">
        <v>3147</v>
      </c>
      <c r="E3" s="3219" t="s">
        <v>3142</v>
      </c>
      <c r="F3" s="3219">
        <v>19959.5</v>
      </c>
      <c r="G3" s="3219">
        <v>54888.62</v>
      </c>
      <c r="H3" s="3219">
        <v>2.75</v>
      </c>
      <c r="I3" s="3219" t="s">
        <v>2818</v>
      </c>
      <c r="J3" s="3219" t="s">
        <v>2818</v>
      </c>
      <c r="K3" s="3219" t="s">
        <v>2818</v>
      </c>
      <c r="L3" s="3219" t="s">
        <v>2818</v>
      </c>
      <c r="M3" s="3219" t="s">
        <v>3148</v>
      </c>
      <c r="N3" s="3219" t="s">
        <v>3149</v>
      </c>
      <c r="O3" s="3219">
        <v>370000</v>
      </c>
      <c r="P3" s="3219">
        <v>12358.36</v>
      </c>
      <c r="Q3" s="3219">
        <v>67409.240000000005</v>
      </c>
      <c r="R3" s="3219">
        <v>70957</v>
      </c>
      <c r="S3" s="3219">
        <v>77.39</v>
      </c>
    </row>
    <row r="4" spans="1:19" s="3221" customFormat="1">
      <c r="A4" s="3221" t="s">
        <v>3150</v>
      </c>
      <c r="B4" s="3221" t="s">
        <v>3139</v>
      </c>
      <c r="C4" s="3221" t="s">
        <v>3146</v>
      </c>
      <c r="D4" s="3221" t="s">
        <v>3151</v>
      </c>
      <c r="E4" s="3221" t="s">
        <v>3142</v>
      </c>
      <c r="F4" s="3221">
        <v>6885.2</v>
      </c>
      <c r="G4" s="3221">
        <v>9639.2800000000007</v>
      </c>
      <c r="H4" s="3221">
        <v>1.4</v>
      </c>
      <c r="I4" s="3221" t="s">
        <v>2818</v>
      </c>
      <c r="J4" s="3221" t="s">
        <v>2818</v>
      </c>
      <c r="K4" s="3221" t="s">
        <v>2818</v>
      </c>
      <c r="L4" s="3221" t="s">
        <v>2818</v>
      </c>
      <c r="M4" s="3221" t="s">
        <v>3152</v>
      </c>
      <c r="N4" s="3221" t="s">
        <v>3153</v>
      </c>
      <c r="O4" s="3221">
        <v>57700</v>
      </c>
      <c r="P4" s="3221">
        <v>5586.86</v>
      </c>
      <c r="Q4" s="3221">
        <v>59859.23</v>
      </c>
      <c r="R4" s="3221">
        <v>85513</v>
      </c>
      <c r="S4" s="3221">
        <v>62.54</v>
      </c>
    </row>
    <row r="5" spans="1:19" s="3219" customFormat="1">
      <c r="A5" s="3219" t="s">
        <v>3154</v>
      </c>
      <c r="B5" s="3219" t="s">
        <v>3139</v>
      </c>
      <c r="C5" s="3219" t="s">
        <v>3146</v>
      </c>
      <c r="D5" s="3219" t="s">
        <v>3155</v>
      </c>
      <c r="E5" s="3219" t="s">
        <v>3142</v>
      </c>
      <c r="F5" s="3219">
        <v>39805.800000000003</v>
      </c>
      <c r="G5" s="3219">
        <v>59708.7</v>
      </c>
      <c r="H5" s="3219">
        <v>1.5</v>
      </c>
      <c r="I5" s="3219" t="s">
        <v>2818</v>
      </c>
      <c r="J5" s="3219" t="s">
        <v>2818</v>
      </c>
      <c r="K5" s="3219" t="s">
        <v>2818</v>
      </c>
      <c r="L5" s="3219" t="s">
        <v>2818</v>
      </c>
      <c r="M5" s="3219" t="s">
        <v>3156</v>
      </c>
      <c r="N5" s="3219" t="s">
        <v>3157</v>
      </c>
      <c r="O5" s="3219">
        <v>315500</v>
      </c>
      <c r="P5" s="3219">
        <v>5283.99</v>
      </c>
      <c r="Q5" s="3219">
        <v>52839.87</v>
      </c>
      <c r="R5" s="3219">
        <v>70453</v>
      </c>
      <c r="S5" s="3219">
        <v>50.97</v>
      </c>
    </row>
    <row r="6" spans="1:19" s="3219" customFormat="1">
      <c r="A6" s="3219" t="s">
        <v>3159</v>
      </c>
      <c r="B6" s="3220" t="s">
        <v>3139</v>
      </c>
      <c r="C6" s="3220" t="s">
        <v>3146</v>
      </c>
      <c r="D6" s="3220" t="s">
        <v>3155</v>
      </c>
      <c r="E6" s="3220" t="s">
        <v>3142</v>
      </c>
      <c r="F6" s="3220">
        <v>131998.1</v>
      </c>
      <c r="G6" s="3220">
        <v>148497.9</v>
      </c>
      <c r="H6" s="3220">
        <v>1.125</v>
      </c>
      <c r="I6" s="3220" t="s">
        <v>2818</v>
      </c>
      <c r="J6" s="3220" t="s">
        <v>2818</v>
      </c>
      <c r="K6" s="3220" t="s">
        <v>2818</v>
      </c>
      <c r="L6" s="3220" t="s">
        <v>2818</v>
      </c>
      <c r="M6" s="3220" t="s">
        <v>3160</v>
      </c>
      <c r="N6" s="3220" t="s">
        <v>3161</v>
      </c>
      <c r="O6" s="3220">
        <v>729900</v>
      </c>
      <c r="P6" s="3220">
        <v>3686.42</v>
      </c>
      <c r="Q6" s="3220">
        <v>49152.2</v>
      </c>
      <c r="R6" s="3220">
        <v>61440</v>
      </c>
      <c r="S6" s="3220">
        <v>81.69</v>
      </c>
    </row>
    <row r="8" spans="1:19" ht="36.75" customHeight="1">
      <c r="A8" s="3186" t="s">
        <v>3004</v>
      </c>
      <c r="B8" s="3186" t="s">
        <v>3005</v>
      </c>
      <c r="C8" s="3186" t="s">
        <v>3006</v>
      </c>
      <c r="D8" s="3186" t="s">
        <v>3007</v>
      </c>
      <c r="E8" s="3186" t="s">
        <v>3008</v>
      </c>
      <c r="F8" s="3186" t="s">
        <v>3009</v>
      </c>
      <c r="G8" s="3186" t="s">
        <v>3010</v>
      </c>
      <c r="H8" s="3186" t="s">
        <v>3011</v>
      </c>
      <c r="I8" s="3299" t="s">
        <v>3012</v>
      </c>
      <c r="J8" s="3299"/>
      <c r="K8" s="3299"/>
      <c r="L8" s="3300" t="s">
        <v>3013</v>
      </c>
      <c r="M8" s="3301"/>
      <c r="N8" s="3302"/>
      <c r="O8" s="3300" t="s">
        <v>3014</v>
      </c>
      <c r="P8" s="3301"/>
      <c r="Q8" s="3302"/>
    </row>
    <row r="9" spans="1:19" ht="74.25" customHeight="1">
      <c r="A9" s="3188">
        <v>1</v>
      </c>
      <c r="B9" s="3188" t="s">
        <v>3015</v>
      </c>
      <c r="C9" s="3188">
        <v>19651.2</v>
      </c>
      <c r="D9" s="3188">
        <v>3.54</v>
      </c>
      <c r="E9" s="3189">
        <v>69497.679999999993</v>
      </c>
      <c r="F9" s="3190">
        <v>0.9</v>
      </c>
      <c r="G9" s="3191">
        <v>0.1</v>
      </c>
      <c r="H9" s="3303" t="s">
        <v>3016</v>
      </c>
      <c r="I9" s="3192"/>
      <c r="J9" s="3299" t="s">
        <v>3017</v>
      </c>
      <c r="K9" s="3305" t="s">
        <v>3018</v>
      </c>
      <c r="L9" s="3306" t="s">
        <v>3019</v>
      </c>
      <c r="M9" s="3303" t="s">
        <v>3020</v>
      </c>
      <c r="N9" s="3303" t="s">
        <v>3021</v>
      </c>
      <c r="O9" s="3299" t="s">
        <v>3022</v>
      </c>
      <c r="P9" s="3294" t="s">
        <v>3023</v>
      </c>
      <c r="Q9" s="3295" t="s">
        <v>3024</v>
      </c>
    </row>
    <row r="10" spans="1:19" ht="93" customHeight="1">
      <c r="A10" s="3188">
        <v>2</v>
      </c>
      <c r="B10" s="3188" t="s">
        <v>3025</v>
      </c>
      <c r="C10" s="3188">
        <v>11382.9</v>
      </c>
      <c r="D10" s="3188">
        <v>3.54</v>
      </c>
      <c r="E10" s="3189">
        <v>40256.32</v>
      </c>
      <c r="F10" s="3190">
        <v>0.9</v>
      </c>
      <c r="G10" s="3191">
        <v>0.1</v>
      </c>
      <c r="H10" s="3304"/>
      <c r="I10" s="3193" t="s">
        <v>3026</v>
      </c>
      <c r="J10" s="3299"/>
      <c r="K10" s="3305"/>
      <c r="L10" s="3306"/>
      <c r="M10" s="3304"/>
      <c r="N10" s="3304"/>
      <c r="O10" s="3299"/>
      <c r="P10" s="3294"/>
      <c r="Q10" s="3295"/>
    </row>
    <row r="11" spans="1:19">
      <c r="A11" s="3194"/>
      <c r="B11" s="3194"/>
      <c r="C11" s="3194">
        <f>SUM(C9:C10)</f>
        <v>31034.1</v>
      </c>
      <c r="D11" s="3194"/>
      <c r="E11" s="3194">
        <f>SUM(E9:E10)</f>
        <v>109754</v>
      </c>
      <c r="F11" s="3187">
        <f>E11*F10</f>
        <v>98778.6</v>
      </c>
      <c r="G11" s="3187">
        <f>E11-F11</f>
        <v>10975.399999999994</v>
      </c>
    </row>
    <row r="15" spans="1:19">
      <c r="H15" s="3223"/>
    </row>
    <row r="16" spans="1:19">
      <c r="B16" s="3187" t="s">
        <v>3027</v>
      </c>
      <c r="C16" s="3195"/>
      <c r="D16" s="3188" t="s">
        <v>3028</v>
      </c>
      <c r="E16" s="3188" t="s">
        <v>3029</v>
      </c>
      <c r="F16" s="3195" t="s">
        <v>3030</v>
      </c>
    </row>
    <row r="17" spans="3:6">
      <c r="C17" s="3195" t="s">
        <v>3031</v>
      </c>
      <c r="D17" s="3195">
        <f>C9</f>
        <v>19651.2</v>
      </c>
      <c r="E17" s="3195">
        <f>C10</f>
        <v>11382.9</v>
      </c>
      <c r="F17" s="3195">
        <f>SUM(D17:E17)</f>
        <v>31034.1</v>
      </c>
    </row>
    <row r="18" spans="3:6">
      <c r="C18" s="3195" t="s">
        <v>3032</v>
      </c>
      <c r="D18" s="3195">
        <f>SUM(D19:D25)</f>
        <v>65991.88</v>
      </c>
      <c r="E18" s="3195">
        <f>SUM(E19:E25)</f>
        <v>43762.12</v>
      </c>
      <c r="F18" s="3195">
        <f t="shared" ref="F18:F26" si="0">SUM(D18:E18)</f>
        <v>109754</v>
      </c>
    </row>
    <row r="19" spans="3:6">
      <c r="C19" s="3195" t="s">
        <v>3033</v>
      </c>
      <c r="D19" s="3196">
        <v>59351.88</v>
      </c>
      <c r="E19" s="3196">
        <v>30630.720000000001</v>
      </c>
      <c r="F19" s="3196">
        <f t="shared" si="0"/>
        <v>89982.6</v>
      </c>
    </row>
    <row r="20" spans="3:6">
      <c r="C20" s="3195" t="s">
        <v>3034</v>
      </c>
      <c r="D20" s="3197">
        <v>0</v>
      </c>
      <c r="E20" s="3197">
        <v>4939</v>
      </c>
      <c r="F20" s="3197">
        <f t="shared" si="0"/>
        <v>4939</v>
      </c>
    </row>
    <row r="21" spans="3:6">
      <c r="C21" s="3195" t="s">
        <v>3035</v>
      </c>
      <c r="D21" s="3198">
        <v>0</v>
      </c>
      <c r="E21" s="3198">
        <v>2000</v>
      </c>
      <c r="F21" s="3198">
        <f t="shared" si="0"/>
        <v>2000</v>
      </c>
    </row>
    <row r="22" spans="3:6">
      <c r="C22" s="3195" t="s">
        <v>3036</v>
      </c>
      <c r="D22" s="3199">
        <v>0</v>
      </c>
      <c r="E22" s="3199">
        <v>572</v>
      </c>
      <c r="F22" s="3199">
        <f t="shared" si="0"/>
        <v>572</v>
      </c>
    </row>
    <row r="23" spans="3:6">
      <c r="C23" s="3195" t="s">
        <v>3037</v>
      </c>
      <c r="D23" s="3195">
        <v>440</v>
      </c>
      <c r="E23" s="3195">
        <v>845</v>
      </c>
      <c r="F23" s="3195">
        <f t="shared" si="0"/>
        <v>1285</v>
      </c>
    </row>
    <row r="24" spans="3:6">
      <c r="C24" s="3195" t="s">
        <v>3038</v>
      </c>
      <c r="D24" s="3200">
        <v>6200</v>
      </c>
      <c r="E24" s="3200">
        <v>2775.4</v>
      </c>
      <c r="F24" s="3200">
        <f t="shared" si="0"/>
        <v>8975.4</v>
      </c>
    </row>
    <row r="25" spans="3:6">
      <c r="C25" s="3195" t="s">
        <v>3039</v>
      </c>
      <c r="D25" s="3198">
        <v>0</v>
      </c>
      <c r="E25" s="3198">
        <v>2000</v>
      </c>
      <c r="F25" s="3198">
        <f t="shared" si="0"/>
        <v>2000</v>
      </c>
    </row>
    <row r="26" spans="3:6">
      <c r="C26" s="3195" t="s">
        <v>3040</v>
      </c>
      <c r="D26" s="3201">
        <v>1456.67</v>
      </c>
      <c r="E26" s="3201">
        <v>12619.33</v>
      </c>
      <c r="F26" s="3201">
        <f t="shared" si="0"/>
        <v>14076</v>
      </c>
    </row>
    <row r="27" spans="3:6">
      <c r="C27" s="3195" t="s">
        <v>3114</v>
      </c>
      <c r="D27" s="3188">
        <v>34085.599999999999</v>
      </c>
      <c r="E27" s="3188">
        <v>19876.14</v>
      </c>
      <c r="F27" s="3195">
        <f>SUM(D27:E27)</f>
        <v>53961.74</v>
      </c>
    </row>
    <row r="28" spans="3:6">
      <c r="C28" s="3195" t="s">
        <v>3115</v>
      </c>
      <c r="D28" s="3188">
        <v>653</v>
      </c>
      <c r="E28" s="3188">
        <v>411</v>
      </c>
      <c r="F28" s="3195"/>
    </row>
    <row r="29" spans="3:6">
      <c r="C29" s="3195"/>
      <c r="D29" s="3188">
        <v>30</v>
      </c>
      <c r="E29" s="3188">
        <f>D29</f>
        <v>30</v>
      </c>
      <c r="F29" s="3195"/>
    </row>
    <row r="30" spans="3:6">
      <c r="C30" s="3195"/>
      <c r="D30" s="3188">
        <f>D28*D29</f>
        <v>19590</v>
      </c>
      <c r="E30" s="3188">
        <f>E29*E28</f>
        <v>12330</v>
      </c>
      <c r="F30" s="3195"/>
    </row>
    <row r="31" spans="3:6">
      <c r="C31" s="3195" t="s">
        <v>3194</v>
      </c>
      <c r="D31" s="3188">
        <f>ROUND(D27/F27*35250,2)</f>
        <v>22266.1</v>
      </c>
      <c r="E31" s="3188">
        <f>35250-D31</f>
        <v>12983.900000000001</v>
      </c>
      <c r="F31" s="3195">
        <f>SUM(D31:E31)</f>
        <v>35250</v>
      </c>
    </row>
    <row r="32" spans="3:6">
      <c r="C32" s="3195"/>
      <c r="D32" s="3188"/>
      <c r="E32" s="3188"/>
      <c r="F32" s="3195"/>
    </row>
    <row r="36" spans="2:5">
      <c r="C36" s="3187" t="s">
        <v>3091</v>
      </c>
    </row>
    <row r="38" spans="2:5">
      <c r="B38" s="3195" t="s">
        <v>3096</v>
      </c>
      <c r="C38" s="3195" t="s">
        <v>3092</v>
      </c>
      <c r="D38" s="3195" t="s">
        <v>3093</v>
      </c>
      <c r="E38" s="3195" t="s">
        <v>3094</v>
      </c>
    </row>
    <row r="39" spans="2:5">
      <c r="B39" s="3195"/>
      <c r="C39" s="3195">
        <v>400</v>
      </c>
      <c r="D39" s="3195">
        <v>150000</v>
      </c>
      <c r="E39" s="3212">
        <f t="shared" ref="E39:E45" si="1">D39/C39/30</f>
        <v>12.5</v>
      </c>
    </row>
    <row r="40" spans="2:5">
      <c r="B40" s="3195"/>
      <c r="C40" s="3195">
        <v>620</v>
      </c>
      <c r="D40" s="3195">
        <v>190000</v>
      </c>
      <c r="E40" s="3212">
        <f t="shared" si="1"/>
        <v>10.21505376344086</v>
      </c>
    </row>
    <row r="41" spans="2:5">
      <c r="B41" s="3195"/>
      <c r="C41" s="3195">
        <v>134</v>
      </c>
      <c r="D41" s="3195">
        <v>15000</v>
      </c>
      <c r="E41" s="3212">
        <f t="shared" si="1"/>
        <v>3.7313432835820897</v>
      </c>
    </row>
    <row r="42" spans="2:5">
      <c r="B42" s="3296" t="s">
        <v>3095</v>
      </c>
      <c r="C42" s="3195">
        <v>186</v>
      </c>
      <c r="D42" s="3195">
        <v>26000</v>
      </c>
      <c r="E42" s="3212">
        <f t="shared" si="1"/>
        <v>4.6594982078853047</v>
      </c>
    </row>
    <row r="43" spans="2:5">
      <c r="B43" s="3297"/>
      <c r="C43" s="3195">
        <v>108</v>
      </c>
      <c r="D43" s="3195">
        <v>17000</v>
      </c>
      <c r="E43" s="3212">
        <f t="shared" si="1"/>
        <v>5.2469135802469138</v>
      </c>
    </row>
    <row r="44" spans="2:5">
      <c r="B44" s="3298"/>
      <c r="C44" s="3195">
        <v>87</v>
      </c>
      <c r="D44" s="3195">
        <v>10000</v>
      </c>
      <c r="E44" s="3212">
        <f t="shared" si="1"/>
        <v>3.8314176245210727</v>
      </c>
    </row>
    <row r="45" spans="2:5">
      <c r="B45" s="3296" t="s">
        <v>3097</v>
      </c>
      <c r="C45" s="3195">
        <v>186</v>
      </c>
      <c r="D45" s="3195">
        <v>26000</v>
      </c>
      <c r="E45" s="3212">
        <f t="shared" si="1"/>
        <v>4.6594982078853047</v>
      </c>
    </row>
    <row r="46" spans="2:5">
      <c r="B46" s="3297"/>
      <c r="C46" s="3195">
        <v>109</v>
      </c>
      <c r="D46" s="3195">
        <v>19000</v>
      </c>
      <c r="E46" s="3212">
        <f t="shared" ref="E46:E47" si="2">D46/C46/30</f>
        <v>5.81039755351682</v>
      </c>
    </row>
    <row r="47" spans="2:5">
      <c r="B47" s="3298"/>
      <c r="C47" s="3195">
        <v>198</v>
      </c>
      <c r="D47" s="3195">
        <v>26000</v>
      </c>
      <c r="E47" s="3212">
        <f t="shared" si="2"/>
        <v>4.3771043771043772</v>
      </c>
    </row>
    <row r="48" spans="2:5">
      <c r="B48" s="3195"/>
      <c r="C48" s="3195"/>
      <c r="D48" s="3195"/>
      <c r="E48" s="3212"/>
    </row>
    <row r="49" spans="2:5">
      <c r="B49" s="3195"/>
      <c r="C49" s="3195"/>
      <c r="D49" s="3195"/>
      <c r="E49" s="3195"/>
    </row>
  </sheetData>
  <mergeCells count="14">
    <mergeCell ref="P9:P10"/>
    <mergeCell ref="Q9:Q10"/>
    <mergeCell ref="B42:B44"/>
    <mergeCell ref="B45:B47"/>
    <mergeCell ref="I8:K8"/>
    <mergeCell ref="L8:N8"/>
    <mergeCell ref="O8:Q8"/>
    <mergeCell ref="H9:H10"/>
    <mergeCell ref="J9:J10"/>
    <mergeCell ref="K9:K10"/>
    <mergeCell ref="L9:L10"/>
    <mergeCell ref="M9:M10"/>
    <mergeCell ref="N9:N10"/>
    <mergeCell ref="O9:O10"/>
  </mergeCells>
  <phoneticPr fontId="233"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2332</v>
      </c>
      <c r="BA2" s="2362"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面积表!D17</f>
        <v>19651.2</v>
      </c>
      <c r="B3" s="22">
        <f>IF(C3="否",G5-AT5,G5)</f>
        <v>88257.98000000001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88257.98000000001</v>
      </c>
      <c r="H5" s="27">
        <f t="shared" ref="H5:AT5" si="0">SUM(H13:H641)</f>
        <v>85141.88</v>
      </c>
      <c r="I5" s="27">
        <f t="shared" si="0"/>
        <v>59351.88</v>
      </c>
      <c r="J5" s="27">
        <f t="shared" si="0"/>
        <v>0</v>
      </c>
      <c r="K5" s="27">
        <f t="shared" si="0"/>
        <v>6200</v>
      </c>
      <c r="L5" s="27">
        <f t="shared" si="0"/>
        <v>0</v>
      </c>
      <c r="M5" s="27">
        <f t="shared" si="0"/>
        <v>19590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3116.0999999999985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440</v>
      </c>
      <c r="AM5" s="27">
        <f t="shared" si="0"/>
        <v>0</v>
      </c>
      <c r="AN5" s="27">
        <f t="shared" si="0"/>
        <v>2676.0999999999985</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88257.98000000001</v>
      </c>
      <c r="BA5" s="29">
        <f t="shared" si="1"/>
        <v>85141.88</v>
      </c>
      <c r="BB5" s="29">
        <f t="shared" si="1"/>
        <v>59351.88</v>
      </c>
      <c r="BC5" s="29">
        <f t="shared" si="1"/>
        <v>6200</v>
      </c>
      <c r="BD5" s="29">
        <f t="shared" si="1"/>
        <v>19590</v>
      </c>
      <c r="BE5" s="29">
        <f t="shared" si="1"/>
        <v>0</v>
      </c>
      <c r="BF5" s="29">
        <f t="shared" si="1"/>
        <v>0</v>
      </c>
      <c r="BG5" s="29">
        <f t="shared" si="1"/>
        <v>0</v>
      </c>
      <c r="BH5" s="29">
        <f t="shared" si="1"/>
        <v>0</v>
      </c>
      <c r="BI5" s="29">
        <f t="shared" si="1"/>
        <v>0</v>
      </c>
      <c r="BJ5" s="29">
        <f t="shared" si="1"/>
        <v>0</v>
      </c>
      <c r="BK5" s="29">
        <f t="shared" si="1"/>
        <v>0</v>
      </c>
      <c r="BL5" s="29">
        <f t="shared" si="1"/>
        <v>3116.0999999999985</v>
      </c>
      <c r="BM5" s="29">
        <f t="shared" si="1"/>
        <v>0</v>
      </c>
      <c r="BN5" s="29">
        <f t="shared" si="1"/>
        <v>0</v>
      </c>
      <c r="BO5" s="29">
        <f t="shared" si="1"/>
        <v>0</v>
      </c>
      <c r="BP5" s="29">
        <f t="shared" si="1"/>
        <v>0</v>
      </c>
      <c r="BQ5" s="29">
        <f t="shared" si="1"/>
        <v>440</v>
      </c>
      <c r="BR5" s="29">
        <f t="shared" si="1"/>
        <v>2676.0999999999985</v>
      </c>
      <c r="BS5" s="29">
        <f t="shared" si="1"/>
        <v>0</v>
      </c>
      <c r="BT5" s="30">
        <f t="shared" si="1"/>
        <v>0</v>
      </c>
    </row>
    <row r="6" spans="1:72" s="37" customFormat="1" ht="12.75">
      <c r="A6" s="26" t="s">
        <v>169</v>
      </c>
      <c r="B6" s="31"/>
      <c r="C6" s="31"/>
      <c r="D6" s="32"/>
      <c r="E6" s="27">
        <f>H6+AC6+AT6</f>
        <v>19651.199999999997</v>
      </c>
      <c r="F6" s="27" t="s">
        <v>1</v>
      </c>
      <c r="G6" s="27" t="s">
        <v>2</v>
      </c>
      <c r="H6" s="33">
        <f>SUMIF(I$12:AB$12,"总值",I6:AB6)</f>
        <v>18957.379999999997</v>
      </c>
      <c r="I6" s="27">
        <f t="shared" ref="I6:AB6" si="2">ROUND($A$3*I5/$B$3,2)</f>
        <v>13215.07</v>
      </c>
      <c r="J6" s="27">
        <f t="shared" si="2"/>
        <v>0</v>
      </c>
      <c r="K6" s="27">
        <f t="shared" si="2"/>
        <v>1380.47</v>
      </c>
      <c r="L6" s="27">
        <f t="shared" si="2"/>
        <v>0</v>
      </c>
      <c r="M6" s="27">
        <f t="shared" si="2"/>
        <v>4361.84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693.82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97.97</v>
      </c>
      <c r="AM6" s="27">
        <f t="shared" si="3"/>
        <v>0</v>
      </c>
      <c r="AN6" s="27">
        <f t="shared" si="3"/>
        <v>595.85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19651.2</v>
      </c>
      <c r="AZ6" s="27" t="s">
        <v>3</v>
      </c>
      <c r="BA6" s="27">
        <f>ROUND($AY$6*BA5/$AZ$5,2)</f>
        <v>18957.38</v>
      </c>
      <c r="BB6" s="27">
        <f>ROUND($AY$6*BB5/$AZ$5,2)</f>
        <v>13215.07</v>
      </c>
      <c r="BC6" s="27">
        <f t="shared" ref="BC6:BH6" si="4">ROUND($AY$6*BC5/$AZ$5,2)</f>
        <v>1380.47</v>
      </c>
      <c r="BD6" s="27">
        <f t="shared" si="4"/>
        <v>4361.84</v>
      </c>
      <c r="BE6" s="27">
        <f t="shared" si="4"/>
        <v>0</v>
      </c>
      <c r="BF6" s="27">
        <f t="shared" si="4"/>
        <v>0</v>
      </c>
      <c r="BG6" s="27">
        <f t="shared" si="4"/>
        <v>0</v>
      </c>
      <c r="BH6" s="27">
        <f t="shared" si="4"/>
        <v>0</v>
      </c>
      <c r="BI6" s="27">
        <f t="shared" ref="BI6:BT6" si="5">ROUND($AY$6*BI5/$AZ$5,2)</f>
        <v>0</v>
      </c>
      <c r="BJ6" s="27">
        <f t="shared" si="5"/>
        <v>0</v>
      </c>
      <c r="BK6" s="27">
        <f t="shared" si="5"/>
        <v>0</v>
      </c>
      <c r="BL6" s="27">
        <f t="shared" si="5"/>
        <v>693.82</v>
      </c>
      <c r="BM6" s="27">
        <f t="shared" si="5"/>
        <v>0</v>
      </c>
      <c r="BN6" s="27">
        <f t="shared" si="5"/>
        <v>0</v>
      </c>
      <c r="BO6" s="27">
        <f t="shared" si="5"/>
        <v>0</v>
      </c>
      <c r="BP6" s="27">
        <f t="shared" si="5"/>
        <v>0</v>
      </c>
      <c r="BQ6" s="27">
        <f t="shared" si="5"/>
        <v>97.97</v>
      </c>
      <c r="BR6" s="27">
        <f t="shared" si="5"/>
        <v>595.85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3042</v>
      </c>
      <c r="J9" s="51"/>
      <c r="K9" s="3042" t="s">
        <v>3042</v>
      </c>
      <c r="L9" s="51"/>
      <c r="M9" s="3042" t="s">
        <v>3050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2996</v>
      </c>
      <c r="L10" s="51"/>
      <c r="M10" s="3044" t="s">
        <v>3051</v>
      </c>
      <c r="N10" s="51"/>
      <c r="O10" s="66"/>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2330</v>
      </c>
      <c r="AK10" s="2334"/>
      <c r="AL10" s="2315" t="s">
        <v>2318</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3043</v>
      </c>
      <c r="J11" s="71"/>
      <c r="K11" s="3043" t="s">
        <v>3048</v>
      </c>
      <c r="L11" s="71"/>
      <c r="M11" s="70" t="s">
        <v>3051</v>
      </c>
      <c r="N11" s="71"/>
      <c r="O11" s="70"/>
      <c r="P11" s="71"/>
      <c r="Q11" s="70"/>
      <c r="R11" s="71"/>
      <c r="S11" s="70"/>
      <c r="T11" s="71"/>
      <c r="U11" s="70"/>
      <c r="V11" s="71"/>
      <c r="W11" s="70"/>
      <c r="X11" s="71"/>
      <c r="Y11" s="70"/>
      <c r="Z11" s="71"/>
      <c r="AA11" s="70"/>
      <c r="AB11" s="71"/>
      <c r="AC11" s="55"/>
      <c r="AD11" s="2335" t="s">
        <v>2329</v>
      </c>
      <c r="AE11" s="1002"/>
      <c r="AF11" s="2335" t="s">
        <v>2329</v>
      </c>
      <c r="AG11" s="1002"/>
      <c r="AH11" s="2335" t="s">
        <v>2328</v>
      </c>
      <c r="AI11" s="2336"/>
      <c r="AJ11" s="2335" t="s">
        <v>2328</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3041</v>
      </c>
      <c r="D13" s="3040" t="s">
        <v>1679</v>
      </c>
      <c r="E13" s="27">
        <f t="shared" ref="E13:E20" si="6">IF($C$3="是",ROUND($A$3*G13/$B$3,2),ROUND($A$3*(G13-AT13)/$B$3,2))</f>
        <v>12890.74</v>
      </c>
      <c r="F13" s="81"/>
      <c r="G13" s="82">
        <f t="shared" ref="G13:G20" si="7">H13+AC13+AT13</f>
        <v>57895.21</v>
      </c>
      <c r="H13" s="33">
        <f t="shared" ref="H13:H20" si="8">SUMIF(I$12:AB$12,"总值",I13:AB13)</f>
        <v>57895.21</v>
      </c>
      <c r="I13" s="3041">
        <f>面积表!D19-I14</f>
        <v>57895.21</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6">
        <f t="shared" ref="AY13:AY20" si="11">ROUND($AY$6*AZ13/$AZ$5,2)</f>
        <v>12890.74</v>
      </c>
      <c r="AZ13" s="27">
        <f t="shared" ref="AZ13:AZ20" si="12">BA13+BL13</f>
        <v>57895.21</v>
      </c>
      <c r="BA13" s="27">
        <f t="shared" ref="BA13:BA20" si="13">SUM(BB13:BK13)</f>
        <v>57895.21</v>
      </c>
      <c r="BB13" s="27">
        <f t="shared" ref="BB13:BB20" si="14">IF($D13="是",I13-J13,0)</f>
        <v>57895.21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39" t="s">
        <v>3045</v>
      </c>
      <c r="D14" s="3040" t="s">
        <v>1679</v>
      </c>
      <c r="E14" s="27">
        <f t="shared" si="6"/>
        <v>324.33999999999997</v>
      </c>
      <c r="F14" s="81"/>
      <c r="G14" s="82">
        <f t="shared" si="7"/>
        <v>1456.67</v>
      </c>
      <c r="H14" s="33">
        <f t="shared" si="8"/>
        <v>1456.67</v>
      </c>
      <c r="I14" s="3041">
        <f>面积表!D26</f>
        <v>1456.67</v>
      </c>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自持住宅</v>
      </c>
      <c r="AY14" s="996">
        <f t="shared" si="11"/>
        <v>324.33999999999997</v>
      </c>
      <c r="AZ14" s="27">
        <f t="shared" si="12"/>
        <v>1456.67</v>
      </c>
      <c r="BA14" s="27">
        <f t="shared" si="13"/>
        <v>1456.67</v>
      </c>
      <c r="BB14" s="27">
        <f t="shared" si="14"/>
        <v>1456.67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39" t="s">
        <v>3046</v>
      </c>
      <c r="D15" s="3040" t="s">
        <v>1679</v>
      </c>
      <c r="E15" s="27">
        <f t="shared" si="6"/>
        <v>1380.47</v>
      </c>
      <c r="F15" s="81"/>
      <c r="G15" s="82">
        <f t="shared" si="7"/>
        <v>6200</v>
      </c>
      <c r="H15" s="33">
        <f t="shared" si="8"/>
        <v>6200</v>
      </c>
      <c r="I15" s="3041"/>
      <c r="J15" s="3041"/>
      <c r="K15" s="3041">
        <f>面积表!D24</f>
        <v>6200</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商业</v>
      </c>
      <c r="AY15" s="996">
        <f t="shared" si="11"/>
        <v>1380.47</v>
      </c>
      <c r="AZ15" s="27">
        <f t="shared" si="12"/>
        <v>6200</v>
      </c>
      <c r="BA15" s="27">
        <f t="shared" si="13"/>
        <v>6200</v>
      </c>
      <c r="BB15" s="27">
        <f t="shared" si="14"/>
        <v>0</v>
      </c>
      <c r="BC15" s="27">
        <f t="shared" si="15"/>
        <v>6200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39" t="s">
        <v>3047</v>
      </c>
      <c r="D16" s="3040" t="s">
        <v>1679</v>
      </c>
      <c r="E16" s="27">
        <f t="shared" si="6"/>
        <v>97.97</v>
      </c>
      <c r="F16" s="81"/>
      <c r="G16" s="82">
        <f t="shared" si="7"/>
        <v>440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440</v>
      </c>
      <c r="AD16" s="3045">
        <f>面积表!D20</f>
        <v>0</v>
      </c>
      <c r="AE16" s="3045"/>
      <c r="AF16" s="3045"/>
      <c r="AG16" s="3045"/>
      <c r="AH16" s="3045"/>
      <c r="AI16" s="3045"/>
      <c r="AJ16" s="3045"/>
      <c r="AK16" s="3045"/>
      <c r="AL16" s="3045">
        <f>面积表!D23</f>
        <v>440</v>
      </c>
      <c r="AM16" s="3045"/>
      <c r="AN16" s="3045"/>
      <c r="AO16" s="3045"/>
      <c r="AP16" s="3045"/>
      <c r="AQ16" s="3045"/>
      <c r="AR16" s="3045"/>
      <c r="AS16" s="3045"/>
      <c r="AT16" s="3046"/>
      <c r="AU16" s="3047"/>
      <c r="AV16" s="17">
        <f t="shared" si="10"/>
        <v>0</v>
      </c>
      <c r="AW16" s="17">
        <f t="shared" si="10"/>
        <v>0</v>
      </c>
      <c r="AX16" s="17" t="str">
        <f t="shared" si="10"/>
        <v>配套及设备</v>
      </c>
      <c r="AY16" s="996">
        <f t="shared" si="11"/>
        <v>97.97</v>
      </c>
      <c r="AZ16" s="27">
        <f t="shared" si="12"/>
        <v>440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440</v>
      </c>
      <c r="BM16" s="27">
        <f t="shared" si="25"/>
        <v>0</v>
      </c>
      <c r="BN16" s="27">
        <f t="shared" si="26"/>
        <v>0</v>
      </c>
      <c r="BO16" s="27">
        <f t="shared" si="27"/>
        <v>0</v>
      </c>
      <c r="BP16" s="27">
        <f t="shared" si="28"/>
        <v>0</v>
      </c>
      <c r="BQ16" s="27">
        <f t="shared" si="29"/>
        <v>440</v>
      </c>
      <c r="BR16" s="27">
        <f t="shared" si="30"/>
        <v>0</v>
      </c>
      <c r="BS16" s="27">
        <f t="shared" si="31"/>
        <v>0</v>
      </c>
      <c r="BT16" s="36">
        <f t="shared" si="32"/>
        <v>0</v>
      </c>
    </row>
    <row r="17" spans="1:72" s="18" customFormat="1" ht="12.75">
      <c r="A17" s="3039"/>
      <c r="B17" s="3039"/>
      <c r="C17" s="3039" t="s">
        <v>3049</v>
      </c>
      <c r="D17" s="3040" t="s">
        <v>1679</v>
      </c>
      <c r="E17" s="27">
        <f t="shared" si="6"/>
        <v>4957.6899999999996</v>
      </c>
      <c r="F17" s="81"/>
      <c r="G17" s="82">
        <f t="shared" si="7"/>
        <v>22266.1</v>
      </c>
      <c r="H17" s="33">
        <f t="shared" si="8"/>
        <v>19590</v>
      </c>
      <c r="I17" s="3041"/>
      <c r="J17" s="3041"/>
      <c r="K17" s="3041"/>
      <c r="L17" s="3041"/>
      <c r="M17" s="3041">
        <f>面积表!D30</f>
        <v>19590</v>
      </c>
      <c r="N17" s="83"/>
      <c r="O17" s="83"/>
      <c r="P17" s="83"/>
      <c r="Q17" s="83"/>
      <c r="R17" s="83"/>
      <c r="S17" s="83"/>
      <c r="T17" s="83"/>
      <c r="U17" s="83"/>
      <c r="V17" s="83"/>
      <c r="W17" s="83"/>
      <c r="X17" s="83"/>
      <c r="Y17" s="83"/>
      <c r="Z17" s="83"/>
      <c r="AA17" s="83"/>
      <c r="AB17" s="83"/>
      <c r="AC17" s="27">
        <f t="shared" si="9"/>
        <v>2676.0999999999985</v>
      </c>
      <c r="AD17" s="3045"/>
      <c r="AE17" s="3045"/>
      <c r="AF17" s="3045"/>
      <c r="AG17" s="3045"/>
      <c r="AH17" s="3045"/>
      <c r="AI17" s="3045"/>
      <c r="AJ17" s="3045"/>
      <c r="AK17" s="3045"/>
      <c r="AL17" s="3045"/>
      <c r="AM17" s="3045"/>
      <c r="AN17" s="3045">
        <f>面积表!D31-'数据-基础表'!M17</f>
        <v>2676.0999999999985</v>
      </c>
      <c r="AO17" s="3045"/>
      <c r="AP17" s="3045"/>
      <c r="AQ17" s="3045"/>
      <c r="AR17" s="3045"/>
      <c r="AS17" s="3045"/>
      <c r="AT17" s="3046"/>
      <c r="AU17" s="3047"/>
      <c r="AV17" s="17">
        <f t="shared" si="10"/>
        <v>0</v>
      </c>
      <c r="AW17" s="17">
        <f t="shared" si="10"/>
        <v>0</v>
      </c>
      <c r="AX17" s="17" t="str">
        <f t="shared" si="10"/>
        <v>地下车库</v>
      </c>
      <c r="AY17" s="996">
        <f t="shared" si="11"/>
        <v>4957.6899999999996</v>
      </c>
      <c r="AZ17" s="27">
        <f t="shared" si="12"/>
        <v>22266.1</v>
      </c>
      <c r="BA17" s="27">
        <f t="shared" si="13"/>
        <v>19590</v>
      </c>
      <c r="BB17" s="27">
        <f t="shared" si="14"/>
        <v>0</v>
      </c>
      <c r="BC17" s="27">
        <f t="shared" si="15"/>
        <v>0</v>
      </c>
      <c r="BD17" s="27">
        <f t="shared" si="16"/>
        <v>19590</v>
      </c>
      <c r="BE17" s="27">
        <f t="shared" si="17"/>
        <v>0</v>
      </c>
      <c r="BF17" s="27">
        <f t="shared" si="18"/>
        <v>0</v>
      </c>
      <c r="BG17" s="27">
        <f t="shared" si="19"/>
        <v>0</v>
      </c>
      <c r="BH17" s="27">
        <f t="shared" si="20"/>
        <v>0</v>
      </c>
      <c r="BI17" s="27">
        <f t="shared" si="21"/>
        <v>0</v>
      </c>
      <c r="BJ17" s="27">
        <f t="shared" si="22"/>
        <v>0</v>
      </c>
      <c r="BK17" s="27">
        <f t="shared" si="23"/>
        <v>0</v>
      </c>
      <c r="BL17" s="27">
        <f t="shared" si="24"/>
        <v>2676.0999999999985</v>
      </c>
      <c r="BM17" s="27">
        <f t="shared" si="25"/>
        <v>0</v>
      </c>
      <c r="BN17" s="27">
        <f t="shared" si="26"/>
        <v>0</v>
      </c>
      <c r="BO17" s="27">
        <f t="shared" si="27"/>
        <v>0</v>
      </c>
      <c r="BP17" s="27">
        <f t="shared" si="28"/>
        <v>0</v>
      </c>
      <c r="BQ17" s="27">
        <f t="shared" si="29"/>
        <v>0</v>
      </c>
      <c r="BR17" s="27">
        <f t="shared" si="30"/>
        <v>2676.0999999999985</v>
      </c>
      <c r="BS17" s="27">
        <f t="shared" si="31"/>
        <v>0</v>
      </c>
      <c r="BT17" s="36">
        <f t="shared" si="32"/>
        <v>0</v>
      </c>
    </row>
    <row r="18" spans="1:72">
      <c r="A18" s="84"/>
      <c r="B18" s="85"/>
      <c r="C18" s="85"/>
      <c r="D18" s="304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4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24" sqref="L24"/>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8" t="s">
        <v>203</v>
      </c>
      <c r="B2" s="3318"/>
      <c r="C2" s="3318"/>
      <c r="D2" s="1976" t="s">
        <v>204</v>
      </c>
      <c r="E2" s="106" t="s">
        <v>205</v>
      </c>
      <c r="F2" s="1985"/>
      <c r="G2" s="1198"/>
      <c r="H2" s="1199"/>
      <c r="I2" s="1200" t="s">
        <v>857</v>
      </c>
      <c r="J2" s="1985"/>
      <c r="K2" s="1985"/>
      <c r="L2" s="1985"/>
    </row>
    <row r="3" spans="1:16" ht="15.75" thickBot="1">
      <c r="A3" s="3319" t="s">
        <v>206</v>
      </c>
      <c r="B3" s="3319"/>
      <c r="C3" s="3319"/>
      <c r="D3" s="107">
        <f>'数据-基础表'!AY6</f>
        <v>19651.2</v>
      </c>
      <c r="E3" s="107">
        <f>'数据-基础表'!AZ5</f>
        <v>88257.98000000001</v>
      </c>
      <c r="F3" s="1985"/>
      <c r="G3" s="280" t="s">
        <v>858</v>
      </c>
      <c r="H3" s="275" t="s">
        <v>859</v>
      </c>
      <c r="I3" s="1977">
        <f>ROUND('数据-基础表'!B3/'数据-基础表'!A3,2)</f>
        <v>4.49</v>
      </c>
      <c r="J3" s="1985"/>
      <c r="K3" s="1985"/>
      <c r="L3" s="1985"/>
    </row>
    <row r="4" spans="1:16" ht="15">
      <c r="A4" s="3320"/>
      <c r="B4" s="3321"/>
      <c r="C4" s="3322"/>
      <c r="D4" s="108" t="s">
        <v>204</v>
      </c>
      <c r="E4" s="109" t="s">
        <v>205</v>
      </c>
      <c r="F4" s="1985"/>
      <c r="G4" s="1201"/>
      <c r="H4" s="275" t="s">
        <v>860</v>
      </c>
      <c r="I4" s="1977">
        <f>ROUND(SUMIF('数据-基础表'!I9:AS9,"地上",'数据-基础表'!I5:AS5)/'数据-基础表'!A3,2)</f>
        <v>3.36</v>
      </c>
      <c r="J4" s="1985"/>
      <c r="K4" s="1985"/>
      <c r="L4" s="1985"/>
    </row>
    <row r="5" spans="1:16">
      <c r="A5" s="110" t="s">
        <v>207</v>
      </c>
      <c r="B5" s="3323" t="s">
        <v>230</v>
      </c>
      <c r="C5" s="3323"/>
      <c r="D5" s="111">
        <f>ROUND($D$3*E5/$E$3,2)</f>
        <v>13215.07</v>
      </c>
      <c r="E5" s="112">
        <f>SUMIF('数据-基础表'!$11:$11,"住宅",'数据-基础表'!$5:$5)</f>
        <v>59351.88</v>
      </c>
      <c r="F5" s="1985"/>
      <c r="G5" s="280" t="s">
        <v>861</v>
      </c>
      <c r="H5" s="275" t="s">
        <v>859</v>
      </c>
      <c r="I5" s="1977">
        <f>ROUND(E31/D31,2)</f>
        <v>4.49</v>
      </c>
      <c r="J5" s="1985"/>
      <c r="K5" s="1985"/>
      <c r="L5" s="1985"/>
    </row>
    <row r="6" spans="1:16" ht="15" thickBot="1">
      <c r="A6" s="113"/>
      <c r="B6" s="3323" t="s">
        <v>208</v>
      </c>
      <c r="C6" s="3323"/>
      <c r="D6" s="111">
        <f>ROUND($D$3*E6/$E$3,2)</f>
        <v>6436.13</v>
      </c>
      <c r="E6" s="112">
        <f>E3-E5</f>
        <v>28906.100000000013</v>
      </c>
      <c r="F6" s="1985"/>
      <c r="G6" s="1201"/>
      <c r="H6" s="275" t="s">
        <v>860</v>
      </c>
      <c r="I6" s="1977">
        <f>ROUND(F31/D31,2)</f>
        <v>3.36</v>
      </c>
      <c r="J6" s="1985"/>
      <c r="K6" s="1985"/>
      <c r="L6" s="1985"/>
    </row>
    <row r="7" spans="1:16" ht="15">
      <c r="A7" s="3315"/>
      <c r="B7" s="3316"/>
      <c r="C7" s="3317"/>
      <c r="D7" s="108" t="s">
        <v>204</v>
      </c>
      <c r="E7" s="114" t="s">
        <v>231</v>
      </c>
      <c r="F7" s="1985"/>
      <c r="G7" s="1156" t="s">
        <v>1646</v>
      </c>
      <c r="H7" s="1157"/>
      <c r="I7" s="1847">
        <f>I6</f>
        <v>3.36</v>
      </c>
      <c r="J7" s="1985"/>
      <c r="K7" s="1985"/>
      <c r="L7" s="1985"/>
    </row>
    <row r="8" spans="1:16">
      <c r="A8" s="110" t="s">
        <v>209</v>
      </c>
      <c r="B8" s="115" t="s">
        <v>210</v>
      </c>
      <c r="C8" s="111" t="s">
        <v>211</v>
      </c>
      <c r="D8" s="111">
        <f t="shared" ref="D8:D15" si="0">ROUND($D$3*E8/$E$3,2)</f>
        <v>14595.54</v>
      </c>
      <c r="E8" s="116">
        <f>SUMIF('数据-基础表'!BB10:BK10,"地上",'数据-基础表'!BB5:BK5)</f>
        <v>65551.88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2333</v>
      </c>
      <c r="D13" s="111">
        <f t="shared" si="0"/>
        <v>4361.84</v>
      </c>
      <c r="E13" s="116">
        <f>SUMPRODUCT(('数据-基础表'!BB10:BK10="地下")*('数据-基础表'!BB11:BK11="车库")*('数据-基础表'!BB5:BK5))</f>
        <v>19590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18957.38</v>
      </c>
      <c r="E16" s="120">
        <f>SUM(E8:E15)</f>
        <v>85141.88</v>
      </c>
      <c r="F16" s="1985"/>
      <c r="G16" s="1987"/>
      <c r="H16" s="968" t="s">
        <v>219</v>
      </c>
      <c r="I16" s="969"/>
      <c r="J16" s="1985"/>
      <c r="K16" s="3309" t="s">
        <v>2566</v>
      </c>
      <c r="L16" s="3310"/>
      <c r="M16" s="3310"/>
      <c r="N16" s="3310"/>
      <c r="O16" s="3310"/>
      <c r="P16" s="3311"/>
    </row>
    <row r="17" spans="1:19" ht="15">
      <c r="A17" s="121" t="s">
        <v>216</v>
      </c>
      <c r="B17" s="122" t="s">
        <v>217</v>
      </c>
      <c r="C17" s="2299" t="s">
        <v>2312</v>
      </c>
      <c r="D17" s="108" t="s">
        <v>204</v>
      </c>
      <c r="E17" s="124" t="s">
        <v>205</v>
      </c>
      <c r="F17" s="125"/>
      <c r="G17" s="1366"/>
      <c r="H17" s="970" t="s">
        <v>218</v>
      </c>
      <c r="I17" s="971" t="s">
        <v>2311</v>
      </c>
      <c r="J17" s="1985"/>
      <c r="K17" s="3312" t="s">
        <v>2567</v>
      </c>
      <c r="L17" s="3313"/>
      <c r="M17" s="3314"/>
      <c r="N17" s="3312" t="s">
        <v>2568</v>
      </c>
      <c r="O17" s="3313"/>
      <c r="P17" s="3314"/>
      <c r="R17" s="2300" t="s">
        <v>2310</v>
      </c>
      <c r="S17" s="144"/>
    </row>
    <row r="18" spans="1:19" ht="15">
      <c r="A18" s="117"/>
      <c r="B18" s="128"/>
      <c r="C18" s="129"/>
      <c r="D18" s="2667"/>
      <c r="E18" s="130" t="s">
        <v>220</v>
      </c>
      <c r="F18" s="131" t="s">
        <v>221</v>
      </c>
      <c r="G18" s="1367" t="s">
        <v>222</v>
      </c>
      <c r="H18" s="972" t="s">
        <v>223</v>
      </c>
      <c r="I18" s="973" t="s">
        <v>224</v>
      </c>
      <c r="J18" s="1985"/>
      <c r="K18" s="2630" t="s">
        <v>2569</v>
      </c>
      <c r="L18" s="2631" t="s">
        <v>2570</v>
      </c>
      <c r="M18" s="2632" t="s">
        <v>2571</v>
      </c>
      <c r="N18" s="2630" t="s">
        <v>2569</v>
      </c>
      <c r="O18" s="2631" t="s">
        <v>2570</v>
      </c>
      <c r="P18" s="2632" t="s">
        <v>2571</v>
      </c>
      <c r="R18" s="2301" t="s">
        <v>2308</v>
      </c>
      <c r="S18" s="2301" t="s">
        <v>2309</v>
      </c>
    </row>
    <row r="19" spans="1:19">
      <c r="A19" s="133"/>
      <c r="B19" s="115" t="s">
        <v>225</v>
      </c>
      <c r="C19" s="3048" t="str">
        <f>'数据-基础表'!C13</f>
        <v>住宅</v>
      </c>
      <c r="D19" s="111">
        <f t="shared" ref="D19:D26" si="1">ROUND($D$3*E19/$E$3,2)</f>
        <v>12890.74</v>
      </c>
      <c r="E19" s="134">
        <f t="shared" ref="E19:E26" si="2">SUM(F19:G19)</f>
        <v>57895.21</v>
      </c>
      <c r="F19" s="135">
        <f>'数据-基础表'!I13</f>
        <v>57895.21</v>
      </c>
      <c r="G19" s="1368"/>
      <c r="H19" s="974">
        <f>ROUND($D$3*I19/$E$3,2)</f>
        <v>471.79</v>
      </c>
      <c r="I19" s="116">
        <f>IF($I$17="自定义",P19,M19)</f>
        <v>2118.9</v>
      </c>
      <c r="J19" s="1985"/>
      <c r="K19" s="2633">
        <f t="shared" ref="K19:K26" si="3">ROUND(E$28*E19/E$27,2)</f>
        <v>2118.9</v>
      </c>
      <c r="L19" s="275">
        <f t="shared" ref="L19:L26" si="4">ROUND(IF(COUNTIF(C19,"*住宅*")&gt;0,E$29*E19/E$32,0),2)</f>
        <v>0</v>
      </c>
      <c r="M19" s="2634">
        <f>K19+L19</f>
        <v>2118.9</v>
      </c>
      <c r="N19" s="2635"/>
      <c r="O19" s="2636"/>
      <c r="P19" s="2637">
        <f>N19+O19</f>
        <v>0</v>
      </c>
      <c r="R19" s="275">
        <f t="shared" ref="R19:S26" si="5">D19+H19</f>
        <v>13362.53</v>
      </c>
      <c r="S19" s="2302">
        <f t="shared" si="5"/>
        <v>60014.11</v>
      </c>
    </row>
    <row r="20" spans="1:19">
      <c r="A20" s="138"/>
      <c r="B20" s="115" t="s">
        <v>226</v>
      </c>
      <c r="C20" s="3048" t="str">
        <f>'数据-基础表'!C14</f>
        <v>自持住宅</v>
      </c>
      <c r="D20" s="111">
        <f t="shared" si="1"/>
        <v>324.33999999999997</v>
      </c>
      <c r="E20" s="134">
        <f t="shared" si="2"/>
        <v>1456.67</v>
      </c>
      <c r="F20" s="135">
        <f>'数据-基础表'!I14</f>
        <v>1456.67</v>
      </c>
      <c r="G20" s="1368"/>
      <c r="H20" s="974">
        <f t="shared" ref="H20:H26" si="6">ROUND($D$3*I20/$E$3,2)</f>
        <v>11.87</v>
      </c>
      <c r="I20" s="116">
        <f t="shared" ref="I20:I26" si="7">IF($I$17="自定义",P20,M20)</f>
        <v>53.31</v>
      </c>
      <c r="J20" s="1985"/>
      <c r="K20" s="2633">
        <f t="shared" si="3"/>
        <v>53.31</v>
      </c>
      <c r="L20" s="275">
        <f t="shared" si="4"/>
        <v>0</v>
      </c>
      <c r="M20" s="2634">
        <f t="shared" ref="M20:M26" si="8">K20+L20</f>
        <v>53.31</v>
      </c>
      <c r="N20" s="2635"/>
      <c r="O20" s="2636"/>
      <c r="P20" s="2637">
        <f t="shared" ref="P20:P26" si="9">N20+O20</f>
        <v>0</v>
      </c>
      <c r="R20" s="275">
        <f t="shared" si="5"/>
        <v>336.21</v>
      </c>
      <c r="S20" s="2302">
        <f t="shared" si="5"/>
        <v>1509.98</v>
      </c>
    </row>
    <row r="21" spans="1:19">
      <c r="A21" s="138"/>
      <c r="B21" s="115" t="s">
        <v>226</v>
      </c>
      <c r="C21" s="3048" t="str">
        <f>'数据-基础表'!C15</f>
        <v>商业</v>
      </c>
      <c r="D21" s="111">
        <f t="shared" si="1"/>
        <v>1380.47</v>
      </c>
      <c r="E21" s="134">
        <f t="shared" si="2"/>
        <v>6200</v>
      </c>
      <c r="F21" s="135">
        <f>'数据-基础表'!K15</f>
        <v>6200</v>
      </c>
      <c r="G21" s="1368"/>
      <c r="H21" s="974">
        <f t="shared" si="6"/>
        <v>50.52</v>
      </c>
      <c r="I21" s="116">
        <f t="shared" si="7"/>
        <v>226.91</v>
      </c>
      <c r="J21" s="1985"/>
      <c r="K21" s="2633">
        <f t="shared" si="3"/>
        <v>226.91</v>
      </c>
      <c r="L21" s="275">
        <f t="shared" si="4"/>
        <v>0</v>
      </c>
      <c r="M21" s="2634">
        <f t="shared" si="8"/>
        <v>226.91</v>
      </c>
      <c r="N21" s="2635"/>
      <c r="O21" s="2636"/>
      <c r="P21" s="2637">
        <f t="shared" si="9"/>
        <v>0</v>
      </c>
      <c r="R21" s="275">
        <f t="shared" si="5"/>
        <v>1430.99</v>
      </c>
      <c r="S21" s="2302">
        <f t="shared" si="5"/>
        <v>6426.91</v>
      </c>
    </row>
    <row r="22" spans="1:19">
      <c r="A22" s="138"/>
      <c r="B22" s="115" t="s">
        <v>226</v>
      </c>
      <c r="C22" s="1365" t="str">
        <f>'数据-基础表'!C17</f>
        <v>地下车库</v>
      </c>
      <c r="D22" s="111">
        <f t="shared" si="1"/>
        <v>4361.84</v>
      </c>
      <c r="E22" s="134">
        <f t="shared" si="2"/>
        <v>19590</v>
      </c>
      <c r="F22" s="140"/>
      <c r="G22" s="1369">
        <f>'数据-基础表'!M17</f>
        <v>19590</v>
      </c>
      <c r="H22" s="974">
        <f t="shared" si="6"/>
        <v>159.63999999999999</v>
      </c>
      <c r="I22" s="116">
        <f t="shared" si="7"/>
        <v>716.97</v>
      </c>
      <c r="J22" s="1985"/>
      <c r="K22" s="2633">
        <f t="shared" si="3"/>
        <v>716.97</v>
      </c>
      <c r="L22" s="275">
        <f t="shared" si="4"/>
        <v>0</v>
      </c>
      <c r="M22" s="2634">
        <f t="shared" si="8"/>
        <v>716.97</v>
      </c>
      <c r="N22" s="2635"/>
      <c r="O22" s="2636"/>
      <c r="P22" s="2637">
        <f t="shared" si="9"/>
        <v>0</v>
      </c>
      <c r="R22" s="275">
        <f t="shared" si="5"/>
        <v>4521.4800000000005</v>
      </c>
      <c r="S22" s="2302">
        <f t="shared" si="5"/>
        <v>20306.97</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18957.39</v>
      </c>
      <c r="E27" s="143">
        <f>IF(SUM(E19:E26)='数据-基础表'!BA5,SUM(E19:E26),IF(F27="地上面积有误","面积有误","地下面积有误"))</f>
        <v>85141.88</v>
      </c>
      <c r="F27" s="134">
        <f>IF(SUM(F19:F26)=E8,SUM(F19:F26),"地上面积有误")</f>
        <v>65551.88</v>
      </c>
      <c r="G27" s="112">
        <f>SUM(G19:G26)</f>
        <v>19590</v>
      </c>
      <c r="H27" s="975">
        <f>SUM(H19:H26)</f>
        <v>693.82</v>
      </c>
      <c r="I27" s="976">
        <f>SUM(I19:I26)</f>
        <v>3116.09</v>
      </c>
      <c r="J27" s="1985"/>
      <c r="K27" s="2642">
        <f>SUM(K19:K26)</f>
        <v>3116.09</v>
      </c>
      <c r="L27" s="2643">
        <f>SUM(L19:L26)</f>
        <v>0</v>
      </c>
      <c r="M27" s="2644">
        <f>SUM(M19:M26)</f>
        <v>3116.09</v>
      </c>
      <c r="N27" s="2642">
        <f t="shared" ref="N27:O27" si="10">SUM(N19:N26)</f>
        <v>0</v>
      </c>
      <c r="O27" s="2643">
        <f t="shared" si="10"/>
        <v>0</v>
      </c>
      <c r="P27" s="2645">
        <f>SUM(P19:P26)</f>
        <v>0</v>
      </c>
      <c r="R27" s="2306" t="str">
        <f>IF(SUM(R19:R26)=$D$3,SUM(R19:R26),SUM(R19:R26)&amp;"误差"&amp;ROUND(SUM(R19:R26)-$D$3,2))</f>
        <v>19651.21误差0.01</v>
      </c>
      <c r="S27" s="275" t="str">
        <f>IF(SUM(S19:S26)=$E$3,SUM(S19:S26),SUM(S19:S26)&amp;"误差"&amp;ROUND(SUM(S19:S26)-E3,2))</f>
        <v>88257.97误差-0.01</v>
      </c>
    </row>
    <row r="28" spans="1:19">
      <c r="A28" s="138"/>
      <c r="B28" s="115" t="s">
        <v>227</v>
      </c>
      <c r="C28" s="136" t="s">
        <v>228</v>
      </c>
      <c r="D28" s="111">
        <f>ROUND($D$3*E28/$E$3,2)</f>
        <v>693.82</v>
      </c>
      <c r="E28" s="134">
        <f>SUM(F28:G28)</f>
        <v>3116.0999999999985</v>
      </c>
      <c r="F28" s="144">
        <f>'数据-基础表'!BQ5+'数据-基础表'!BS5</f>
        <v>440</v>
      </c>
      <c r="G28" s="145">
        <f>'数据-基础表'!BR5+'数据-基础表'!BT5</f>
        <v>2676.0999999999985</v>
      </c>
      <c r="H28" s="1985"/>
      <c r="I28" s="1985"/>
      <c r="J28" s="1985"/>
      <c r="K28" s="1985"/>
      <c r="L28" s="1985"/>
    </row>
    <row r="29" spans="1:19">
      <c r="A29" s="138"/>
      <c r="B29" s="115" t="s">
        <v>227</v>
      </c>
      <c r="C29" s="2314" t="s">
        <v>2319</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693.82</v>
      </c>
      <c r="E30" s="134">
        <f>SUM(E28:E29)</f>
        <v>3116.0999999999985</v>
      </c>
      <c r="F30" s="134">
        <f>SUM(F28:F29)</f>
        <v>440</v>
      </c>
      <c r="G30" s="112">
        <f>SUM(G28:G29)</f>
        <v>2676.0999999999985</v>
      </c>
      <c r="H30" s="1985"/>
      <c r="I30" s="1985"/>
      <c r="J30" s="1985"/>
      <c r="K30" s="1985"/>
      <c r="L30" s="1985"/>
    </row>
    <row r="31" spans="1:19" ht="32.25" customHeight="1" thickBot="1">
      <c r="A31" s="1370"/>
      <c r="B31" s="1371" t="s">
        <v>229</v>
      </c>
      <c r="C31" s="2331" t="s">
        <v>2321</v>
      </c>
      <c r="D31" s="1372">
        <f>D27+D30</f>
        <v>19651.21</v>
      </c>
      <c r="E31" s="1372">
        <f>E27+E30</f>
        <v>88257.98000000001</v>
      </c>
      <c r="F31" s="1373">
        <f>F27+F30</f>
        <v>65991.88</v>
      </c>
      <c r="G31" s="1374">
        <f>G27+G30</f>
        <v>22266.1</v>
      </c>
      <c r="H31" s="1985"/>
      <c r="I31" s="1985"/>
      <c r="J31" s="1985"/>
      <c r="K31" s="1985"/>
      <c r="L31" s="1985"/>
    </row>
    <row r="32" spans="1:19">
      <c r="A32" s="1985"/>
      <c r="B32" s="2364" t="s">
        <v>2320</v>
      </c>
      <c r="C32" s="2672"/>
      <c r="D32" s="1201"/>
      <c r="E32" s="1201">
        <f>SUMIF(C19:C26,"*住宅*",E19:E26)</f>
        <v>59351.88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AN17" sqref="AN1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43248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6" t="s">
        <v>2572</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2322</v>
      </c>
      <c r="AI5" s="171" t="s">
        <v>2291</v>
      </c>
      <c r="AJ5" s="171" t="s">
        <v>258</v>
      </c>
      <c r="AK5" s="159" t="s">
        <v>259</v>
      </c>
      <c r="AL5" s="159" t="s">
        <v>260</v>
      </c>
      <c r="AM5" s="172" t="s">
        <v>261</v>
      </c>
      <c r="AN5" s="2416"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68255</v>
      </c>
      <c r="F6" s="174">
        <f>SUMIF(项目基本情况!D$15:I$15,C6,项目基本情况!D$19:I$19)</f>
        <v>68.510000000000005</v>
      </c>
      <c r="G6" s="175">
        <f>IF(ISERROR(ROUND(POWER(1+H6,D6-F6)*(POWER(1+H6,F6)-1)/(POWER(1+H6,D6)-1),3)),0,ROUND(POWER(1+H6,D6-F6)*(POWER(1+H6,F6)-1)/(POWER(1+H6,D6)-1),3))</f>
        <v>0.995</v>
      </c>
      <c r="H6" s="3049">
        <v>3.5000000000000003E-2</v>
      </c>
      <c r="I6" s="3049">
        <v>0.04</v>
      </c>
      <c r="J6" s="176">
        <v>0.08</v>
      </c>
      <c r="K6" s="179">
        <f>SUMIF('数据-汇总表'!C$19:C$33,'数据-取费表'!A6,'数据-汇总表'!E$19:E$33)</f>
        <v>57895.21</v>
      </c>
      <c r="L6" s="3050">
        <v>4500</v>
      </c>
      <c r="M6" s="177">
        <f t="shared" ref="M6:M14" si="0">ROUND(K6*L6/10000,0)</f>
        <v>26053</v>
      </c>
      <c r="N6" s="3051">
        <v>0</v>
      </c>
      <c r="O6" s="177">
        <f>IF($N$5="成新度","——",ROUND(M6*N6,0))</f>
        <v>0</v>
      </c>
      <c r="P6" s="178">
        <f>IF($N$5="成新度","——",M6-O6)</f>
        <v>26053</v>
      </c>
      <c r="Q6" s="3052">
        <v>0.15</v>
      </c>
      <c r="R6" s="179">
        <f>SUMIF('数据-汇总表'!C$19:C$33,A6,'数据-汇总表'!R$19:R$33)</f>
        <v>13362.53</v>
      </c>
      <c r="S6" s="132">
        <f>IF('数据-汇总表'!$I$17="按面积比例",SUMIF('数据-汇总表'!C$19:C$33,A6,'数据-汇总表'!K$19:K$33),SUMIF('数据-汇总表'!C$19:C$33,A6,'数据-汇总表'!N$19:N$33))</f>
        <v>2118.9</v>
      </c>
      <c r="T6" s="2235">
        <f>IF($T$4="按面积比例",IF(ISERROR(ROUND($M$14*S6/S$16,0)),"0",ROUND($M$14*S6/S$16,0)),"需自行计算录入")</f>
        <v>636</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3"/>
      <c r="AN6" s="2417"/>
      <c r="AO6" s="2001"/>
      <c r="AP6" s="1204">
        <f>ROUND(1-1/(1+H6)^F6,3)</f>
        <v>0.90500000000000003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自持住宅</v>
      </c>
      <c r="B7" s="2338" t="str">
        <f t="shared" ref="B7:B13" si="1">IF(A7=0,"","经营性")</f>
        <v>经营性</v>
      </c>
      <c r="C7" s="173" t="s">
        <v>923</v>
      </c>
      <c r="D7" s="2309">
        <f>SUMIF(项目基本情况!D$15:I$15,C7,项目基本情况!D$18:I$18)</f>
        <v>70</v>
      </c>
      <c r="E7" s="2310">
        <f>IF(B7="","",SUMIF(项目基本情况!D$15:I$15,C7,项目基本情况!D$17:I$17))</f>
        <v>68255</v>
      </c>
      <c r="F7" s="174">
        <f>SUMIF(项目基本情况!D$15:I$15,C7,项目基本情况!D$19:I$19)</f>
        <v>68.510000000000005</v>
      </c>
      <c r="G7" s="175">
        <f t="shared" ref="G7:G11" si="2">IF(ISERROR(ROUND(POWER(1+H7,D7-F7)*(POWER(1+H7,F7)-1)/(POWER(1+H7,D7)-1),3)),0,ROUND(POWER(1+H7,D7-F7)*(POWER(1+H7,F7)-1)/(POWER(1+H7,D7)-1),3))</f>
        <v>0.995</v>
      </c>
      <c r="H7" s="3049">
        <v>3.5000000000000003E-2</v>
      </c>
      <c r="I7" s="3049">
        <v>0.04</v>
      </c>
      <c r="J7" s="176">
        <v>0.08</v>
      </c>
      <c r="K7" s="179">
        <f>SUMIF('数据-汇总表'!C$19:C$33,'数据-取费表'!A7,'数据-汇总表'!E$19:E$33)</f>
        <v>1456.67</v>
      </c>
      <c r="L7" s="3050">
        <f>L6</f>
        <v>4500</v>
      </c>
      <c r="M7" s="177">
        <f t="shared" si="0"/>
        <v>656</v>
      </c>
      <c r="N7" s="3051">
        <v>0</v>
      </c>
      <c r="O7" s="177">
        <f t="shared" ref="O7:O14" si="3">IF($N$5="成新度","——",ROUND(M7*N7,0))</f>
        <v>0</v>
      </c>
      <c r="P7" s="178">
        <f t="shared" ref="P7:P14" si="4">IF($N$5="成新度","——",M7-O7)</f>
        <v>656</v>
      </c>
      <c r="Q7" s="3052">
        <v>0.1</v>
      </c>
      <c r="R7" s="179">
        <f>SUMIF('数据-汇总表'!C$19:C$33,A7,'数据-汇总表'!R$19:R$33)</f>
        <v>336.21</v>
      </c>
      <c r="S7" s="132">
        <f>IF('数据-汇总表'!$I$17="按面积比例",SUMIF('数据-汇总表'!C$19:C$33,A7,'数据-汇总表'!K$19:K$33),SUMIF('数据-汇总表'!C$19:C$33,A7,'数据-汇总表'!N$19:N$33))</f>
        <v>53.31</v>
      </c>
      <c r="T7" s="2235">
        <f t="shared" ref="T7:T13" si="5">IF($T$4="按面积比例",IF(ISERROR(ROUND($M$14*S7/S$16,0)),"0",ROUND($M$14*S7/S$16,0)),"需自行计算录入")</f>
        <v>16</v>
      </c>
      <c r="U7" s="180">
        <v>6</v>
      </c>
      <c r="V7" s="181">
        <v>3.5000000000000003E-2</v>
      </c>
      <c r="W7" s="181">
        <v>0.05</v>
      </c>
      <c r="X7" s="2322"/>
      <c r="Y7" s="182">
        <v>1</v>
      </c>
      <c r="Z7" s="183"/>
      <c r="AA7" s="176"/>
      <c r="AB7" s="176"/>
      <c r="AC7" s="2325"/>
      <c r="AD7" s="184"/>
      <c r="AE7" s="972">
        <f t="shared" ref="AE7:AE13" ca="1" si="6">IF(AN7="",0,SUMIF(INDIRECT("'"&amp;AN7&amp;"'"&amp;"!E:E"),$AE$5,INDIRECT("'"&amp;AN7&amp;"'"&amp;"!F:F")))</f>
        <v>68.510000000000005</v>
      </c>
      <c r="AF7" s="141"/>
      <c r="AG7" s="1213">
        <f t="shared" ref="AG7:AG13" si="7">IF(AF7="",0,AE7-AF7)</f>
        <v>0</v>
      </c>
      <c r="AH7" s="141"/>
      <c r="AI7" s="187">
        <v>365</v>
      </c>
      <c r="AJ7" s="188"/>
      <c r="AK7" s="189">
        <v>1.4999999999999999E-2</v>
      </c>
      <c r="AL7" s="190">
        <v>1.5E-3</v>
      </c>
      <c r="AM7" s="2415">
        <v>0.01</v>
      </c>
      <c r="AN7" s="2417" t="s">
        <v>3098</v>
      </c>
      <c r="AO7" s="2001"/>
      <c r="AP7" s="1204">
        <f t="shared" ref="AP7:AP13" si="8">ROUND(1-1/(1+H7)^F7,3)</f>
        <v>0.90500000000000003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商业</v>
      </c>
      <c r="B8" s="2338" t="str">
        <f t="shared" si="1"/>
        <v>经营性</v>
      </c>
      <c r="C8" s="173" t="s">
        <v>2996</v>
      </c>
      <c r="D8" s="2309">
        <f>SUMIF(项目基本情况!D$15:I$15,C8,项目基本情况!D$18:I$18)</f>
        <v>40</v>
      </c>
      <c r="E8" s="2310">
        <f>IF(B8="","",SUMIF(项目基本情况!D$15:I$15,C8,项目基本情况!D$17:I$17))</f>
        <v>57298</v>
      </c>
      <c r="F8" s="174">
        <f>SUMIF(项目基本情况!D$15:I$15,C8,项目基本情况!D$19:I$19)</f>
        <v>38.49</v>
      </c>
      <c r="G8" s="175">
        <f t="shared" si="2"/>
        <v>0.98699999999999999</v>
      </c>
      <c r="H8" s="3049">
        <v>0.05</v>
      </c>
      <c r="I8" s="3049">
        <v>5.5E-2</v>
      </c>
      <c r="J8" s="176">
        <v>0.08</v>
      </c>
      <c r="K8" s="179">
        <f>SUMIF('数据-汇总表'!C$19:C$33,'数据-取费表'!A8,'数据-汇总表'!E$19:E$33)</f>
        <v>6200</v>
      </c>
      <c r="L8" s="3050">
        <v>3500</v>
      </c>
      <c r="M8" s="177">
        <f>ROUND(K8*L8/10000,0)</f>
        <v>2170</v>
      </c>
      <c r="N8" s="3051">
        <v>0</v>
      </c>
      <c r="O8" s="177">
        <f t="shared" si="3"/>
        <v>0</v>
      </c>
      <c r="P8" s="178">
        <f t="shared" si="4"/>
        <v>2170</v>
      </c>
      <c r="Q8" s="3052">
        <v>0.15</v>
      </c>
      <c r="R8" s="179">
        <f>SUMIF('数据-汇总表'!C$19:C$33,A8,'数据-汇总表'!R$19:R$33)</f>
        <v>1430.99</v>
      </c>
      <c r="S8" s="132">
        <f>IF('数据-汇总表'!$I$17="按面积比例",SUMIF('数据-汇总表'!C$19:C$33,A8,'数据-汇总表'!K$19:K$33),SUMIF('数据-汇总表'!C$19:C$33,A8,'数据-汇总表'!N$19:N$33))</f>
        <v>226.91</v>
      </c>
      <c r="T8" s="2235">
        <f t="shared" si="5"/>
        <v>68</v>
      </c>
      <c r="U8" s="180">
        <v>16</v>
      </c>
      <c r="V8" s="181">
        <v>3.5000000000000003E-2</v>
      </c>
      <c r="W8" s="181">
        <v>0.05</v>
      </c>
      <c r="X8" s="2322"/>
      <c r="Y8" s="182">
        <v>1</v>
      </c>
      <c r="Z8" s="183"/>
      <c r="AA8" s="176"/>
      <c r="AB8" s="176"/>
      <c r="AC8" s="2325"/>
      <c r="AD8" s="184"/>
      <c r="AE8" s="972">
        <f t="shared" ca="1" si="6"/>
        <v>36.49</v>
      </c>
      <c r="AF8" s="141"/>
      <c r="AG8" s="1213">
        <f t="shared" si="7"/>
        <v>0</v>
      </c>
      <c r="AH8" s="141"/>
      <c r="AI8" s="187">
        <v>365</v>
      </c>
      <c r="AJ8" s="188"/>
      <c r="AK8" s="189">
        <v>1.4999999999999999E-2</v>
      </c>
      <c r="AL8" s="190">
        <v>1.5E-3</v>
      </c>
      <c r="AM8" s="2415">
        <v>0.01</v>
      </c>
      <c r="AN8" s="2417" t="s">
        <v>3100</v>
      </c>
      <c r="AO8" s="2001"/>
      <c r="AP8" s="1204">
        <f t="shared" si="8"/>
        <v>0.84699999999999998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地下车库</v>
      </c>
      <c r="B9" s="2338" t="str">
        <f t="shared" si="1"/>
        <v>经营性</v>
      </c>
      <c r="C9" s="173" t="s">
        <v>3051</v>
      </c>
      <c r="D9" s="2309">
        <f>SUMIF(项目基本情况!D$15:I$15,C9,项目基本情况!D$18:I$18)</f>
        <v>50</v>
      </c>
      <c r="E9" s="2310">
        <f>IF(B9="","",SUMIF(项目基本情况!D$15:I$15,C9,项目基本情况!D$17:I$17))</f>
        <v>60950</v>
      </c>
      <c r="F9" s="174">
        <f>SUMIF(项目基本情况!D$15:I$15,C9,项目基本情况!D$19:I$19)</f>
        <v>48.49</v>
      </c>
      <c r="G9" s="175">
        <f t="shared" si="2"/>
        <v>0.99099999999999999</v>
      </c>
      <c r="H9" s="176">
        <v>4.4999999999999998E-2</v>
      </c>
      <c r="I9" s="176">
        <v>0.05</v>
      </c>
      <c r="J9" s="176">
        <v>0.08</v>
      </c>
      <c r="K9" s="179">
        <f>SUMIF('数据-汇总表'!C$19:C$33,'数据-取费表'!A9,'数据-汇总表'!E$19:E$33)</f>
        <v>19590</v>
      </c>
      <c r="L9" s="193">
        <v>3000</v>
      </c>
      <c r="M9" s="177">
        <f t="shared" si="0"/>
        <v>5877</v>
      </c>
      <c r="N9" s="194">
        <v>0</v>
      </c>
      <c r="O9" s="177">
        <f t="shared" si="3"/>
        <v>0</v>
      </c>
      <c r="P9" s="178">
        <f t="shared" si="4"/>
        <v>5877</v>
      </c>
      <c r="Q9" s="192">
        <v>0.05</v>
      </c>
      <c r="R9" s="179">
        <f>SUMIF('数据-汇总表'!C$19:C$33,A9,'数据-汇总表'!R$19:R$33)</f>
        <v>4521.4800000000005</v>
      </c>
      <c r="S9" s="132">
        <f>IF('数据-汇总表'!$I$17="按面积比例",SUMIF('数据-汇总表'!C$19:C$33,A9,'数据-汇总表'!K$19:K$33),SUMIF('数据-汇总表'!C$19:C$33,A9,'数据-汇总表'!N$19:N$33))</f>
        <v>716.97</v>
      </c>
      <c r="T9" s="2235">
        <f t="shared" si="5"/>
        <v>215</v>
      </c>
      <c r="U9" s="180">
        <v>2600</v>
      </c>
      <c r="V9" s="181">
        <v>0.03</v>
      </c>
      <c r="W9" s="181">
        <v>0.05</v>
      </c>
      <c r="X9" s="2322"/>
      <c r="Y9" s="182">
        <v>1</v>
      </c>
      <c r="Z9" s="183"/>
      <c r="AA9" s="176"/>
      <c r="AB9" s="176"/>
      <c r="AC9" s="2325"/>
      <c r="AD9" s="184"/>
      <c r="AE9" s="972">
        <f t="shared" ca="1" si="6"/>
        <v>46.49</v>
      </c>
      <c r="AF9" s="141"/>
      <c r="AG9" s="1213">
        <f t="shared" si="7"/>
        <v>0</v>
      </c>
      <c r="AH9" s="141">
        <f>面积表!D28</f>
        <v>653</v>
      </c>
      <c r="AI9" s="187">
        <v>12</v>
      </c>
      <c r="AJ9" s="188"/>
      <c r="AK9" s="189">
        <v>1.4999999999999999E-2</v>
      </c>
      <c r="AL9" s="190">
        <v>1.5E-3</v>
      </c>
      <c r="AM9" s="2415">
        <v>0.01</v>
      </c>
      <c r="AN9" s="2417" t="s">
        <v>3116</v>
      </c>
      <c r="AO9" s="2001"/>
      <c r="AP9" s="1204">
        <f t="shared" si="8"/>
        <v>0.88200000000000001</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2313</v>
      </c>
      <c r="B14" s="2307" t="s">
        <v>1680</v>
      </c>
      <c r="C14" s="2308" t="s">
        <v>2313</v>
      </c>
      <c r="D14" s="2309"/>
      <c r="E14" s="2310"/>
      <c r="F14" s="174"/>
      <c r="G14" s="175"/>
      <c r="H14" s="2311"/>
      <c r="I14" s="2311"/>
      <c r="J14" s="2311"/>
      <c r="K14" s="179">
        <f>SUMIF('数据-汇总表'!C$19:C$33,'数据-取费表'!A14,'数据-汇总表'!E$19:E$33)</f>
        <v>3116.0999999999985</v>
      </c>
      <c r="L14" s="193">
        <f>L9</f>
        <v>3000</v>
      </c>
      <c r="M14" s="177">
        <f t="shared" si="0"/>
        <v>935</v>
      </c>
      <c r="N14" s="194">
        <v>0</v>
      </c>
      <c r="O14" s="177">
        <f t="shared" si="3"/>
        <v>0</v>
      </c>
      <c r="P14" s="178">
        <f t="shared" si="4"/>
        <v>935</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2315</v>
      </c>
      <c r="B15" s="2307" t="s">
        <v>1680</v>
      </c>
      <c r="C15" s="2308" t="s">
        <v>2314</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0.99299999999999999</v>
      </c>
      <c r="H16" s="203">
        <f>ROUND(SUMPRODUCT(H6:H13,K6:K13)/SUMPRODUCT((H6:H13&gt;0)*(K6:K13)),3)</f>
        <v>3.7999999999999999E-2</v>
      </c>
      <c r="I16" s="204"/>
      <c r="J16" s="204"/>
      <c r="K16" s="205">
        <f>SUM(K6:K15)</f>
        <v>88257.98000000001</v>
      </c>
      <c r="L16" s="206">
        <f>ROUND(M16*10000/SUM(K6:K14),0)</f>
        <v>4044</v>
      </c>
      <c r="M16" s="206">
        <f>SUM(M6:M14)</f>
        <v>35691</v>
      </c>
      <c r="N16" s="207">
        <f>ROUND(SUMPRODUCT(M6:M14,N6:N14)/M16,3)</f>
        <v>0</v>
      </c>
      <c r="O16" s="206">
        <f>SUM(O6:O14)</f>
        <v>0</v>
      </c>
      <c r="P16" s="206">
        <f>SUM(P6:P14)</f>
        <v>35691</v>
      </c>
      <c r="Q16" s="208">
        <f>ROUND(SUMPRODUCT(Q6:Q13,K6:K13)/SUMPRODUCT((Q6:Q13&gt;0)*(K6:K13)),2)</f>
        <v>0.13</v>
      </c>
      <c r="R16" s="2312">
        <f>SUM(R6:R13)</f>
        <v>19651.21</v>
      </c>
      <c r="S16" s="209">
        <f>SUM(S6:S13)</f>
        <v>3116.09</v>
      </c>
      <c r="T16" s="210">
        <f>IF(SUMIF(T6:T13,"&lt;9E307")=M14,SUMIF(T6:T13,"&lt;9E307"),"有误，请检查")</f>
        <v>935</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0.89500000000000002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2337</v>
      </c>
      <c r="B27" s="227">
        <v>430</v>
      </c>
      <c r="C27" s="2368" t="s">
        <v>2341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2338</v>
      </c>
      <c r="B28" s="229">
        <v>430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2336</v>
      </c>
      <c r="B29" s="232"/>
      <c r="C29" s="1553" t="s">
        <v>2339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f>B30</f>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2340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8"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99"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99"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30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100" t="s">
        <v>2904</v>
      </c>
      <c r="D53" s="3101"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3" t="s">
        <v>2906</v>
      </c>
      <c r="B54" s="186"/>
      <c r="C54" s="1995">
        <v>30</v>
      </c>
      <c r="D54" s="310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3" t="s">
        <v>2907</v>
      </c>
      <c r="B55" s="186">
        <v>30</v>
      </c>
      <c r="C55" s="1995">
        <v>24</v>
      </c>
      <c r="D55" s="310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3" t="s">
        <v>2908</v>
      </c>
      <c r="B56" s="186"/>
      <c r="C56" s="1995">
        <v>18</v>
      </c>
      <c r="D56" s="310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3" t="s">
        <v>2909</v>
      </c>
      <c r="B57" s="186"/>
      <c r="C57" s="1995">
        <v>12</v>
      </c>
      <c r="D57" s="310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3" t="s">
        <v>2910</v>
      </c>
      <c r="B58" s="186"/>
      <c r="C58" s="1995">
        <v>3</v>
      </c>
      <c r="D58" s="310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3" t="s">
        <v>2911</v>
      </c>
      <c r="B59" s="186"/>
      <c r="C59" s="1995">
        <v>1.5</v>
      </c>
      <c r="D59" s="310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3"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3"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3"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4"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4" t="s">
        <v>1664</v>
      </c>
      <c r="B1" s="3325"/>
      <c r="C1" s="3325"/>
      <c r="D1" s="3325"/>
      <c r="E1" s="3325"/>
      <c r="F1" s="3325"/>
      <c r="G1" s="3325"/>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94.5">
      <c r="A3" s="1227" t="s">
        <v>1667</v>
      </c>
      <c r="B3" s="1228" t="s">
        <v>1654</v>
      </c>
      <c r="C3" s="3203" t="s">
        <v>3055</v>
      </c>
      <c r="D3" s="2010"/>
      <c r="E3" s="1229" t="s">
        <v>1667</v>
      </c>
      <c r="F3" s="1230" t="s">
        <v>1655</v>
      </c>
      <c r="G3" s="3108" t="s">
        <v>2920</v>
      </c>
      <c r="H3" s="2009"/>
      <c r="I3" s="2009"/>
      <c r="J3" s="2009"/>
      <c r="K3" s="2009"/>
      <c r="L3" s="2009"/>
      <c r="M3" s="2009"/>
      <c r="N3" s="2009"/>
      <c r="O3" s="2009"/>
      <c r="P3" s="2009"/>
      <c r="Q3" s="2009"/>
      <c r="R3" s="2009"/>
    </row>
    <row r="4" spans="1:18" ht="67.5">
      <c r="A4" s="1229"/>
      <c r="B4" s="1231" t="s">
        <v>1668</v>
      </c>
      <c r="C4" s="3204" t="s">
        <v>3056</v>
      </c>
      <c r="D4" s="2010"/>
      <c r="E4" s="1232"/>
      <c r="F4" s="1233" t="s">
        <v>1669</v>
      </c>
      <c r="G4" s="3106" t="s">
        <v>2917</v>
      </c>
      <c r="H4" s="2009"/>
      <c r="I4" s="2009"/>
      <c r="J4" s="2009"/>
      <c r="K4" s="2009"/>
      <c r="L4" s="2009"/>
      <c r="M4" s="2009"/>
      <c r="N4" s="2009"/>
      <c r="O4" s="2009"/>
      <c r="P4" s="2009"/>
      <c r="Q4" s="2009"/>
      <c r="R4" s="2009"/>
    </row>
    <row r="5" spans="1:18" ht="41.25">
      <c r="A5" s="1229"/>
      <c r="B5" s="1231" t="s">
        <v>1670</v>
      </c>
      <c r="C5" s="3105" t="s">
        <v>2921</v>
      </c>
      <c r="D5" s="2010"/>
      <c r="E5" s="1232"/>
      <c r="F5" s="1231" t="s">
        <v>2546</v>
      </c>
      <c r="G5" s="3106" t="s">
        <v>2918</v>
      </c>
      <c r="H5" s="2009"/>
      <c r="I5" s="2009"/>
      <c r="J5" s="2009"/>
      <c r="K5" s="2009"/>
      <c r="L5" s="2009"/>
      <c r="M5" s="2009"/>
      <c r="N5" s="2009"/>
      <c r="O5" s="2009"/>
      <c r="P5" s="2009"/>
      <c r="Q5" s="2009"/>
      <c r="R5" s="2009"/>
    </row>
    <row r="6" spans="1:18" ht="81">
      <c r="A6" s="1229"/>
      <c r="B6" s="1231" t="s">
        <v>1656</v>
      </c>
      <c r="C6" s="3205" t="s">
        <v>3057</v>
      </c>
      <c r="D6" s="2010"/>
      <c r="E6" s="1232"/>
      <c r="F6" s="1231" t="s">
        <v>2547</v>
      </c>
      <c r="G6" s="3106" t="s">
        <v>2916</v>
      </c>
      <c r="H6" s="2009"/>
      <c r="I6" s="2009"/>
      <c r="J6" s="2009"/>
      <c r="K6" s="2009"/>
      <c r="L6" s="2009"/>
      <c r="M6" s="2009"/>
      <c r="N6" s="2009"/>
      <c r="O6" s="2009"/>
      <c r="P6" s="2009"/>
      <c r="Q6" s="2009"/>
      <c r="R6" s="2009"/>
    </row>
    <row r="7" spans="1:18" ht="41.25" thickBot="1">
      <c r="A7" s="1229"/>
      <c r="B7" s="1231" t="s">
        <v>2546</v>
      </c>
      <c r="C7" s="3205" t="s">
        <v>3058</v>
      </c>
      <c r="D7" s="2011"/>
      <c r="E7" s="1234"/>
      <c r="F7" s="1235" t="s">
        <v>1671</v>
      </c>
      <c r="G7" s="3109" t="s">
        <v>2919</v>
      </c>
      <c r="H7" s="2009"/>
      <c r="I7" s="2009"/>
      <c r="J7" s="2009"/>
      <c r="K7" s="2009"/>
      <c r="L7" s="2009"/>
      <c r="M7" s="2009"/>
      <c r="N7" s="2009"/>
      <c r="O7" s="2009"/>
      <c r="P7" s="2009"/>
      <c r="Q7" s="2009"/>
      <c r="R7" s="2009"/>
    </row>
    <row r="8" spans="1:18" ht="27">
      <c r="A8" s="1229"/>
      <c r="B8" s="1231" t="s">
        <v>2547</v>
      </c>
      <c r="C8" s="3205" t="s">
        <v>3059</v>
      </c>
      <c r="D8" s="2011"/>
      <c r="E8" s="2011"/>
      <c r="F8" s="1554"/>
      <c r="G8" s="1554"/>
      <c r="H8" s="2009"/>
      <c r="I8" s="2009"/>
      <c r="J8" s="2009"/>
      <c r="K8" s="2009"/>
      <c r="L8" s="2009"/>
      <c r="M8" s="2009"/>
      <c r="N8" s="2009"/>
      <c r="O8" s="2009"/>
      <c r="P8" s="2009"/>
      <c r="Q8" s="2009"/>
      <c r="R8" s="2009"/>
    </row>
    <row r="9" spans="1:18" ht="67.5">
      <c r="A9" s="1229"/>
      <c r="B9" s="1231" t="s">
        <v>1657</v>
      </c>
      <c r="C9" s="3204" t="s">
        <v>3060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07" t="s">
        <v>3061</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94.5">
      <c r="A15" s="2613" t="s">
        <v>1658</v>
      </c>
      <c r="B15" s="1242" t="s">
        <v>1654</v>
      </c>
      <c r="C15" s="1243" t="str">
        <f>C3</f>
        <v>估价对象周边居住用地比例高、居住小区规模较大，社区发展完善程度较好，有万科翡翠雅宾利、绿洲雅宾利花园等多个项目，综合评价居住社区成熟度较好</v>
      </c>
      <c r="D15" s="2010"/>
      <c r="E15" s="2610" t="s">
        <v>1659</v>
      </c>
      <c r="F15" s="1242" t="s">
        <v>1674</v>
      </c>
      <c r="G15" s="1244" t="str">
        <f>G3</f>
        <v>估价对象位于XX开发区，园区建设成熟度XX，产业集聚程度XX</v>
      </c>
    </row>
    <row r="16" spans="1:18" ht="67.5">
      <c r="A16" s="2614"/>
      <c r="B16" s="1245" t="s">
        <v>1668</v>
      </c>
      <c r="C16" s="1246" t="str">
        <f>C4</f>
        <v>估价对象周边商业氛围较成熟，人流量较大，有嘉杰国际广场、壹丰广场等多个商业项目，商业繁华度较好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81">
      <c r="A18" s="2614"/>
      <c r="B18" s="1247" t="s">
        <v>1656</v>
      </c>
      <c r="C18" s="1005" t="str">
        <f>C6</f>
        <v>估价对象周边道路状况较好、公共交通通达情况较好、停车便捷程度一般，有65、302、502等多路公交及地铁3、4、8号经过综合评价交通便捷度好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2546</v>
      </c>
      <c r="G19" s="1005" t="str">
        <f>G5</f>
        <v>估价对象所在区域公共配套设施齐备情况</v>
      </c>
    </row>
    <row r="20" spans="1:7" ht="67.5">
      <c r="A20" s="2614"/>
      <c r="B20" s="1247" t="s">
        <v>1661</v>
      </c>
      <c r="C20" s="1246" t="str">
        <f>C9</f>
        <v>区域自然环境：四川北路公园、交通公园；人文环境：上海城建职业学院、上海铁路博物馆；综合评价环境状况较好</v>
      </c>
      <c r="D20" s="2011"/>
      <c r="E20" s="2611"/>
      <c r="F20" s="1231" t="s">
        <v>2547</v>
      </c>
      <c r="G20" s="1005" t="str">
        <f>G6</f>
        <v>估价对象所在区域基础设施水平</v>
      </c>
    </row>
    <row r="21" spans="1:7" ht="27">
      <c r="A21" s="2614"/>
      <c r="B21" s="1231" t="s">
        <v>2546</v>
      </c>
      <c r="C21" s="1005" t="str">
        <f>C7</f>
        <v>估价对象所在区域公共配套设施齐备情况好</v>
      </c>
      <c r="D21" s="2010"/>
      <c r="E21" s="2611"/>
      <c r="F21" s="1247" t="s">
        <v>1662</v>
      </c>
      <c r="G21" s="3110"/>
    </row>
    <row r="22" spans="1:7" ht="27">
      <c r="A22" s="2614"/>
      <c r="B22" s="1231" t="s">
        <v>2547</v>
      </c>
      <c r="C22" s="1005" t="str">
        <f>C8</f>
        <v>估价对象所在区域基础设施水平六通</v>
      </c>
      <c r="D22" s="2010"/>
      <c r="E22" s="2611"/>
      <c r="F22" s="1247" t="s">
        <v>1672</v>
      </c>
      <c r="G22" s="2819"/>
    </row>
    <row r="23" spans="1:7" ht="15" thickBot="1">
      <c r="A23" s="2614"/>
      <c r="B23" s="1247" t="s">
        <v>1662</v>
      </c>
      <c r="C23" s="3110"/>
      <c r="E23" s="2612"/>
      <c r="F23" s="1248" t="s">
        <v>1676</v>
      </c>
      <c r="G23" s="3111"/>
    </row>
    <row r="24" spans="1:7" ht="14.25" thickBot="1">
      <c r="A24" s="2615"/>
      <c r="B24" s="1248" t="s">
        <v>1663</v>
      </c>
      <c r="C24" s="1249" t="str">
        <f>C10</f>
        <v>快速路-南北高架路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8" sqref="H18"/>
    </sheetView>
  </sheetViews>
  <sheetFormatPr defaultColWidth="14.625" defaultRowHeight="13.5"/>
  <cols>
    <col min="1" max="1" width="24.375" customWidth="1"/>
  </cols>
  <sheetData>
    <row r="1" spans="1:9" ht="16.5">
      <c r="A1" s="3069" t="s">
        <v>2844</v>
      </c>
      <c r="B1" s="3069">
        <f>SUM(B14:B23)</f>
        <v>145004</v>
      </c>
      <c r="C1" s="3070"/>
      <c r="D1" s="3070"/>
      <c r="E1" s="3070"/>
      <c r="F1" s="3070"/>
    </row>
    <row r="2" spans="1:9" ht="16.5">
      <c r="A2" s="3069" t="s">
        <v>2845</v>
      </c>
      <c r="B2" s="3069">
        <f>SUM(C14:C23)</f>
        <v>31034.1</v>
      </c>
      <c r="C2" s="3070"/>
      <c r="D2" s="3070"/>
      <c r="E2" s="3070"/>
      <c r="F2" s="3070"/>
    </row>
    <row r="3" spans="1:9" ht="16.5">
      <c r="A3" s="3069" t="s">
        <v>2846</v>
      </c>
      <c r="B3" s="3071">
        <f>项目基本情况!D3</f>
        <v>43248</v>
      </c>
      <c r="C3" s="3070"/>
      <c r="D3" s="3070"/>
      <c r="E3" s="3070"/>
      <c r="F3" s="3070"/>
    </row>
    <row r="4" spans="1:9" ht="33">
      <c r="A4" s="3069" t="s">
        <v>2847</v>
      </c>
      <c r="B4" s="3069" t="s">
        <v>2848</v>
      </c>
      <c r="C4" s="3069" t="s">
        <v>2849</v>
      </c>
      <c r="D4" s="3069" t="s">
        <v>2850</v>
      </c>
      <c r="E4" s="3070"/>
      <c r="F4" s="3070"/>
    </row>
    <row r="5" spans="1:9" ht="16.5">
      <c r="A5" s="3069" t="s">
        <v>2851</v>
      </c>
      <c r="B5" s="3069">
        <f ca="1">SUM(D14:D23)</f>
        <v>905405</v>
      </c>
      <c r="C5" s="3069">
        <f ca="1">ROUND(B5*10000/$B$1,0)</f>
        <v>62440</v>
      </c>
      <c r="D5" s="3069">
        <f ca="1">ROUND(B5*10000/$B$2,0)</f>
        <v>291745</v>
      </c>
      <c r="E5" s="3070"/>
      <c r="F5" s="3070"/>
    </row>
    <row r="6" spans="1:9" ht="16.5">
      <c r="A6" s="3069" t="s">
        <v>2852</v>
      </c>
      <c r="B6" s="3069">
        <f ca="1">SUM(G14:G23)</f>
        <v>905405</v>
      </c>
      <c r="C6" s="3069">
        <f t="shared" ref="C6:C8" ca="1" si="0">ROUND(B6*10000/$B$1,0)</f>
        <v>62440</v>
      </c>
      <c r="D6" s="3069">
        <f t="shared" ref="D6:D8" ca="1" si="1">ROUND(B6*10000/$B$2,0)</f>
        <v>291745</v>
      </c>
      <c r="E6" s="3070"/>
      <c r="F6" s="3070"/>
    </row>
    <row r="7" spans="1:9" ht="16.5">
      <c r="A7" s="3069" t="s">
        <v>2853</v>
      </c>
      <c r="B7" s="3069">
        <f>SUM(H14:H23)</f>
        <v>0</v>
      </c>
      <c r="C7" s="3069">
        <f t="shared" si="0"/>
        <v>0</v>
      </c>
      <c r="D7" s="3069">
        <f t="shared" si="1"/>
        <v>0</v>
      </c>
      <c r="E7" s="3070"/>
      <c r="F7" s="3070"/>
    </row>
    <row r="8" spans="1:9" ht="16.5">
      <c r="A8" s="3069" t="s">
        <v>2854</v>
      </c>
      <c r="B8" s="3069">
        <f>SUM(I14:I23)</f>
        <v>0</v>
      </c>
      <c r="C8" s="3069">
        <f t="shared" si="0"/>
        <v>0</v>
      </c>
      <c r="D8" s="3069">
        <f t="shared" si="1"/>
        <v>0</v>
      </c>
      <c r="E8" s="3070"/>
      <c r="F8" s="3070"/>
    </row>
    <row r="9" spans="1:9" ht="16.5">
      <c r="A9" s="3069" t="s">
        <v>2855</v>
      </c>
      <c r="B9" s="3072"/>
      <c r="C9" s="3070"/>
      <c r="D9" s="3070"/>
      <c r="E9" s="3070"/>
      <c r="F9" s="3070"/>
    </row>
    <row r="10" spans="1:9" ht="16.5">
      <c r="A10" s="3069" t="s">
        <v>2856</v>
      </c>
      <c r="B10" s="3072"/>
      <c r="C10" s="3070"/>
      <c r="D10" s="3070"/>
      <c r="E10" s="3070"/>
      <c r="F10" s="3070"/>
    </row>
    <row r="11" spans="1:9" ht="16.5">
      <c r="A11" s="3069" t="s">
        <v>2873</v>
      </c>
      <c r="B11" s="3072"/>
      <c r="C11" s="3070"/>
      <c r="D11" s="3070"/>
      <c r="E11" s="3070"/>
      <c r="F11" s="3070"/>
    </row>
    <row r="12" spans="1:9" ht="16.5">
      <c r="A12" s="3070"/>
      <c r="B12" s="3070"/>
      <c r="C12" s="3070"/>
      <c r="D12" s="3070"/>
      <c r="E12" s="3070"/>
      <c r="F12" s="3070"/>
    </row>
    <row r="13" spans="1:9" ht="33">
      <c r="A13" s="3075" t="s">
        <v>2872</v>
      </c>
      <c r="B13" s="3073" t="s">
        <v>2844</v>
      </c>
      <c r="C13" s="3073" t="s">
        <v>2845</v>
      </c>
      <c r="D13" s="3073" t="s">
        <v>2857</v>
      </c>
      <c r="E13" s="3069" t="s">
        <v>2871</v>
      </c>
      <c r="F13" s="3069" t="s">
        <v>2850</v>
      </c>
      <c r="G13" s="3073" t="s">
        <v>2858</v>
      </c>
      <c r="H13" s="3073" t="s">
        <v>2859</v>
      </c>
      <c r="I13" s="3073" t="s">
        <v>2860</v>
      </c>
    </row>
    <row r="14" spans="1:9" ht="16.5">
      <c r="A14" s="3076" t="s">
        <v>2870</v>
      </c>
      <c r="B14" s="3073">
        <f>结果表!L38</f>
        <v>88257.98000000001</v>
      </c>
      <c r="C14" s="3073">
        <f>结果表!K38</f>
        <v>19651.2</v>
      </c>
      <c r="D14" s="3073">
        <f ca="1">结果表!C42</f>
        <v>587326</v>
      </c>
      <c r="E14" s="3073">
        <f ca="1">ROUND(D14*10000/B14,0)</f>
        <v>66547</v>
      </c>
      <c r="F14" s="3073">
        <f ca="1">ROUND(D14*10000/C14,0)</f>
        <v>298875</v>
      </c>
      <c r="G14" s="3073">
        <f ca="1">结果表!C44</f>
        <v>587326</v>
      </c>
      <c r="H14" s="3073" t="str">
        <f>结果表!C45</f>
        <v>——</v>
      </c>
      <c r="I14" s="3073" t="str">
        <f>结果表!C46</f>
        <v>——</v>
      </c>
    </row>
    <row r="15" spans="1:9" ht="16.5">
      <c r="A15" s="3076" t="s">
        <v>2861</v>
      </c>
      <c r="B15" s="3077">
        <f>[1]结果表!$L$38</f>
        <v>56746.020000000004</v>
      </c>
      <c r="C15" s="3077">
        <f>[1]结果表!$K$38</f>
        <v>11382.9</v>
      </c>
      <c r="D15" s="3077">
        <f ca="1">[1]结果表!$O$38</f>
        <v>318079</v>
      </c>
      <c r="E15" s="3073">
        <f t="shared" ref="E15:E23" ca="1" si="2">ROUND(D15*10000/B15,0)</f>
        <v>56053</v>
      </c>
      <c r="F15" s="3073">
        <f t="shared" ref="F15:F23" ca="1" si="3">ROUND(D15*10000/C15,0)</f>
        <v>279436</v>
      </c>
      <c r="G15" s="3074">
        <f ca="1">D15</f>
        <v>318079</v>
      </c>
      <c r="H15" s="3074"/>
      <c r="I15" s="3077"/>
    </row>
    <row r="16" spans="1:9" ht="16.5">
      <c r="A16" s="3076" t="s">
        <v>2862</v>
      </c>
      <c r="B16" s="3077"/>
      <c r="C16" s="3077"/>
      <c r="D16" s="3077"/>
      <c r="E16" s="3073" t="e">
        <f t="shared" si="2"/>
        <v>#DIV/0!</v>
      </c>
      <c r="F16" s="3073" t="e">
        <f t="shared" si="3"/>
        <v>#DIV/0!</v>
      </c>
      <c r="G16" s="3074"/>
      <c r="H16" s="3074"/>
      <c r="I16" s="3077"/>
    </row>
    <row r="17" spans="1:9" ht="16.5">
      <c r="A17" s="3076" t="s">
        <v>2863</v>
      </c>
      <c r="B17" s="3077"/>
      <c r="C17" s="3077"/>
      <c r="D17" s="3077"/>
      <c r="E17" s="3073" t="e">
        <f t="shared" si="2"/>
        <v>#DIV/0!</v>
      </c>
      <c r="F17" s="3073" t="e">
        <f t="shared" si="3"/>
        <v>#DIV/0!</v>
      </c>
      <c r="G17" s="3074"/>
      <c r="H17" s="3074"/>
      <c r="I17" s="3077"/>
    </row>
    <row r="18" spans="1:9" ht="16.5">
      <c r="A18" s="3076" t="s">
        <v>2864</v>
      </c>
      <c r="B18" s="3077"/>
      <c r="C18" s="3077"/>
      <c r="D18" s="3077"/>
      <c r="E18" s="3073" t="e">
        <f t="shared" si="2"/>
        <v>#DIV/0!</v>
      </c>
      <c r="F18" s="3073" t="e">
        <f t="shared" si="3"/>
        <v>#DIV/0!</v>
      </c>
      <c r="G18" s="3077"/>
      <c r="H18" s="3077"/>
      <c r="I18" s="3077"/>
    </row>
    <row r="19" spans="1:9" ht="16.5">
      <c r="A19" s="3076" t="s">
        <v>2865</v>
      </c>
      <c r="B19" s="3077"/>
      <c r="C19" s="3077"/>
      <c r="D19" s="3077"/>
      <c r="E19" s="3073" t="e">
        <f t="shared" si="2"/>
        <v>#DIV/0!</v>
      </c>
      <c r="F19" s="3073" t="e">
        <f t="shared" si="3"/>
        <v>#DIV/0!</v>
      </c>
      <c r="G19" s="3077"/>
      <c r="H19" s="3077"/>
      <c r="I19" s="3077"/>
    </row>
    <row r="20" spans="1:9" ht="16.5">
      <c r="A20" s="3076" t="s">
        <v>2866</v>
      </c>
      <c r="B20" s="3077"/>
      <c r="C20" s="3077"/>
      <c r="D20" s="3077"/>
      <c r="E20" s="3073" t="e">
        <f t="shared" si="2"/>
        <v>#DIV/0!</v>
      </c>
      <c r="F20" s="3073" t="e">
        <f t="shared" si="3"/>
        <v>#DIV/0!</v>
      </c>
      <c r="G20" s="3077"/>
      <c r="H20" s="3077"/>
      <c r="I20" s="3077"/>
    </row>
    <row r="21" spans="1:9" ht="16.5">
      <c r="A21" s="3076" t="s">
        <v>2867</v>
      </c>
      <c r="B21" s="3077"/>
      <c r="C21" s="3077"/>
      <c r="D21" s="3077"/>
      <c r="E21" s="3073" t="e">
        <f t="shared" si="2"/>
        <v>#DIV/0!</v>
      </c>
      <c r="F21" s="3073" t="e">
        <f t="shared" si="3"/>
        <v>#DIV/0!</v>
      </c>
      <c r="G21" s="3077"/>
      <c r="H21" s="3077"/>
      <c r="I21" s="3077"/>
    </row>
    <row r="22" spans="1:9" ht="16.5">
      <c r="A22" s="3076" t="s">
        <v>2868</v>
      </c>
      <c r="B22" s="3077"/>
      <c r="C22" s="3077"/>
      <c r="D22" s="3077"/>
      <c r="E22" s="3073" t="e">
        <f t="shared" si="2"/>
        <v>#DIV/0!</v>
      </c>
      <c r="F22" s="3073" t="e">
        <f t="shared" si="3"/>
        <v>#DIV/0!</v>
      </c>
      <c r="G22" s="3077"/>
      <c r="H22" s="3077"/>
      <c r="I22" s="3077"/>
    </row>
    <row r="23" spans="1:9" ht="16.5">
      <c r="A23" s="3076" t="s">
        <v>2869</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371" t="str">
        <f>项目基本情况!K2</f>
        <v>上海市静安区宝山路街道147街坊11丘出让国有建设用地使用权</v>
      </c>
      <c r="B2" s="3372"/>
      <c r="C2" s="3373"/>
      <c r="D2" s="3373"/>
      <c r="E2" s="3373"/>
      <c r="F2" s="3373"/>
      <c r="G2" s="3372"/>
      <c r="H2" s="3372"/>
      <c r="I2" s="3374"/>
      <c r="J2" s="2031"/>
      <c r="K2" s="2030"/>
      <c r="L2" s="2030"/>
      <c r="M2" s="2030"/>
      <c r="N2" s="2030"/>
      <c r="O2" s="2030"/>
      <c r="P2" s="2030"/>
      <c r="Q2" s="2030"/>
      <c r="R2" s="2030"/>
      <c r="S2" s="2030"/>
      <c r="T2" s="2030"/>
      <c r="U2" s="2030"/>
      <c r="V2" s="2030"/>
    </row>
    <row r="3" spans="1:22" ht="14.25">
      <c r="A3" s="3382" t="s">
        <v>298</v>
      </c>
      <c r="B3" s="3383"/>
      <c r="C3" s="3383"/>
      <c r="D3" s="3383"/>
      <c r="E3" s="3383"/>
      <c r="F3" s="3383"/>
      <c r="G3" s="3383"/>
      <c r="H3" s="3383"/>
      <c r="I3" s="3383"/>
      <c r="J3" s="2031"/>
      <c r="K3" s="2030"/>
      <c r="L3" s="2030"/>
      <c r="M3" s="2030"/>
      <c r="N3" s="2030"/>
      <c r="O3" s="2030"/>
      <c r="P3" s="2030"/>
      <c r="Q3" s="2030"/>
      <c r="R3" s="2030"/>
      <c r="S3" s="2030"/>
      <c r="T3" s="2030"/>
      <c r="U3" s="2030"/>
      <c r="V3" s="2030"/>
    </row>
    <row r="4" spans="1:22" ht="14.25">
      <c r="A4" s="258" t="s">
        <v>299</v>
      </c>
      <c r="B4" s="259" t="s">
        <v>300</v>
      </c>
      <c r="C4" s="260" t="s">
        <v>3192</v>
      </c>
      <c r="D4" s="260" t="s">
        <v>3119</v>
      </c>
      <c r="E4" s="3346" t="s">
        <v>301</v>
      </c>
      <c r="F4" s="3388"/>
      <c r="G4" s="3388"/>
      <c r="H4" s="3388"/>
      <c r="I4" s="334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75" t="s">
        <v>302</v>
      </c>
      <c r="B5" s="3376">
        <v>25</v>
      </c>
      <c r="C5" s="3384"/>
      <c r="D5" s="3387"/>
      <c r="E5" s="261" t="s">
        <v>303</v>
      </c>
      <c r="F5" s="262"/>
      <c r="G5" s="262"/>
      <c r="H5" s="262"/>
      <c r="I5" s="263"/>
      <c r="J5" s="2031"/>
      <c r="K5" s="2030"/>
      <c r="L5" s="2030"/>
      <c r="M5" s="2030"/>
      <c r="N5" s="2030"/>
      <c r="O5" s="2030"/>
      <c r="P5" s="2030"/>
      <c r="Q5" s="2030"/>
      <c r="R5" s="2030"/>
      <c r="S5" s="2030"/>
      <c r="T5" s="2030"/>
      <c r="U5" s="2030"/>
      <c r="V5" s="2030"/>
    </row>
    <row r="6" spans="1:22" ht="14.25">
      <c r="A6" s="3375"/>
      <c r="B6" s="3376"/>
      <c r="C6" s="3385"/>
      <c r="D6" s="3387"/>
      <c r="E6" s="261" t="s">
        <v>304</v>
      </c>
      <c r="F6" s="262"/>
      <c r="G6" s="262"/>
      <c r="H6" s="262"/>
      <c r="I6" s="263"/>
      <c r="J6" s="2031"/>
      <c r="K6" s="2030"/>
      <c r="L6" s="2030"/>
      <c r="M6" s="2030"/>
      <c r="N6" s="2030"/>
      <c r="O6" s="2030"/>
      <c r="P6" s="2030"/>
      <c r="Q6" s="2030"/>
      <c r="R6" s="2030"/>
      <c r="S6" s="2030"/>
      <c r="T6" s="2030"/>
      <c r="U6" s="2030"/>
      <c r="V6" s="2030"/>
    </row>
    <row r="7" spans="1:22" ht="14.25">
      <c r="A7" s="3375"/>
      <c r="B7" s="3376"/>
      <c r="C7" s="3386"/>
      <c r="D7" s="3387"/>
      <c r="E7" s="261" t="s">
        <v>305</v>
      </c>
      <c r="F7" s="262"/>
      <c r="G7" s="262"/>
      <c r="H7" s="262"/>
      <c r="I7" s="263"/>
      <c r="J7" s="2031"/>
      <c r="K7" s="2030"/>
      <c r="L7" s="2030"/>
      <c r="M7" s="2030"/>
      <c r="N7" s="2030"/>
      <c r="O7" s="2030"/>
      <c r="P7" s="2030"/>
      <c r="Q7" s="2030"/>
      <c r="R7" s="2030"/>
      <c r="S7" s="2030"/>
      <c r="T7" s="2030"/>
      <c r="U7" s="2030"/>
      <c r="V7" s="2030"/>
    </row>
    <row r="8" spans="1:22" ht="14.25">
      <c r="A8" s="3375" t="s">
        <v>306</v>
      </c>
      <c r="B8" s="3376">
        <v>15</v>
      </c>
      <c r="C8" s="3384"/>
      <c r="D8" s="3387"/>
      <c r="E8" s="261" t="s">
        <v>307</v>
      </c>
      <c r="F8" s="262"/>
      <c r="G8" s="262"/>
      <c r="H8" s="262"/>
      <c r="I8" s="263"/>
      <c r="J8" s="2031"/>
      <c r="K8" s="2030"/>
      <c r="L8" s="2030"/>
      <c r="M8" s="2030"/>
      <c r="N8" s="2030"/>
      <c r="O8" s="2030"/>
      <c r="P8" s="2030"/>
      <c r="Q8" s="2030"/>
      <c r="R8" s="2030"/>
      <c r="S8" s="2030"/>
      <c r="T8" s="2030"/>
      <c r="U8" s="2030"/>
      <c r="V8" s="2030"/>
    </row>
    <row r="9" spans="1:22" ht="14.25">
      <c r="A9" s="3375"/>
      <c r="B9" s="3376"/>
      <c r="C9" s="3386"/>
      <c r="D9" s="3387"/>
      <c r="E9" s="261" t="s">
        <v>308</v>
      </c>
      <c r="F9" s="262"/>
      <c r="G9" s="262"/>
      <c r="H9" s="262"/>
      <c r="I9" s="263"/>
      <c r="J9" s="2031"/>
      <c r="K9" s="2030"/>
      <c r="L9" s="2030"/>
      <c r="M9" s="2030"/>
      <c r="N9" s="2030"/>
      <c r="O9" s="2030"/>
      <c r="P9" s="2030"/>
      <c r="Q9" s="2030"/>
      <c r="R9" s="2030"/>
      <c r="S9" s="2030"/>
      <c r="T9" s="2030"/>
      <c r="U9" s="2030"/>
      <c r="V9" s="2030"/>
    </row>
    <row r="10" spans="1:22" ht="14.25">
      <c r="A10" s="3375" t="s">
        <v>309</v>
      </c>
      <c r="B10" s="3376">
        <v>15</v>
      </c>
      <c r="C10" s="3384"/>
      <c r="D10" s="3387"/>
      <c r="E10" s="261" t="s">
        <v>310</v>
      </c>
      <c r="F10" s="262"/>
      <c r="G10" s="262"/>
      <c r="H10" s="262"/>
      <c r="I10" s="263"/>
      <c r="J10" s="2031"/>
      <c r="K10" s="2030"/>
      <c r="L10" s="2030"/>
      <c r="M10" s="2030"/>
      <c r="N10" s="2030"/>
      <c r="O10" s="2030"/>
      <c r="P10" s="2030"/>
      <c r="Q10" s="2030"/>
      <c r="R10" s="2030"/>
      <c r="S10" s="2030"/>
      <c r="T10" s="2030"/>
      <c r="U10" s="2030"/>
      <c r="V10" s="2030"/>
    </row>
    <row r="11" spans="1:22" ht="14.25">
      <c r="A11" s="3375"/>
      <c r="B11" s="3376"/>
      <c r="C11" s="3386"/>
      <c r="D11" s="3387"/>
      <c r="E11" s="261" t="s">
        <v>311</v>
      </c>
      <c r="F11" s="262"/>
      <c r="G11" s="262"/>
      <c r="H11" s="262"/>
      <c r="I11" s="263"/>
      <c r="J11" s="2031"/>
      <c r="K11" s="2030"/>
      <c r="L11" s="2030"/>
      <c r="M11" s="2030"/>
      <c r="N11" s="2030"/>
      <c r="O11" s="2030"/>
      <c r="P11" s="2030"/>
      <c r="Q11" s="2030"/>
      <c r="R11" s="2030"/>
      <c r="S11" s="2030"/>
      <c r="T11" s="2030"/>
      <c r="U11" s="2030"/>
      <c r="V11" s="2030"/>
    </row>
    <row r="12" spans="1:22" ht="14.25">
      <c r="A12" s="3375" t="s">
        <v>312</v>
      </c>
      <c r="B12" s="3376">
        <v>15</v>
      </c>
      <c r="C12" s="3384"/>
      <c r="D12" s="3387"/>
      <c r="E12" s="261" t="s">
        <v>313</v>
      </c>
      <c r="F12" s="262"/>
      <c r="G12" s="262"/>
      <c r="H12" s="262"/>
      <c r="I12" s="263"/>
      <c r="J12" s="2031"/>
      <c r="K12" s="2030"/>
      <c r="L12" s="2030"/>
      <c r="M12" s="2030"/>
      <c r="N12" s="2030"/>
      <c r="O12" s="2030"/>
      <c r="P12" s="2030"/>
      <c r="Q12" s="2030"/>
      <c r="R12" s="2030"/>
      <c r="S12" s="2030"/>
      <c r="T12" s="2030"/>
      <c r="U12" s="2030"/>
      <c r="V12" s="2030"/>
    </row>
    <row r="13" spans="1:22" ht="14.25">
      <c r="A13" s="3375"/>
      <c r="B13" s="3376"/>
      <c r="C13" s="3386"/>
      <c r="D13" s="3387"/>
      <c r="E13" s="261" t="s">
        <v>314</v>
      </c>
      <c r="F13" s="262"/>
      <c r="G13" s="262"/>
      <c r="H13" s="262"/>
      <c r="I13" s="263"/>
      <c r="J13" s="2031"/>
      <c r="K13" s="2030"/>
      <c r="L13" s="2030"/>
      <c r="M13" s="2030"/>
      <c r="N13" s="2030"/>
      <c r="O13" s="2030"/>
      <c r="P13" s="2030"/>
      <c r="Q13" s="2030"/>
      <c r="R13" s="2030"/>
      <c r="S13" s="2030"/>
      <c r="T13" s="2030"/>
      <c r="U13" s="2030"/>
      <c r="V13" s="2030"/>
    </row>
    <row r="14" spans="1:22" ht="14.25">
      <c r="A14" s="3375" t="s">
        <v>315</v>
      </c>
      <c r="B14" s="3376">
        <v>30</v>
      </c>
      <c r="C14" s="3384">
        <v>5</v>
      </c>
      <c r="D14" s="3387">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75"/>
      <c r="B15" s="3376"/>
      <c r="C15" s="3385"/>
      <c r="D15" s="3387"/>
      <c r="E15" s="261" t="s">
        <v>317</v>
      </c>
      <c r="F15" s="262"/>
      <c r="G15" s="262"/>
      <c r="H15" s="262"/>
      <c r="I15" s="263"/>
      <c r="J15" s="2031"/>
      <c r="K15" s="2030"/>
      <c r="L15" s="2030"/>
      <c r="M15" s="2030"/>
      <c r="N15" s="2030"/>
      <c r="O15" s="2030"/>
      <c r="P15" s="2030"/>
      <c r="Q15" s="2030"/>
      <c r="R15" s="2030"/>
      <c r="S15" s="2030"/>
      <c r="T15" s="2030"/>
      <c r="U15" s="2030"/>
      <c r="V15" s="2030"/>
    </row>
    <row r="16" spans="1:22" ht="14.25">
      <c r="A16" s="3375"/>
      <c r="B16" s="3376"/>
      <c r="C16" s="3386"/>
      <c r="D16" s="3387"/>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565274</v>
      </c>
      <c r="D19" s="271">
        <f ca="1">SUMIF(INDIRECT("'"&amp;D4&amp;"'"&amp;"!A:A"),结果表!B19,INDIRECT("'"&amp;D4&amp;"'"&amp;"!B:B"))</f>
        <v>609378</v>
      </c>
      <c r="E19" s="268" t="s">
        <v>323</v>
      </c>
      <c r="F19" s="269" t="s">
        <v>322</v>
      </c>
      <c r="G19" s="272">
        <f ca="1">ROUND(C19*$C$18+D19*$D$18,0)</f>
        <v>587326</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64048</v>
      </c>
      <c r="D20" s="277">
        <f ca="1">SUMIF(INDIRECT("'"&amp;D4&amp;"'"&amp;"!A:A"),结果表!B20,INDIRECT("'"&amp;D4&amp;"'"&amp;"!B:B"))</f>
        <v>69045</v>
      </c>
      <c r="E20" s="274"/>
      <c r="F20" s="275" t="s">
        <v>325</v>
      </c>
      <c r="G20" s="278">
        <f ca="1">ROUND(C20*$C$18+D20*$D$18,0)</f>
        <v>66547</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287654</v>
      </c>
      <c r="D21" s="151">
        <f ca="1">SUMIF(INDIRECT("'"&amp;D4&amp;"'"&amp;"!A:A"),结果表!B21,INDIRECT("'"&amp;D4&amp;"'"&amp;"!B:B"))</f>
        <v>310097</v>
      </c>
      <c r="E21" s="274"/>
      <c r="F21" s="280" t="s">
        <v>327</v>
      </c>
      <c r="G21" s="282">
        <f ca="1">ROUND(C21*$C$18+D21*$D$18,0)</f>
        <v>298876</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7.8022339608756042E-2</v>
      </c>
      <c r="E22" s="284"/>
      <c r="F22" s="285"/>
      <c r="G22" s="286">
        <f ca="1">ROUND(G19/('数据-汇总表'!D3/666.67),0)</f>
        <v>19925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4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90"/>
      <c r="B25" s="1321" t="s">
        <v>331</v>
      </c>
      <c r="C25" s="290">
        <f>IF(B30=0,0,C30)</f>
        <v>0</v>
      </c>
      <c r="D25" s="291"/>
      <c r="E25" s="311"/>
      <c r="F25" s="311"/>
      <c r="G25" s="311"/>
      <c r="H25" s="311"/>
      <c r="I25" s="311"/>
      <c r="J25" s="2030"/>
      <c r="K25" s="1255" t="str">
        <f ca="1">项目基本情况!B16&amp;"国有建设用地使用权价格："&amp;O38&amp;"万元"</f>
        <v>出让国有建设用地使用权价格：587326万元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大写金额：人民币伍拾捌亿柒仟叁佰贰拾陆万元整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f ca="1">D19/'数据-汇总表'!F31</f>
        <v>9.2341360785599669</v>
      </c>
      <c r="E27" s="311"/>
      <c r="F27" s="311"/>
      <c r="G27" s="311"/>
      <c r="H27" s="311"/>
      <c r="I27" s="311"/>
      <c r="J27" s="2030"/>
      <c r="K27" s="1258" t="str">
        <f ca="1">"单位面积地价："&amp;M38&amp;"元/平方米"</f>
        <v>单位面积地价：298875元/平方米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楼面地价：66547元/平方米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抵押价格：587326万元</v>
      </c>
      <c r="L29" s="1252"/>
      <c r="M29" s="1252"/>
      <c r="N29" s="1252"/>
      <c r="O29" s="1251"/>
      <c r="P29" s="2030"/>
      <c r="V29" s="2030"/>
    </row>
    <row r="30" spans="1:26" ht="18.75" thickBot="1">
      <c r="A30" s="3159" t="s">
        <v>336</v>
      </c>
      <c r="B30" s="309"/>
      <c r="C30" s="309"/>
      <c r="D30" s="310"/>
      <c r="E30" s="3160" t="s">
        <v>2968</v>
      </c>
      <c r="F30" s="311"/>
      <c r="G30" s="311"/>
      <c r="H30" s="311"/>
      <c r="I30" s="311"/>
      <c r="J30" s="2030"/>
      <c r="K30" s="1258" t="str">
        <f ca="1">IF(K29="——","——","大写金额：人民币"&amp;NUMBERSTRING(INT(O39*10000),2)&amp;"元整")</f>
        <v>大写金额：人民币伍拾捌亿柒仟叁佰贰拾陆万元整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1686</v>
      </c>
      <c r="C32" s="1383">
        <f ca="1">G19-C24</f>
        <v>587326</v>
      </c>
      <c r="D32" s="1384" t="s">
        <v>1687</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1688</v>
      </c>
      <c r="C33" s="264">
        <f ca="1">ROUND(C32*10000/'数据-汇总表'!E3,0)</f>
        <v>66547</v>
      </c>
      <c r="D33" s="1386" t="s">
        <v>1689</v>
      </c>
      <c r="E33" s="3348"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1690</v>
      </c>
      <c r="C34" s="264">
        <f ca="1">ROUND(C32*10000/'数据-汇总表'!D3,0)</f>
        <v>298875</v>
      </c>
      <c r="D34" s="1388" t="s">
        <v>1689</v>
      </c>
      <c r="E34" s="334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19925</v>
      </c>
      <c r="D35" s="1391" t="s">
        <v>1691</v>
      </c>
      <c r="E35" s="3350"/>
      <c r="F35" s="301" t="s">
        <v>342</v>
      </c>
      <c r="G35" s="982"/>
      <c r="H35" s="981" t="s">
        <v>343</v>
      </c>
      <c r="I35" s="311"/>
      <c r="J35" s="2030"/>
      <c r="K35" s="3354" t="s">
        <v>350</v>
      </c>
      <c r="L35" s="3354" t="s">
        <v>351</v>
      </c>
      <c r="M35" s="1264" t="s">
        <v>352</v>
      </c>
      <c r="N35" s="3354" t="s">
        <v>353</v>
      </c>
      <c r="O35" s="3354" t="s">
        <v>354</v>
      </c>
      <c r="P35" s="2030"/>
      <c r="V35" s="2030"/>
    </row>
    <row r="36" spans="1:26" ht="16.5" customHeight="1">
      <c r="A36" s="303" t="s">
        <v>344</v>
      </c>
      <c r="B36" s="304" t="s">
        <v>333</v>
      </c>
      <c r="C36" s="305" t="s">
        <v>345</v>
      </c>
      <c r="D36" s="305" t="s">
        <v>346</v>
      </c>
      <c r="E36" s="306" t="s">
        <v>347</v>
      </c>
      <c r="F36" s="311"/>
      <c r="G36" s="311"/>
      <c r="H36" s="311"/>
      <c r="I36" s="311"/>
      <c r="J36" s="2032"/>
      <c r="K36" s="3355"/>
      <c r="L36" s="3355"/>
      <c r="M36" s="1266" t="s">
        <v>355</v>
      </c>
      <c r="N36" s="3355"/>
      <c r="O36" s="3355"/>
      <c r="P36" s="2030"/>
      <c r="V36" s="2030"/>
    </row>
    <row r="37" spans="1:26" ht="16.5" customHeight="1" thickBot="1">
      <c r="A37" s="1260" t="s">
        <v>348</v>
      </c>
      <c r="B37" s="307"/>
      <c r="C37" s="294"/>
      <c r="D37" s="294"/>
      <c r="E37" s="295"/>
      <c r="F37" s="311"/>
      <c r="G37" s="311"/>
      <c r="H37" s="311"/>
      <c r="I37" s="311"/>
      <c r="J37" s="2032"/>
      <c r="K37" s="3356"/>
      <c r="L37" s="3356"/>
      <c r="M37" s="1267"/>
      <c r="N37" s="3356"/>
      <c r="O37" s="3356"/>
      <c r="P37" s="2030"/>
      <c r="V37" s="2030"/>
    </row>
    <row r="38" spans="1:26" ht="16.5" customHeight="1" thickBot="1">
      <c r="A38" s="1260" t="s">
        <v>349</v>
      </c>
      <c r="B38" s="307"/>
      <c r="C38" s="294"/>
      <c r="D38" s="294"/>
      <c r="E38" s="295"/>
      <c r="F38" s="311"/>
      <c r="G38" s="311"/>
      <c r="H38" s="311"/>
      <c r="I38" s="311"/>
      <c r="J38" s="2032"/>
      <c r="K38" s="1268">
        <f>'数据-汇总表'!D3</f>
        <v>19651.2</v>
      </c>
      <c r="L38" s="1269">
        <f>'数据-汇总表'!E3</f>
        <v>88257.98000000001</v>
      </c>
      <c r="M38" s="1269">
        <f ca="1">C34</f>
        <v>298875</v>
      </c>
      <c r="N38" s="1269">
        <f ca="1">C33</f>
        <v>66547</v>
      </c>
      <c r="O38" s="1270">
        <f ca="1">C32</f>
        <v>587326</v>
      </c>
      <c r="P38" s="2030"/>
      <c r="V38" s="2030"/>
    </row>
    <row r="39" spans="1:26" ht="16.5" customHeight="1" thickBot="1">
      <c r="A39" s="1265"/>
      <c r="B39" s="308"/>
      <c r="C39" s="309"/>
      <c r="D39" s="309"/>
      <c r="E39" s="310"/>
      <c r="F39" s="311"/>
      <c r="G39" s="311"/>
      <c r="H39" s="311"/>
      <c r="I39" s="311"/>
      <c r="J39" s="2032"/>
      <c r="K39" s="3331" t="str">
        <f>MID(A44,3,LEN(A44)-2)</f>
        <v>抵押价格</v>
      </c>
      <c r="L39" s="3332"/>
      <c r="M39" s="3332"/>
      <c r="N39" s="3333"/>
      <c r="O39" s="1393">
        <f ca="1">C44</f>
        <v>587326</v>
      </c>
      <c r="P39" s="2030"/>
      <c r="V39" s="2030"/>
    </row>
    <row r="40" spans="1:26" ht="19.5" thickBot="1">
      <c r="A40" s="104" t="s">
        <v>873</v>
      </c>
      <c r="B40" s="311"/>
      <c r="C40" s="311"/>
      <c r="D40" s="311"/>
      <c r="E40" s="311"/>
      <c r="F40" s="311"/>
      <c r="G40" s="311"/>
      <c r="H40" s="311"/>
      <c r="I40" s="311"/>
      <c r="J40" s="2032"/>
      <c r="K40" s="3331" t="str">
        <f t="shared" ref="K40:K41" si="0">MID(A45,3,LEN(A45)-2)</f>
        <v/>
      </c>
      <c r="L40" s="3332"/>
      <c r="M40" s="3332"/>
      <c r="N40" s="3333"/>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1" t="str">
        <f t="shared" si="0"/>
        <v/>
      </c>
      <c r="L41" s="3332"/>
      <c r="M41" s="3332"/>
      <c r="N41" s="3333"/>
      <c r="O41" s="1393" t="str">
        <f>C46</f>
        <v>——</v>
      </c>
      <c r="P41" s="2030"/>
      <c r="V41" s="2030"/>
    </row>
    <row r="42" spans="1:26" ht="29.25">
      <c r="A42" s="3391" t="s">
        <v>2066</v>
      </c>
      <c r="B42" s="3392"/>
      <c r="C42" s="264">
        <f ca="1">C32</f>
        <v>587326</v>
      </c>
      <c r="D42" s="317">
        <f ca="1">C33</f>
        <v>66547</v>
      </c>
      <c r="E42" s="317">
        <f ca="1">C34</f>
        <v>298875</v>
      </c>
      <c r="F42" s="318">
        <f ca="1">C35</f>
        <v>19925</v>
      </c>
      <c r="G42" s="311"/>
      <c r="H42" s="311"/>
      <c r="I42" s="319"/>
      <c r="J42" s="2032"/>
      <c r="K42" s="1271" t="s">
        <v>361</v>
      </c>
      <c r="L42" s="2049" t="s">
        <v>362</v>
      </c>
      <c r="M42" s="1272" t="s">
        <v>363</v>
      </c>
      <c r="N42" s="2050" t="s">
        <v>364</v>
      </c>
      <c r="O42" s="2051" t="s">
        <v>365</v>
      </c>
      <c r="P42" s="2030"/>
      <c r="V42" s="2030"/>
    </row>
    <row r="43" spans="1:26" ht="30">
      <c r="A43" s="3401" t="s">
        <v>2730</v>
      </c>
      <c r="B43" s="3402"/>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565274</v>
      </c>
      <c r="M43" s="1275">
        <f>C18</f>
        <v>0.5</v>
      </c>
      <c r="N43" s="1276">
        <f ca="1">IF(N42="测算结果/万元",G19,G20)</f>
        <v>587326</v>
      </c>
      <c r="O43" s="1277">
        <f ca="1">IF(O42="最终结果/万元",C32,C33)</f>
        <v>587326</v>
      </c>
      <c r="P43" s="2030"/>
      <c r="V43" s="2030"/>
    </row>
    <row r="44" spans="1:26" ht="30.75" thickBot="1">
      <c r="A44" s="3391" t="str">
        <f>IF(OR(项目基本情况!E8="抵押价格",项目基本情况!E8="已注销及未注销"),"3.抵押价格","——")</f>
        <v>3.抵押价格</v>
      </c>
      <c r="B44" s="3392"/>
      <c r="C44" s="264">
        <f ca="1">IF(A44="——","——",C42-C43)</f>
        <v>587326</v>
      </c>
      <c r="D44" s="317">
        <f ca="1">ROUND(C44*10000/'数据-汇总表'!E3,0)</f>
        <v>66547</v>
      </c>
      <c r="E44" s="317">
        <f ca="1">ROUND(C44*10000/'数据-汇总表'!D3,0)</f>
        <v>298875</v>
      </c>
      <c r="F44" s="318">
        <f ca="1">ROUND(C44/('数据-汇总表'!D3/666.67),0)</f>
        <v>19925</v>
      </c>
      <c r="G44" s="311"/>
      <c r="H44" s="311"/>
      <c r="I44" s="319"/>
      <c r="J44" s="2032"/>
      <c r="K44" s="1278" t="str">
        <f>D4</f>
        <v>剩余法-待开发</v>
      </c>
      <c r="L44" s="1279">
        <f ca="1">IF(L42="估价结果/万元",D19,D20)</f>
        <v>609378</v>
      </c>
      <c r="M44" s="1280">
        <f>D18</f>
        <v>0.5</v>
      </c>
      <c r="N44" s="1281"/>
      <c r="O44" s="1282"/>
      <c r="P44" s="2030"/>
      <c r="V44" s="2030"/>
    </row>
    <row r="45" spans="1:26" ht="15">
      <c r="A45" s="3396" t="str">
        <f>IF(项目基本情况!E8="已注销及未注销","4.抵押担保权已注销时的抵押价格",IF(项目基本情况!E8="已注销","3.抵押担保权已注销时的抵押价格","——"))</f>
        <v>——</v>
      </c>
      <c r="B45" s="339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93" t="str">
        <f>IF(项目基本情况!E9="抵押净值",IF(A45="——","4.抵押净值","5.抵押净值"),"——")</f>
        <v>——</v>
      </c>
      <c r="B46" s="339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59" t="s">
        <v>374</v>
      </c>
      <c r="B63" s="3360"/>
      <c r="C63" s="3361"/>
      <c r="D63" s="341">
        <f ca="1">ROUND(C42*F63,0)</f>
        <v>352396</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98" t="s">
        <v>378</v>
      </c>
      <c r="B64" s="3399"/>
      <c r="C64" s="3399"/>
      <c r="D64" s="3399"/>
      <c r="E64" s="3399"/>
      <c r="F64" s="3399"/>
      <c r="G64" s="340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95" t="s">
        <v>386</v>
      </c>
      <c r="B66" s="3366"/>
      <c r="C66" s="3366"/>
      <c r="D66" s="261">
        <f ca="1">IF(H66="情况1",0,IF(H66="情况2",D70,IF(H66="情况3",D71,IF(H66="情况4",D72))))</f>
        <v>18794</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35" t="s">
        <v>385</v>
      </c>
      <c r="M66" s="3336"/>
      <c r="N66" s="2484"/>
      <c r="O66" s="2485"/>
      <c r="P66" s="2486"/>
      <c r="Q66" s="2030"/>
      <c r="R66" s="2030"/>
      <c r="S66" s="2030"/>
      <c r="T66" s="2030"/>
      <c r="U66" s="2030"/>
      <c r="V66" s="2030"/>
    </row>
    <row r="67" spans="1:22" ht="25.5" customHeight="1">
      <c r="A67" s="352" t="s">
        <v>390</v>
      </c>
      <c r="B67" s="3378" t="s">
        <v>391</v>
      </c>
      <c r="C67" s="3378"/>
      <c r="D67" s="353">
        <v>0</v>
      </c>
      <c r="E67" s="41" t="s">
        <v>392</v>
      </c>
      <c r="F67" s="62" t="s">
        <v>21</v>
      </c>
      <c r="G67" s="3362"/>
      <c r="H67" s="311"/>
      <c r="I67" s="1292"/>
      <c r="J67" s="2037"/>
      <c r="K67" s="1978">
        <v>2</v>
      </c>
      <c r="L67" s="3334" t="s">
        <v>389</v>
      </c>
      <c r="M67" s="3334"/>
      <c r="N67" s="1325">
        <f>'数据-取费表'!B2</f>
        <v>43248</v>
      </c>
      <c r="O67" s="1325"/>
      <c r="P67" s="1325"/>
      <c r="Q67" s="2030"/>
      <c r="R67" s="2030"/>
      <c r="S67" s="2030"/>
      <c r="T67" s="2030"/>
      <c r="U67" s="2030"/>
      <c r="V67" s="2030"/>
    </row>
    <row r="68" spans="1:22" ht="25.5" customHeight="1">
      <c r="A68" s="354"/>
      <c r="B68" s="3378" t="s">
        <v>394</v>
      </c>
      <c r="C68" s="3378"/>
      <c r="D68" s="355"/>
      <c r="E68" s="77"/>
      <c r="F68" s="356"/>
      <c r="G68" s="3363"/>
      <c r="H68" s="311"/>
      <c r="I68" s="1292"/>
      <c r="J68" s="2037"/>
      <c r="K68" s="1978">
        <v>3</v>
      </c>
      <c r="L68" s="3334" t="s">
        <v>393</v>
      </c>
      <c r="M68" s="3334"/>
      <c r="N68" s="1293">
        <f ca="1">C42</f>
        <v>587326</v>
      </c>
      <c r="O68" s="1293"/>
      <c r="P68" s="1293"/>
      <c r="Q68" s="2030"/>
      <c r="R68" s="2030"/>
      <c r="S68" s="2030"/>
      <c r="T68" s="2030"/>
      <c r="U68" s="2030"/>
      <c r="V68" s="2030"/>
    </row>
    <row r="69" spans="1:22" ht="12" customHeight="1">
      <c r="A69" s="357"/>
      <c r="B69" s="3378" t="s">
        <v>395</v>
      </c>
      <c r="C69" s="3378"/>
      <c r="D69" s="358"/>
      <c r="E69" s="73"/>
      <c r="F69" s="356"/>
      <c r="G69" s="3364"/>
      <c r="H69" s="311"/>
      <c r="I69" s="1292"/>
      <c r="J69" s="2037"/>
      <c r="K69" s="1294">
        <v>4</v>
      </c>
      <c r="L69" s="3340" t="s">
        <v>2883</v>
      </c>
      <c r="M69" s="3341"/>
      <c r="N69" s="1295">
        <f ca="1">C44</f>
        <v>587326</v>
      </c>
      <c r="O69" s="1295"/>
      <c r="P69" s="1295"/>
      <c r="Q69" s="2030"/>
      <c r="R69" s="2030"/>
      <c r="S69" s="2030"/>
      <c r="T69" s="2030"/>
      <c r="U69" s="2030"/>
      <c r="V69" s="2030"/>
    </row>
    <row r="70" spans="1:22" ht="24" customHeight="1">
      <c r="A70" s="359" t="s">
        <v>396</v>
      </c>
      <c r="B70" s="3378" t="s">
        <v>397</v>
      </c>
      <c r="C70" s="3378"/>
      <c r="D70" s="358">
        <f ca="1">ROUND(D63*'数据-取费表'!B41/(1+'数据-取费表'!C42),0)</f>
        <v>18794</v>
      </c>
      <c r="E70" s="17" t="s">
        <v>398</v>
      </c>
      <c r="F70" s="360">
        <f>'数据-取费表'!B41</f>
        <v>5.6000000000000001E-2</v>
      </c>
      <c r="G70" s="361"/>
      <c r="H70" s="311"/>
      <c r="I70" s="1292"/>
      <c r="J70" s="2037"/>
      <c r="K70" s="3086"/>
      <c r="L70" s="3087"/>
      <c r="M70" s="3087"/>
      <c r="N70" s="3088" t="s">
        <v>2888</v>
      </c>
      <c r="O70" s="3087"/>
      <c r="P70" s="3089"/>
      <c r="Q70" s="2030"/>
      <c r="R70" s="2030"/>
      <c r="S70" s="2030"/>
      <c r="T70" s="2030"/>
      <c r="U70" s="2030"/>
      <c r="V70" s="2030"/>
    </row>
    <row r="71" spans="1:22" ht="12" customHeight="1">
      <c r="A71" s="359" t="s">
        <v>404</v>
      </c>
      <c r="B71" s="3377" t="s">
        <v>405</v>
      </c>
      <c r="C71" s="3389"/>
      <c r="D71" s="358">
        <f ca="1">ROUND(D63*'数据-取费表'!B41/(1+'数据-取费表'!C42),0)</f>
        <v>18794</v>
      </c>
      <c r="E71" s="17" t="s">
        <v>398</v>
      </c>
      <c r="F71" s="360">
        <f>'数据-取费表'!B41</f>
        <v>5.6000000000000001E-2</v>
      </c>
      <c r="G71" s="361"/>
      <c r="H71" s="311"/>
      <c r="I71" s="1292"/>
      <c r="J71" s="2037"/>
      <c r="K71" s="3085" t="s">
        <v>399</v>
      </c>
      <c r="L71" s="3342" t="s">
        <v>400</v>
      </c>
      <c r="M71" s="3342"/>
      <c r="N71" s="3085" t="s">
        <v>401</v>
      </c>
      <c r="O71" s="3085" t="s">
        <v>402</v>
      </c>
      <c r="P71" s="3085" t="s">
        <v>403</v>
      </c>
      <c r="Q71" s="2030"/>
      <c r="R71" s="2030"/>
      <c r="S71" s="2030"/>
      <c r="T71" s="2030"/>
      <c r="U71" s="2030"/>
      <c r="V71" s="2030"/>
    </row>
    <row r="72" spans="1:22" ht="12" customHeight="1">
      <c r="A72" s="359" t="s">
        <v>407</v>
      </c>
      <c r="B72" s="3377" t="s">
        <v>408</v>
      </c>
      <c r="C72" s="3389"/>
      <c r="D72" s="358">
        <f ca="1">C86</f>
        <v>18682</v>
      </c>
      <c r="E72" s="73" t="s">
        <v>409</v>
      </c>
      <c r="F72" s="360">
        <f>'数据-取费表'!B41</f>
        <v>5.6000000000000001E-2</v>
      </c>
      <c r="G72" s="361"/>
      <c r="H72" s="1298"/>
      <c r="I72" s="1292"/>
      <c r="J72" s="2037"/>
      <c r="K72" s="1978">
        <v>1</v>
      </c>
      <c r="L72" s="3339" t="s">
        <v>406</v>
      </c>
      <c r="M72" s="3339"/>
      <c r="N72" s="1296">
        <f ca="1">D66</f>
        <v>18794</v>
      </c>
      <c r="O72" s="1861" t="str">
        <f>E66</f>
        <v>销售额×税（费）率</v>
      </c>
      <c r="P72" s="1297">
        <f>F66</f>
        <v>5.6000000000000001E-2</v>
      </c>
      <c r="Q72" s="2030"/>
      <c r="R72" s="2030"/>
      <c r="S72" s="2030"/>
      <c r="T72" s="2030"/>
      <c r="U72" s="2030"/>
      <c r="V72" s="2030"/>
    </row>
    <row r="73" spans="1:22" ht="24" customHeight="1">
      <c r="A73" s="3365" t="s">
        <v>411</v>
      </c>
      <c r="B73" s="3366"/>
      <c r="C73" s="3366"/>
      <c r="D73" s="362">
        <f>IF(H73="个人住宅",0,ROUND(D63*I73,0))</f>
        <v>0</v>
      </c>
      <c r="E73" s="17" t="s">
        <v>412</v>
      </c>
      <c r="F73" s="360" t="str">
        <f>IF(H73="正常",I73,"免征")</f>
        <v>免征</v>
      </c>
      <c r="G73" s="361"/>
      <c r="H73" s="191" t="s">
        <v>2455</v>
      </c>
      <c r="I73" s="360">
        <f>'数据-取费表'!B49</f>
        <v>5.0000000000000001E-4</v>
      </c>
      <c r="J73" s="2037"/>
      <c r="K73" s="1978">
        <v>2</v>
      </c>
      <c r="L73" s="3339" t="s">
        <v>410</v>
      </c>
      <c r="M73" s="3339"/>
      <c r="N73" s="1296">
        <f t="shared" ref="N73:P74" si="1">D73</f>
        <v>0</v>
      </c>
      <c r="O73" s="1861" t="str">
        <f t="shared" si="1"/>
        <v>销售额×税（费）率</v>
      </c>
      <c r="P73" s="1297" t="str">
        <f t="shared" si="1"/>
        <v>免征</v>
      </c>
      <c r="Q73" s="2030"/>
      <c r="R73" s="2030"/>
      <c r="S73" s="2030"/>
      <c r="T73" s="2030"/>
      <c r="U73" s="2030"/>
      <c r="V73" s="2030"/>
    </row>
    <row r="74" spans="1:22" ht="24.75">
      <c r="A74" s="3365" t="s">
        <v>415</v>
      </c>
      <c r="B74" s="3366"/>
      <c r="C74" s="3366"/>
      <c r="D74" s="362">
        <f ca="1">IF(H74="个人住宅",D75,D76)</f>
        <v>198800</v>
      </c>
      <c r="E74" s="17" t="s">
        <v>416</v>
      </c>
      <c r="F74" s="360" t="str">
        <f>IF(H74="正常",F76,"免征")</f>
        <v>——</v>
      </c>
      <c r="G74" s="983" t="s">
        <v>417</v>
      </c>
      <c r="H74" s="363" t="s">
        <v>413</v>
      </c>
      <c r="I74" s="42"/>
      <c r="J74" s="2037"/>
      <c r="K74" s="1978">
        <v>3</v>
      </c>
      <c r="L74" s="3339" t="s">
        <v>414</v>
      </c>
      <c r="M74" s="3339"/>
      <c r="N74" s="1296">
        <f t="shared" ca="1" si="1"/>
        <v>198800</v>
      </c>
      <c r="O74" s="1861" t="str">
        <f t="shared" si="1"/>
        <v>增值额×税（费）率</v>
      </c>
      <c r="P74" s="1299" t="str">
        <f t="shared" si="1"/>
        <v>——</v>
      </c>
      <c r="Q74" s="2030"/>
      <c r="R74" s="2030"/>
      <c r="S74" s="2030"/>
      <c r="T74" s="2030"/>
      <c r="U74" s="2030"/>
      <c r="V74" s="2030"/>
    </row>
    <row r="75" spans="1:22" ht="24">
      <c r="A75" s="359" t="s">
        <v>418</v>
      </c>
      <c r="B75" s="3346" t="s">
        <v>419</v>
      </c>
      <c r="C75" s="3347"/>
      <c r="D75" s="364">
        <v>0</v>
      </c>
      <c r="E75" s="41" t="s">
        <v>420</v>
      </c>
      <c r="F75" s="365"/>
      <c r="G75" s="361"/>
      <c r="H75" s="42"/>
      <c r="I75" s="42"/>
      <c r="J75" s="2037"/>
      <c r="K75" s="3078">
        <f>IF(H77="非个人房产","",4)</f>
        <v>4</v>
      </c>
      <c r="L75" s="3339" t="str">
        <f>IF(H77="非个人房产","——","个人所得税")</f>
        <v>个人所得税</v>
      </c>
      <c r="M75" s="3339"/>
      <c r="N75" s="1300">
        <f ca="1">D77</f>
        <v>3524</v>
      </c>
      <c r="O75" s="1874" t="str">
        <f>E77</f>
        <v>销售额×税（费）率</v>
      </c>
      <c r="P75" s="1301">
        <f>F77</f>
        <v>0.01</v>
      </c>
      <c r="Q75" s="2030"/>
      <c r="R75" s="2030"/>
      <c r="S75" s="2030"/>
      <c r="T75" s="2030"/>
      <c r="U75" s="2030"/>
      <c r="V75" s="2030"/>
    </row>
    <row r="76" spans="1:22" ht="24.75">
      <c r="A76" s="359" t="s">
        <v>396</v>
      </c>
      <c r="B76" s="3346" t="s">
        <v>422</v>
      </c>
      <c r="C76" s="3388"/>
      <c r="D76" s="362">
        <f ca="1">IF(H76="转让取得",C99,C115)</f>
        <v>198800</v>
      </c>
      <c r="E76" s="17" t="s">
        <v>423</v>
      </c>
      <c r="F76" s="53" t="s">
        <v>21</v>
      </c>
      <c r="G76" s="361"/>
      <c r="H76" s="363" t="s">
        <v>424</v>
      </c>
      <c r="I76" s="42"/>
      <c r="J76" s="2037"/>
      <c r="K76" s="3078" t="str">
        <f>IF(项目基本情况!K6="上海银行",IF(K75="",4,K75+1),"")</f>
        <v/>
      </c>
      <c r="L76" s="3327" t="str">
        <f>IF(项目基本情况!K6="上海银行","其他处置费用","")</f>
        <v/>
      </c>
      <c r="M76" s="3328"/>
      <c r="N76" s="1296" t="str">
        <f>IF(项目基本情况!K6="上海银行",N89,"")</f>
        <v/>
      </c>
      <c r="O76" s="3329" t="str">
        <f>IF(项目基本情况!K6="上海银行","包含处置中涉及的律师、诉讼、拍卖、评估等费用","")</f>
        <v/>
      </c>
      <c r="P76" s="3330"/>
      <c r="Q76" s="2030"/>
      <c r="R76" s="2030"/>
      <c r="S76" s="2030"/>
      <c r="T76" s="2030"/>
      <c r="U76" s="2030"/>
      <c r="V76" s="2030"/>
    </row>
    <row r="77" spans="1:22" ht="26.25" thickBot="1">
      <c r="A77" s="3357" t="s">
        <v>426</v>
      </c>
      <c r="B77" s="3358"/>
      <c r="C77" s="3358"/>
      <c r="D77" s="366">
        <f ca="1">IF(H77="非个人房产","——",IF(H77="个人住宅",0,ROUND(D63*I77,0)))</f>
        <v>3524</v>
      </c>
      <c r="E77" s="367" t="str">
        <f>IF(H77="非个人房产","——","销售额×税（费）率")</f>
        <v>销售额×税（费）率</v>
      </c>
      <c r="F77" s="368">
        <f>IF(H77="非个人房产","——",IF(H77="个人住宅","免征",I77))</f>
        <v>0.01</v>
      </c>
      <c r="G77" s="984" t="s">
        <v>417</v>
      </c>
      <c r="H77" s="363" t="s">
        <v>2884</v>
      </c>
      <c r="I77" s="369">
        <v>0.01</v>
      </c>
      <c r="J77" s="2037"/>
      <c r="K77" s="3353">
        <f>IF(AND(K75="",K76=""),4,IF(项目基本情况!K6="上海银行",K76+1,K75+1))</f>
        <v>5</v>
      </c>
      <c r="L77" s="3339" t="s">
        <v>2885</v>
      </c>
      <c r="M77" s="3084" t="s">
        <v>421</v>
      </c>
      <c r="N77" s="1302"/>
      <c r="O77" s="1303">
        <f ca="1">SUMIF(N72:N76,"&lt;9e307")</f>
        <v>221118</v>
      </c>
      <c r="P77" s="1304"/>
      <c r="Q77" s="3082">
        <f ca="1">O77/N69</f>
        <v>0.37648256675168473</v>
      </c>
      <c r="R77" s="2030"/>
      <c r="S77" s="2030"/>
      <c r="T77" s="2030"/>
      <c r="U77" s="2030"/>
      <c r="V77" s="2030"/>
    </row>
    <row r="78" spans="1:22" ht="12" customHeight="1">
      <c r="A78" s="1305"/>
      <c r="B78" s="311"/>
      <c r="C78" s="311"/>
      <c r="D78" s="311"/>
      <c r="E78" s="42"/>
      <c r="F78" s="42"/>
      <c r="G78" s="42"/>
      <c r="H78" s="1003"/>
      <c r="I78" s="311"/>
      <c r="J78" s="2037"/>
      <c r="K78" s="3353"/>
      <c r="L78" s="3339"/>
      <c r="M78" s="3084" t="s">
        <v>425</v>
      </c>
      <c r="N78" s="1302"/>
      <c r="O78" s="1303" t="str">
        <f ca="1">NUMBERSTRING(INT(O77*10000),2)&amp;"元整"</f>
        <v>贰拾贰亿壹仟壹佰壹拾捌万元整</v>
      </c>
      <c r="P78" s="1304"/>
      <c r="Q78" s="2030"/>
      <c r="R78" s="2030"/>
      <c r="S78" s="2030"/>
      <c r="T78" s="2030"/>
      <c r="U78" s="2030"/>
      <c r="V78" s="2030"/>
    </row>
    <row r="79" spans="1:22" ht="13.5" thickBot="1">
      <c r="A79" s="3343" t="s">
        <v>427</v>
      </c>
      <c r="B79" s="3343"/>
      <c r="C79" s="3343"/>
      <c r="D79" s="3343"/>
      <c r="E79" s="3343"/>
      <c r="F79" s="42"/>
      <c r="G79" s="42"/>
      <c r="H79" s="1003"/>
      <c r="I79" s="311"/>
      <c r="J79" s="2037"/>
      <c r="K79" s="3337">
        <f>K77+1</f>
        <v>6</v>
      </c>
      <c r="L79" s="3339" t="s">
        <v>2886</v>
      </c>
      <c r="M79" s="3084" t="s">
        <v>421</v>
      </c>
      <c r="N79" s="1302"/>
      <c r="O79" s="1303">
        <f ca="1">N69-O77</f>
        <v>366208</v>
      </c>
      <c r="P79" s="1304"/>
      <c r="Q79" s="2030"/>
      <c r="R79" s="2030"/>
      <c r="S79" s="2030"/>
      <c r="T79" s="2030"/>
      <c r="U79" s="2030"/>
      <c r="V79" s="2030"/>
    </row>
    <row r="80" spans="1:22" ht="25.5">
      <c r="A80" s="3344" t="s">
        <v>428</v>
      </c>
      <c r="B80" s="3345"/>
      <c r="C80" s="994"/>
      <c r="D80" s="994" t="s">
        <v>429</v>
      </c>
      <c r="E80" s="370" t="s">
        <v>430</v>
      </c>
      <c r="F80" s="42"/>
      <c r="G80" s="42"/>
      <c r="H80" s="1003"/>
      <c r="I80" s="311"/>
      <c r="J80" s="2030"/>
      <c r="K80" s="3338"/>
      <c r="L80" s="3339"/>
      <c r="M80" s="3084" t="s">
        <v>425</v>
      </c>
      <c r="N80" s="1302"/>
      <c r="O80" s="1303" t="str">
        <f ca="1">NUMBERSTRING(INT(O79*10000),2)&amp;"元整"</f>
        <v>叁拾陆亿陆仟贰佰零捌万元整</v>
      </c>
      <c r="P80" s="1304"/>
      <c r="Q80" s="2030"/>
      <c r="R80" s="2030"/>
      <c r="S80" s="2030"/>
      <c r="T80" s="2030"/>
      <c r="U80" s="2030"/>
      <c r="V80" s="2030"/>
    </row>
    <row r="81" spans="1:26" ht="13.5" thickBot="1">
      <c r="A81" s="381" t="s">
        <v>1821</v>
      </c>
      <c r="B81" s="371" t="s">
        <v>431</v>
      </c>
      <c r="C81" s="372">
        <f ca="1">ROUND((C82+C83)/(1+'数据-取费表'!C42),0)</f>
        <v>335615</v>
      </c>
      <c r="D81" s="373"/>
      <c r="E81" s="374"/>
      <c r="F81" s="42"/>
      <c r="G81" s="42"/>
      <c r="H81" s="1003"/>
      <c r="I81" s="311"/>
      <c r="J81" s="2030"/>
      <c r="K81" s="3078">
        <f>K79+1</f>
        <v>7</v>
      </c>
      <c r="L81" s="3351" t="s">
        <v>2887</v>
      </c>
      <c r="M81" s="3352"/>
      <c r="N81" s="1306"/>
      <c r="O81" s="1307">
        <f ca="1">ROUND(O79*10000/'数据-汇总表'!E3,0)</f>
        <v>41493</v>
      </c>
      <c r="P81" s="1308"/>
      <c r="Q81" s="2030"/>
      <c r="R81" s="2030"/>
      <c r="S81" s="2030"/>
      <c r="T81" s="2030"/>
      <c r="U81" s="2030"/>
      <c r="V81" s="2030"/>
    </row>
    <row r="82" spans="1:26" ht="13.5" thickTop="1">
      <c r="A82" s="375" t="s">
        <v>1822</v>
      </c>
      <c r="B82" s="376" t="s">
        <v>432</v>
      </c>
      <c r="C82" s="377">
        <f ca="1">D63</f>
        <v>352396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1823</v>
      </c>
      <c r="B83" s="376" t="s">
        <v>433</v>
      </c>
      <c r="C83" s="380">
        <v>0</v>
      </c>
      <c r="D83" s="378"/>
      <c r="E83" s="379"/>
      <c r="F83" s="42"/>
      <c r="G83" s="42"/>
      <c r="H83" s="1003"/>
      <c r="I83" s="311"/>
      <c r="J83" s="2030"/>
      <c r="K83" s="3326" t="s">
        <v>2874</v>
      </c>
      <c r="L83" s="3090" t="s">
        <v>2875</v>
      </c>
      <c r="M83" s="3080">
        <f ca="1">IF(N69&gt;10000,N69*0.5%,IF(AND(N69&gt;1000,N69&lt;=10000),N69*1%,IF(AND(N69&gt;100,N69&lt;=1000),N69*3%,IF(AND(N69&gt;10,N69&lt;=100),N69*5%,N69*8%))))</f>
        <v>2936.63</v>
      </c>
      <c r="N83" s="53">
        <f ca="1">ROUND(M83,1)</f>
        <v>2936.6</v>
      </c>
      <c r="O83" s="3083"/>
      <c r="P83" s="2030"/>
      <c r="Q83" s="2030"/>
      <c r="R83" s="2030"/>
      <c r="S83" s="2030"/>
      <c r="T83" s="2030"/>
      <c r="U83" s="2030"/>
      <c r="V83" s="2030"/>
    </row>
    <row r="84" spans="1:26" ht="12.75">
      <c r="A84" s="381" t="s">
        <v>1824</v>
      </c>
      <c r="B84" s="382" t="s">
        <v>434</v>
      </c>
      <c r="C84" s="383">
        <v>2000</v>
      </c>
      <c r="D84" s="384" t="s">
        <v>19</v>
      </c>
      <c r="E84" s="3124" t="s">
        <v>2940</v>
      </c>
      <c r="F84" s="42"/>
      <c r="G84" s="42"/>
      <c r="H84" s="1003"/>
      <c r="I84" s="311"/>
      <c r="J84" s="2030"/>
      <c r="K84" s="3326"/>
      <c r="L84" s="3090" t="s">
        <v>2876</v>
      </c>
      <c r="M84" s="3080">
        <f ca="1">IF(N69&gt;2000,N69*0.5%,IF(AND(N69&gt;1000,N69&lt;=2000),N69*0.6%,IF(AND(N69&gt;500,N69&lt;=1000),N69*0.7%,IF(AND(N69&gt;200,N69&lt;=500),N69*0.8%,IF(AND(N69&gt;100,N69&lt;=200),N69*0.9%,IF(AND(N69&gt;50,N69&lt;=100),N69*1%,IF(AND(N69&gt;20,N69&lt;=50),N69*1.5%,IF(AND(N69&gt;10,N69&lt;=20),N69*2%,IF(AND(N69&gt;1,N69&lt;=10),N69*2.5%)))))))))</f>
        <v>2936.63</v>
      </c>
      <c r="N84" s="53">
        <f t="shared" ref="N84:N85" ca="1" si="2">ROUND(M84,1)</f>
        <v>2936.6</v>
      </c>
      <c r="O84" s="2030" t="s">
        <v>2877</v>
      </c>
      <c r="P84" s="2030"/>
      <c r="Q84" s="2030"/>
      <c r="R84" s="2030"/>
      <c r="S84" s="2030"/>
      <c r="T84" s="2030"/>
      <c r="U84" s="2030"/>
      <c r="V84" s="2030"/>
    </row>
    <row r="85" spans="1:26" ht="12.75">
      <c r="A85" s="381" t="s">
        <v>1825</v>
      </c>
      <c r="B85" s="382" t="s">
        <v>435</v>
      </c>
      <c r="C85" s="385">
        <f ca="1">C81-C84</f>
        <v>333615</v>
      </c>
      <c r="D85" s="378" t="s">
        <v>19</v>
      </c>
      <c r="E85" s="379"/>
      <c r="F85" s="42"/>
      <c r="G85" s="42"/>
      <c r="H85" s="1003"/>
      <c r="I85" s="311"/>
      <c r="J85" s="2030"/>
      <c r="K85" s="3326"/>
      <c r="L85" s="3090" t="s">
        <v>2878</v>
      </c>
      <c r="M85" s="3080">
        <f ca="1">IF(N69&gt;1000,N69*0.1%,IF(AND(N69&gt;500,N69&lt;=1000),N69*0.5%,IF(AND(N69&gt;50,N69&lt;=500),N69*1%,IF(AND(N69&gt;1,N69&lt;=50),N69*1.5%))))</f>
        <v>587.32600000000002</v>
      </c>
      <c r="N85" s="53">
        <f t="shared" ca="1" si="2"/>
        <v>587.29999999999995</v>
      </c>
      <c r="O85" s="2030" t="s">
        <v>2877</v>
      </c>
      <c r="P85" s="2030"/>
      <c r="Q85" s="2030"/>
      <c r="R85" s="2030"/>
      <c r="S85" s="2030"/>
      <c r="T85" s="2030"/>
      <c r="U85" s="2030"/>
      <c r="V85" s="2030"/>
    </row>
    <row r="86" spans="1:26" ht="13.5" thickBot="1">
      <c r="A86" s="386" t="s">
        <v>1826</v>
      </c>
      <c r="B86" s="387" t="s">
        <v>436</v>
      </c>
      <c r="C86" s="388">
        <f ca="1">IF(C85&lt;=0,0,ROUND(C85*D86,0))</f>
        <v>18682</v>
      </c>
      <c r="D86" s="389">
        <f>'数据-取费表'!B41</f>
        <v>5.6000000000000001E-2</v>
      </c>
      <c r="E86" s="390"/>
      <c r="F86" s="42"/>
      <c r="G86" s="42"/>
      <c r="H86" s="1003"/>
      <c r="I86" s="311"/>
      <c r="J86" s="2030"/>
      <c r="K86" s="3326"/>
      <c r="L86" s="3090" t="s">
        <v>2879</v>
      </c>
      <c r="M86" s="3080">
        <f ca="1">N69*0.5%</f>
        <v>2936.63</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26"/>
      <c r="L87" s="3090" t="s">
        <v>2881</v>
      </c>
      <c r="M87" s="3080">
        <f ca="1">IF(N69&gt;=10000,(8.25+(N69-10000)*0.01%),IF(AND(N69&gt;=8000,N69&lt;10000),(7.85+(N69-8000)*0.02%),IF(AND(N69&gt;=5000,N69&lt;8000),(6.65+(N69-5000)*0.04%),IF(AND(N69&gt;=2000,N69&lt;5000),(4.25+(PN69-2000)*0.08%),IF(AND(N69&gt;=1000,N69&lt;2000),(2.75+(N69-1000)*0.15%),IF(AND(N69&gt;=100,N69&lt;1000),(0.5+(N69-100)*0.25%),IF(AND(N69&gt;0,N69&lt;100),N69*0.5%)))))))</f>
        <v>65.982600000000005</v>
      </c>
      <c r="N87" s="53">
        <f ca="1">ROUND(M87*0.9,1)</f>
        <v>59.4</v>
      </c>
      <c r="O87" s="3083"/>
      <c r="P87" s="311"/>
      <c r="Q87" s="2030"/>
      <c r="R87" s="2030"/>
      <c r="S87" s="2030"/>
      <c r="T87" s="2030"/>
      <c r="U87" s="2030"/>
      <c r="V87" s="2030"/>
      <c r="W87" s="292"/>
      <c r="X87" s="292"/>
      <c r="Y87" s="292"/>
      <c r="Z87" s="292"/>
    </row>
    <row r="88" spans="1:26" s="1314" customFormat="1" ht="15" thickBot="1">
      <c r="A88" s="3380" t="s">
        <v>437</v>
      </c>
      <c r="B88" s="3381"/>
      <c r="C88" s="3381"/>
      <c r="D88" s="3381"/>
      <c r="E88" s="3381"/>
      <c r="F88" s="3381"/>
      <c r="G88" s="3381"/>
      <c r="H88" s="3381"/>
      <c r="I88" s="1315"/>
      <c r="J88" s="2038"/>
      <c r="K88" s="3326"/>
      <c r="L88" s="3090" t="s">
        <v>2882</v>
      </c>
      <c r="M88" s="3080">
        <f ca="1">IF(N69&gt;10000,N69*0.5%,IF(AND(N69&gt;5000,N69&lt;=10000),N69*1%,IF(AND(N69&gt;1000,N69&lt;=5000),N69*2%,IF(AND(N69&gt;200,N69&lt;=1000),N69*3%,N69*5%))))</f>
        <v>2936.63</v>
      </c>
      <c r="N88" s="53">
        <f ca="1">ROUND(M88,1)</f>
        <v>2936.6</v>
      </c>
      <c r="O88" s="3083"/>
      <c r="P88" s="11"/>
      <c r="Q88" s="2035"/>
      <c r="R88" s="2035"/>
      <c r="S88" s="2035"/>
      <c r="T88" s="2035"/>
      <c r="U88" s="2035"/>
      <c r="V88" s="2035"/>
      <c r="W88" s="2039"/>
      <c r="X88" s="2039"/>
      <c r="Y88" s="2039"/>
      <c r="Z88" s="2039"/>
    </row>
    <row r="89" spans="1:26" s="1314" customFormat="1" ht="14.25">
      <c r="A89" s="3344" t="s">
        <v>428</v>
      </c>
      <c r="B89" s="3345"/>
      <c r="C89" s="994"/>
      <c r="D89" s="994" t="s">
        <v>429</v>
      </c>
      <c r="E89" s="391" t="s">
        <v>438</v>
      </c>
      <c r="F89" s="392"/>
      <c r="G89" s="392"/>
      <c r="H89" s="393"/>
      <c r="I89" s="1316"/>
      <c r="J89" s="2040"/>
      <c r="K89" s="3326"/>
      <c r="L89" s="3090" t="s">
        <v>27</v>
      </c>
      <c r="M89" s="3081"/>
      <c r="N89" s="53">
        <f ca="1">ROUND(SUM(N83:N88),0)</f>
        <v>9457</v>
      </c>
      <c r="O89" s="3091">
        <f ca="1">N89/N69</f>
        <v>1.6101790147209555E-2</v>
      </c>
      <c r="P89" s="2035"/>
      <c r="Q89" s="2035"/>
      <c r="R89" s="2035"/>
      <c r="S89" s="2035"/>
      <c r="T89" s="2035"/>
      <c r="U89" s="2035"/>
      <c r="V89" s="2035"/>
      <c r="W89" s="2039"/>
      <c r="X89" s="2039"/>
      <c r="Y89" s="2039"/>
      <c r="Z89" s="2039"/>
    </row>
    <row r="90" spans="1:26" s="1314" customFormat="1" ht="14.25">
      <c r="A90" s="381" t="s">
        <v>1821</v>
      </c>
      <c r="B90" s="382" t="s">
        <v>439</v>
      </c>
      <c r="C90" s="385">
        <f ca="1">ROUND(D63/(1+'数据-取费表'!C42),0)</f>
        <v>335615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1827</v>
      </c>
      <c r="B91" s="348" t="s">
        <v>440</v>
      </c>
      <c r="C91" s="385">
        <f ca="1">C92+C96</f>
        <v>4575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1828</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1829</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1830</v>
      </c>
      <c r="B94" s="400" t="s">
        <v>446</v>
      </c>
      <c r="C94" s="378">
        <f>IF(F93="购房发票",ROUND(C93*H93*5%,0),0)</f>
        <v>500</v>
      </c>
      <c r="D94" s="401">
        <v>0.05</v>
      </c>
      <c r="E94" s="3377" t="s">
        <v>447</v>
      </c>
      <c r="F94" s="3378"/>
      <c r="G94" s="3378"/>
      <c r="H94" s="337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1832</v>
      </c>
      <c r="B96" s="376" t="s">
        <v>450</v>
      </c>
      <c r="C96" s="405">
        <f ca="1">ROUND(D63*D96/(1+'数据-取费表'!C42),0)</f>
        <v>2014</v>
      </c>
      <c r="D96" s="406">
        <f>'数据-取费表'!B43</f>
        <v>6.000000000000001E-3</v>
      </c>
      <c r="E96" s="3367" t="s">
        <v>2428</v>
      </c>
      <c r="F96" s="3368"/>
      <c r="G96" s="3368"/>
      <c r="H96" s="336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1833</v>
      </c>
      <c r="B97" s="382" t="s">
        <v>451</v>
      </c>
      <c r="C97" s="385">
        <f ca="1">C90-C91</f>
        <v>331040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1834</v>
      </c>
      <c r="B98" s="382" t="s">
        <v>452</v>
      </c>
      <c r="C98" s="407">
        <f ca="1">IF(C97&lt;=0,0,C97/C91)</f>
        <v>72.358469945355196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1835</v>
      </c>
      <c r="B99" s="387" t="s">
        <v>453</v>
      </c>
      <c r="C99" s="408">
        <f ca="1">ROUND(IF(C97&lt;=0,0,IF(C98&gt;=200%,C97*60%-C91*35%,IF(C98&gt;=100%,C97*50%-C91*15%,IF(C98&gt;=50%,C97*40%-C91*5%,IF(C98&lt;50%,C97*30%,0))))),0)</f>
        <v>197023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80" t="s">
        <v>454</v>
      </c>
      <c r="B101" s="3381"/>
      <c r="C101" s="3381"/>
      <c r="D101" s="3381"/>
      <c r="E101" s="3381"/>
      <c r="F101" s="3381"/>
      <c r="G101" s="3381"/>
      <c r="H101" s="338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4" t="s">
        <v>428</v>
      </c>
      <c r="B102" s="3345"/>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1821</v>
      </c>
      <c r="B103" s="382" t="s">
        <v>439</v>
      </c>
      <c r="C103" s="385">
        <f ca="1">ROUND(D63/(1+'数据-取费表'!C42),0)</f>
        <v>335615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1827</v>
      </c>
      <c r="B104" s="348" t="s">
        <v>440</v>
      </c>
      <c r="C104" s="385">
        <f ca="1">IF(H106="仅含出让金",C105+C108+C109+C110+C111+C112,C105+C109+C110+C111+C112)</f>
        <v>2704</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1828</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1829</v>
      </c>
      <c r="B106" s="376" t="s">
        <v>456</v>
      </c>
      <c r="C106" s="416">
        <v>555</v>
      </c>
      <c r="D106" s="406"/>
      <c r="E106" s="417" t="s">
        <v>457</v>
      </c>
      <c r="F106" s="986"/>
      <c r="G106" s="418" t="s">
        <v>458</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1830</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1832</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1836</v>
      </c>
      <c r="B109" s="376" t="s">
        <v>461</v>
      </c>
      <c r="C109" s="405">
        <f>IF(H109="——",IF(F1="现房",'剩余法-现房'!C18,'剩余法-待开发'!C18),I109)</f>
        <v>55</v>
      </c>
      <c r="D109" s="406"/>
      <c r="E109" s="3370" t="s">
        <v>462</v>
      </c>
      <c r="F109" s="3368"/>
      <c r="G109" s="3368"/>
      <c r="H109" s="1943" t="s">
        <v>2278</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1837</v>
      </c>
      <c r="B110" s="376" t="s">
        <v>463</v>
      </c>
      <c r="C110" s="405">
        <f>ROUND((C105+C108+C109)*D110,0)</f>
        <v>63</v>
      </c>
      <c r="D110" s="406">
        <v>0.1</v>
      </c>
      <c r="E110" s="3370" t="s">
        <v>464</v>
      </c>
      <c r="F110" s="3368"/>
      <c r="G110" s="3368"/>
      <c r="H110" s="336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1838</v>
      </c>
      <c r="B111" s="376" t="s">
        <v>450</v>
      </c>
      <c r="C111" s="405">
        <f ca="1">ROUND(D63*D111/(1+'数据-取费表'!C42),0)</f>
        <v>2014</v>
      </c>
      <c r="D111" s="406">
        <f>'数据-取费表'!B43</f>
        <v>6.000000000000001E-3</v>
      </c>
      <c r="E111" s="3367" t="s">
        <v>2428</v>
      </c>
      <c r="F111" s="3368"/>
      <c r="G111" s="3368"/>
      <c r="H111" s="336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1839</v>
      </c>
      <c r="B112" s="376" t="s">
        <v>465</v>
      </c>
      <c r="C112" s="405">
        <f>ROUND(C108*D112,0)</f>
        <v>0</v>
      </c>
      <c r="D112" s="406">
        <v>0.2</v>
      </c>
      <c r="E112" s="3370" t="s">
        <v>2453</v>
      </c>
      <c r="F112" s="3368"/>
      <c r="G112" s="3368"/>
      <c r="H112" s="336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1833</v>
      </c>
      <c r="B113" s="382" t="s">
        <v>451</v>
      </c>
      <c r="C113" s="385">
        <f ca="1">ROUND(C103-C104,0)</f>
        <v>332911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1834</v>
      </c>
      <c r="B114" s="382" t="s">
        <v>452</v>
      </c>
      <c r="C114" s="407">
        <f ca="1">IF(C113&lt;=0,0,C113/C104)</f>
        <v>123.11797337278107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1835</v>
      </c>
      <c r="B115" s="387" t="s">
        <v>453</v>
      </c>
      <c r="C115" s="408">
        <f ca="1">ROUND(IF(C113&lt;=0,0,IF(C114&gt;=200%,C113*60%-C104*35%,IF(C114&gt;=100%,C113*50%-C104*15%,IF(C114&gt;=50%,C113*40%-C104*5%,IF(C114&lt;50%,C113*30%,0))))),0)</f>
        <v>198800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I36" zoomScale="80" zoomScaleNormal="95" zoomScaleSheetLayoutView="80" workbookViewId="0">
      <selection activeCell="S52" sqref="S52 U52 R49:W49 W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565274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64048</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287654</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19177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25" t="s">
        <v>522</v>
      </c>
      <c r="D6" s="3426"/>
      <c r="E6" s="3425" t="s">
        <v>523</v>
      </c>
      <c r="F6" s="3426"/>
      <c r="G6" s="3425" t="s">
        <v>524</v>
      </c>
      <c r="H6" s="3426"/>
      <c r="I6" s="3425" t="s">
        <v>525</v>
      </c>
      <c r="J6" s="3426"/>
      <c r="K6" s="514" t="s">
        <v>526</v>
      </c>
      <c r="L6" s="2135"/>
      <c r="M6" s="2134"/>
      <c r="N6" s="2134"/>
      <c r="O6" s="2136"/>
      <c r="P6" s="3427" t="s">
        <v>527</v>
      </c>
      <c r="Q6" s="3428"/>
      <c r="R6" s="3413" t="s">
        <v>523</v>
      </c>
      <c r="S6" s="3414"/>
      <c r="T6" s="3413" t="s">
        <v>524</v>
      </c>
      <c r="U6" s="3414"/>
      <c r="V6" s="3433" t="s">
        <v>525</v>
      </c>
      <c r="W6" s="3433"/>
      <c r="X6" s="1568"/>
      <c r="Y6" s="3413" t="s">
        <v>527</v>
      </c>
      <c r="Z6" s="3414"/>
      <c r="AA6" s="3408" t="s">
        <v>523</v>
      </c>
      <c r="AB6" s="3409" t="s">
        <v>524</v>
      </c>
      <c r="AC6" s="3408" t="s">
        <v>525</v>
      </c>
    </row>
    <row r="7" spans="1:30" ht="34.5" customHeight="1">
      <c r="A7" s="515"/>
      <c r="B7" s="516"/>
      <c r="C7" s="3436" t="s">
        <v>2927</v>
      </c>
      <c r="D7" s="3437"/>
      <c r="E7" s="3436" t="str">
        <f>面积表!A3</f>
        <v>虹口区凉城新村街道073-06号地块</v>
      </c>
      <c r="F7" s="3437"/>
      <c r="G7" s="3436" t="str">
        <f>面积表!A5</f>
        <v>杨浦区新江湾城N091101单元A4-01(B3)地块</v>
      </c>
      <c r="H7" s="3437"/>
      <c r="I7" s="3436" t="str">
        <f>面积表!A6</f>
        <v>杨浦区新江湾城N091104单元C1-02(D7)地块</v>
      </c>
      <c r="J7" s="3437"/>
      <c r="K7" s="514"/>
      <c r="L7" s="2135"/>
      <c r="M7" s="2134"/>
      <c r="N7" s="2134"/>
      <c r="O7" s="2136"/>
      <c r="P7" s="3429"/>
      <c r="Q7" s="3430"/>
      <c r="R7" s="3415"/>
      <c r="S7" s="3416"/>
      <c r="T7" s="3415"/>
      <c r="U7" s="3416"/>
      <c r="V7" s="3433"/>
      <c r="W7" s="3433"/>
      <c r="X7" s="1568"/>
      <c r="Y7" s="3415"/>
      <c r="Z7" s="3416"/>
      <c r="AA7" s="3409"/>
      <c r="AB7" s="3409"/>
      <c r="AC7" s="3409"/>
    </row>
    <row r="8" spans="1:30" ht="21" thickBot="1">
      <c r="A8" s="515"/>
      <c r="B8" s="516"/>
      <c r="C8" s="3438" t="s">
        <v>2931</v>
      </c>
      <c r="D8" s="3439"/>
      <c r="E8" s="3438"/>
      <c r="F8" s="3439"/>
      <c r="G8" s="3434"/>
      <c r="H8" s="3435"/>
      <c r="I8" s="3434"/>
      <c r="J8" s="3435"/>
      <c r="K8" s="514" t="s">
        <v>528</v>
      </c>
      <c r="L8" s="2135"/>
      <c r="M8" s="2134"/>
      <c r="N8" s="2134"/>
      <c r="O8" s="2136"/>
      <c r="P8" s="3431"/>
      <c r="Q8" s="3432"/>
      <c r="R8" s="3415"/>
      <c r="S8" s="3416"/>
      <c r="T8" s="3417"/>
      <c r="U8" s="3418"/>
      <c r="V8" s="3433"/>
      <c r="W8" s="3433"/>
      <c r="X8" s="1568"/>
      <c r="Y8" s="3417"/>
      <c r="Z8" s="3418"/>
      <c r="AA8" s="3410"/>
      <c r="AB8" s="3410"/>
      <c r="AC8" s="3410"/>
    </row>
    <row r="9" spans="1:30" s="1220" customFormat="1" ht="21" thickBot="1">
      <c r="A9" s="2938"/>
      <c r="B9" s="2945" t="s">
        <v>529</v>
      </c>
      <c r="C9" s="2937">
        <f>'数据-取费表'!B2</f>
        <v>43248</v>
      </c>
      <c r="D9" s="520">
        <v>100</v>
      </c>
      <c r="E9" s="521" t="str">
        <f>面积表!M3</f>
        <v>2016-07-14</v>
      </c>
      <c r="F9" s="522">
        <f>SUMIF(72:72,YEAR(E9)&amp;"-"&amp;INT((MONTH(E9)+2)/3),73:73)</f>
        <v>86</v>
      </c>
      <c r="G9" s="523" t="str">
        <f>面积表!M5</f>
        <v>2016-07-29</v>
      </c>
      <c r="H9" s="520">
        <f>SUMIF(72:72,YEAR(G9)&amp;"-"&amp;INT((MONTH(G9)+2)/3),73:73)</f>
        <v>86</v>
      </c>
      <c r="I9" s="523" t="str">
        <f>面积表!M6</f>
        <v>2015-11-25</v>
      </c>
      <c r="J9" s="520">
        <f>SUMIF(72:72,YEAR(I9)&amp;"-"&amp;INT((MONTH(I9)+2)/3),73:73)</f>
        <v>80</v>
      </c>
      <c r="K9" s="524"/>
      <c r="L9" s="2137"/>
      <c r="M9" s="2134"/>
      <c r="N9" s="2134"/>
      <c r="O9" s="2138"/>
      <c r="P9" s="3411" t="s">
        <v>530</v>
      </c>
      <c r="Q9" s="3420"/>
      <c r="R9" s="1569" t="s">
        <v>8</v>
      </c>
      <c r="S9" s="1570">
        <f t="shared" ref="S9:S17" si="0">F9</f>
        <v>86</v>
      </c>
      <c r="T9" s="1569" t="s">
        <v>8</v>
      </c>
      <c r="U9" s="1570">
        <f t="shared" ref="U9:U17" si="1">H9</f>
        <v>86</v>
      </c>
      <c r="V9" s="1569" t="s">
        <v>8</v>
      </c>
      <c r="W9" s="1570">
        <f t="shared" ref="W9:W17" si="2">J9</f>
        <v>80</v>
      </c>
      <c r="X9" s="1571"/>
      <c r="Y9" s="3411" t="s">
        <v>530</v>
      </c>
      <c r="Z9" s="3412"/>
      <c r="AA9" s="1572">
        <f>D9/F9</f>
        <v>1.1627906976744187</v>
      </c>
      <c r="AB9" s="1572">
        <f>D9/H9</f>
        <v>1.1627906976744187</v>
      </c>
      <c r="AC9" s="1572">
        <f>D9/J9</f>
        <v>1.25</v>
      </c>
    </row>
    <row r="10" spans="1:30" s="1220" customFormat="1" ht="21" thickBot="1">
      <c r="A10" s="2939"/>
      <c r="B10" s="2946" t="s">
        <v>531</v>
      </c>
      <c r="C10" s="856" t="s">
        <v>532</v>
      </c>
      <c r="D10" s="520">
        <v>100</v>
      </c>
      <c r="E10" s="525" t="s">
        <v>3158</v>
      </c>
      <c r="F10" s="522">
        <f>SUMIF(75:75,E10,76:76)-SUMIF(75:75,C10,76:76)+100</f>
        <v>100</v>
      </c>
      <c r="G10" s="525" t="s">
        <v>3158</v>
      </c>
      <c r="H10" s="520">
        <f>SUMIF(75:75,G10,76:76)-SUMIF(75:75,C10,76:76)+100</f>
        <v>100</v>
      </c>
      <c r="I10" s="525" t="s">
        <v>3158</v>
      </c>
      <c r="J10" s="520">
        <f>SUMIF(75:75,I10,76:76)-SUMIF(75:75,C10,76:76)+100</f>
        <v>100</v>
      </c>
      <c r="K10" s="524"/>
      <c r="L10" s="2137"/>
      <c r="M10" s="2134"/>
      <c r="N10" s="2134"/>
      <c r="O10" s="2138"/>
      <c r="P10" s="3411" t="s">
        <v>533</v>
      </c>
      <c r="Q10" s="3412"/>
      <c r="R10" s="1569" t="s">
        <v>8</v>
      </c>
      <c r="S10" s="1570">
        <f t="shared" si="0"/>
        <v>100</v>
      </c>
      <c r="T10" s="1569" t="s">
        <v>8</v>
      </c>
      <c r="U10" s="1570">
        <f t="shared" si="1"/>
        <v>100</v>
      </c>
      <c r="V10" s="1569" t="s">
        <v>8</v>
      </c>
      <c r="W10" s="1570">
        <f t="shared" si="2"/>
        <v>100</v>
      </c>
      <c r="X10" s="1571"/>
      <c r="Y10" s="3411" t="s">
        <v>533</v>
      </c>
      <c r="Z10" s="3412"/>
      <c r="AA10" s="1572">
        <f t="shared" ref="AA10:AA47" si="3">D10/F10</f>
        <v>1</v>
      </c>
      <c r="AB10" s="1572">
        <f t="shared" ref="AB10:AB47" si="4">D10/H10</f>
        <v>1</v>
      </c>
      <c r="AC10" s="1572">
        <f t="shared" ref="AC10:AC47" si="5">D10/J10</f>
        <v>1</v>
      </c>
    </row>
    <row r="11" spans="1:30" s="1220" customFormat="1" ht="20.25">
      <c r="A11" s="2940"/>
      <c r="B11" s="2947" t="s">
        <v>2756</v>
      </c>
      <c r="C11" s="2934" t="s">
        <v>3162</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37"/>
      <c r="M11" s="2134"/>
      <c r="N11" s="2134"/>
      <c r="O11" s="2139"/>
      <c r="P11" s="3419" t="s">
        <v>535</v>
      </c>
      <c r="Q11" s="1151" t="str">
        <f t="shared" ref="Q11:Q17" si="6">B11</f>
        <v>用途</v>
      </c>
      <c r="R11" s="1569" t="s">
        <v>8</v>
      </c>
      <c r="S11" s="1570">
        <f t="shared" si="0"/>
        <v>98</v>
      </c>
      <c r="T11" s="1569" t="s">
        <v>8</v>
      </c>
      <c r="U11" s="1570">
        <f t="shared" si="1"/>
        <v>98</v>
      </c>
      <c r="V11" s="1569" t="s">
        <v>8</v>
      </c>
      <c r="W11" s="1570">
        <f t="shared" si="2"/>
        <v>98</v>
      </c>
      <c r="X11" s="1571"/>
      <c r="Y11" s="3376" t="s">
        <v>536</v>
      </c>
      <c r="Z11" s="1150" t="str">
        <f t="shared" ref="Z11:Z17" si="7">Q11</f>
        <v>用途</v>
      </c>
      <c r="AA11" s="1572">
        <f t="shared" si="3"/>
        <v>1.0204081632653061</v>
      </c>
      <c r="AB11" s="1572">
        <f t="shared" si="4"/>
        <v>1.0204081632653061</v>
      </c>
      <c r="AC11" s="1572">
        <f t="shared" si="5"/>
        <v>1.0204081632653061</v>
      </c>
    </row>
    <row r="12" spans="1:30" s="1338" customFormat="1" ht="27">
      <c r="A12" s="2941"/>
      <c r="B12" s="2946" t="s">
        <v>2757</v>
      </c>
      <c r="C12" s="910"/>
      <c r="D12" s="255">
        <v>100</v>
      </c>
      <c r="E12" s="529"/>
      <c r="F12" s="255">
        <f>ROUND(100/'数据-取费表'!G16,0)</f>
        <v>101</v>
      </c>
      <c r="G12" s="530"/>
      <c r="H12" s="255">
        <f>ROUND(100/'数据-取费表'!G16,0)</f>
        <v>101</v>
      </c>
      <c r="I12" s="530"/>
      <c r="J12" s="255">
        <f>ROUND(100/'数据-取费表'!G16,0)</f>
        <v>101</v>
      </c>
      <c r="K12" s="531"/>
      <c r="L12" s="2140"/>
      <c r="M12" s="2134"/>
      <c r="N12" s="2134"/>
      <c r="O12" s="2141"/>
      <c r="P12" s="3419"/>
      <c r="Q12" s="1151" t="str">
        <f t="shared" si="6"/>
        <v>土地使用年限（年）</v>
      </c>
      <c r="R12" s="1569" t="s">
        <v>8</v>
      </c>
      <c r="S12" s="1570">
        <f t="shared" si="0"/>
        <v>101</v>
      </c>
      <c r="T12" s="1569" t="s">
        <v>8</v>
      </c>
      <c r="U12" s="1570">
        <f t="shared" si="1"/>
        <v>101</v>
      </c>
      <c r="V12" s="1569" t="s">
        <v>8</v>
      </c>
      <c r="W12" s="1570">
        <f t="shared" si="2"/>
        <v>101</v>
      </c>
      <c r="X12" s="1571"/>
      <c r="Y12" s="3376"/>
      <c r="Z12" s="1150" t="str">
        <f t="shared" si="7"/>
        <v>土地使用年限（年）</v>
      </c>
      <c r="AA12" s="1572">
        <f t="shared" si="3"/>
        <v>0.99009900990099009</v>
      </c>
      <c r="AB12" s="1572">
        <f t="shared" si="4"/>
        <v>0.99009900990099009</v>
      </c>
      <c r="AC12" s="1572">
        <f t="shared" si="5"/>
        <v>0.99009900990099009</v>
      </c>
    </row>
    <row r="13" spans="1:30" ht="20.25">
      <c r="A13" s="2942"/>
      <c r="B13" s="2946" t="s">
        <v>2758</v>
      </c>
      <c r="C13" s="534">
        <f>'数据-汇总表'!I7</f>
        <v>3.36</v>
      </c>
      <c r="D13" s="255">
        <v>100</v>
      </c>
      <c r="E13" s="533">
        <f>面积表!H3</f>
        <v>2.75</v>
      </c>
      <c r="F13" s="255">
        <f>LOOKUP(E13,82:82,83:83)-LOOKUP(C13,82:82,83:83)+100</f>
        <v>102</v>
      </c>
      <c r="G13" s="534">
        <f>面积表!H5</f>
        <v>1.5</v>
      </c>
      <c r="H13" s="255">
        <f>LOOKUP(G13,82:82,83:83)-LOOKUP(C13,82:82,83:83)+100</f>
        <v>104</v>
      </c>
      <c r="I13" s="533">
        <f>面积表!H6</f>
        <v>1.125</v>
      </c>
      <c r="J13" s="255">
        <f>LOOKUP(I13,82:82,83:83)-LOOKUP(C13,82:82,83:83)+100</f>
        <v>104</v>
      </c>
      <c r="K13" s="535">
        <v>2</v>
      </c>
      <c r="L13" s="2142"/>
      <c r="M13" s="2134"/>
      <c r="N13" s="2134"/>
      <c r="O13" s="2143"/>
      <c r="P13" s="3419"/>
      <c r="Q13" s="1151" t="str">
        <f t="shared" si="6"/>
        <v>容积率</v>
      </c>
      <c r="R13" s="1569" t="s">
        <v>8</v>
      </c>
      <c r="S13" s="1570">
        <f t="shared" si="0"/>
        <v>102</v>
      </c>
      <c r="T13" s="1569" t="s">
        <v>8</v>
      </c>
      <c r="U13" s="1570">
        <f t="shared" si="1"/>
        <v>104</v>
      </c>
      <c r="V13" s="1569" t="s">
        <v>8</v>
      </c>
      <c r="W13" s="1570">
        <f t="shared" si="2"/>
        <v>104</v>
      </c>
      <c r="X13" s="1571"/>
      <c r="Y13" s="3376"/>
      <c r="Z13" s="1150" t="str">
        <f t="shared" si="7"/>
        <v>容积率</v>
      </c>
      <c r="AA13" s="1572">
        <f t="shared" si="3"/>
        <v>0.98039215686274506</v>
      </c>
      <c r="AB13" s="1572">
        <f t="shared" si="4"/>
        <v>0.96153846153846156</v>
      </c>
      <c r="AC13" s="1572">
        <f t="shared" si="5"/>
        <v>0.96153846153846156</v>
      </c>
    </row>
    <row r="14" spans="1:30" s="1220" customFormat="1" ht="20.25">
      <c r="A14" s="2939"/>
      <c r="B14" s="2948" t="s">
        <v>2759</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19"/>
      <c r="Q14" s="1151" t="str">
        <f t="shared" si="6"/>
        <v>配建</v>
      </c>
      <c r="R14" s="1569" t="s">
        <v>8</v>
      </c>
      <c r="S14" s="1570">
        <f t="shared" si="0"/>
        <v>100</v>
      </c>
      <c r="T14" s="1569" t="s">
        <v>8</v>
      </c>
      <c r="U14" s="1570">
        <f t="shared" si="1"/>
        <v>100</v>
      </c>
      <c r="V14" s="1569" t="s">
        <v>8</v>
      </c>
      <c r="W14" s="1570">
        <f t="shared" si="2"/>
        <v>100</v>
      </c>
      <c r="X14" s="1571"/>
      <c r="Y14" s="3376"/>
      <c r="Z14" s="1150" t="str">
        <f t="shared" si="7"/>
        <v>配建</v>
      </c>
      <c r="AA14" s="1572">
        <f>D14/F14</f>
        <v>1</v>
      </c>
      <c r="AB14" s="1572">
        <f>D14/H14</f>
        <v>1</v>
      </c>
      <c r="AC14" s="1572">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19"/>
      <c r="Q15" s="1151">
        <f t="shared" si="6"/>
        <v>111</v>
      </c>
      <c r="R15" s="1569" t="s">
        <v>8</v>
      </c>
      <c r="S15" s="1570">
        <f t="shared" si="0"/>
        <v>100</v>
      </c>
      <c r="T15" s="1569" t="s">
        <v>8</v>
      </c>
      <c r="U15" s="1570">
        <f t="shared" si="1"/>
        <v>100</v>
      </c>
      <c r="V15" s="1569" t="s">
        <v>8</v>
      </c>
      <c r="W15" s="1570">
        <f t="shared" si="2"/>
        <v>100</v>
      </c>
      <c r="X15" s="1571"/>
      <c r="Y15" s="3376"/>
      <c r="Z15" s="1150">
        <f t="shared" si="7"/>
        <v>111</v>
      </c>
      <c r="AA15" s="1572">
        <f>D15/F15</f>
        <v>1</v>
      </c>
      <c r="AB15" s="1572">
        <f>D15/H15</f>
        <v>1</v>
      </c>
      <c r="AC15" s="1572">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19"/>
      <c r="Q16" s="1151">
        <f t="shared" si="6"/>
        <v>111</v>
      </c>
      <c r="R16" s="1569" t="s">
        <v>8</v>
      </c>
      <c r="S16" s="1570">
        <f t="shared" si="0"/>
        <v>100</v>
      </c>
      <c r="T16" s="1569" t="s">
        <v>8</v>
      </c>
      <c r="U16" s="1570">
        <f t="shared" si="1"/>
        <v>100</v>
      </c>
      <c r="V16" s="1569" t="s">
        <v>8</v>
      </c>
      <c r="W16" s="1570">
        <f t="shared" si="2"/>
        <v>100</v>
      </c>
      <c r="X16" s="1571"/>
      <c r="Y16" s="3376"/>
      <c r="Z16" s="1150">
        <f t="shared" si="7"/>
        <v>111</v>
      </c>
      <c r="AA16" s="1572">
        <f>D16/F16</f>
        <v>1</v>
      </c>
      <c r="AB16" s="1572">
        <f>D16/H16</f>
        <v>1</v>
      </c>
      <c r="AC16" s="1572">
        <f>D16/J16</f>
        <v>1</v>
      </c>
    </row>
    <row r="17" spans="1:29" ht="142.5">
      <c r="A17" s="2936" t="s">
        <v>2754</v>
      </c>
      <c r="B17" s="578" t="s">
        <v>295</v>
      </c>
      <c r="C17" s="548" t="str">
        <f>估价对象房地状况!C15</f>
        <v>估价对象周边居住用地比例高、居住小区规模较大，社区发展完善程度较好，有万科翡翠雅宾利、绿洲雅宾利花园等多个项目，综合评价居住社区成熟度较好</v>
      </c>
      <c r="D17" s="551">
        <v>100</v>
      </c>
      <c r="E17" s="3214" t="s">
        <v>3165</v>
      </c>
      <c r="F17" s="549">
        <f>SUMIF(90:90,E18,91:91)-SUMIF(90:90,C18,91:91)+100</f>
        <v>100</v>
      </c>
      <c r="G17" s="3210" t="s">
        <v>3178</v>
      </c>
      <c r="H17" s="549">
        <f>SUMIF(90:90,G18,91:91)-SUMIF(90:90,C18,91:91)+100</f>
        <v>100</v>
      </c>
      <c r="I17" s="3214" t="s">
        <v>3184</v>
      </c>
      <c r="J17" s="549">
        <f>SUMIF(90:90,I18,91:91)-SUMIF(90:90,C18,91:91)+100</f>
        <v>100</v>
      </c>
      <c r="K17" s="535">
        <v>3</v>
      </c>
      <c r="L17" s="2144"/>
      <c r="M17" s="2134"/>
      <c r="N17" s="2134"/>
      <c r="O17" s="2143"/>
      <c r="P17" s="3421" t="s">
        <v>540</v>
      </c>
      <c r="Q17" s="1573" t="str">
        <f t="shared" si="6"/>
        <v>居住社区成熟度</v>
      </c>
      <c r="R17" s="1574" t="s">
        <v>8</v>
      </c>
      <c r="S17" s="1575">
        <f t="shared" si="0"/>
        <v>100</v>
      </c>
      <c r="T17" s="1574" t="s">
        <v>8</v>
      </c>
      <c r="U17" s="1575">
        <f t="shared" si="1"/>
        <v>100</v>
      </c>
      <c r="V17" s="1574" t="s">
        <v>8</v>
      </c>
      <c r="W17" s="1575">
        <f t="shared" si="2"/>
        <v>100</v>
      </c>
      <c r="X17" s="1568"/>
      <c r="Y17" s="3421" t="s">
        <v>540</v>
      </c>
      <c r="Z17" s="1576" t="str">
        <f t="shared" si="7"/>
        <v>居住社区成熟度</v>
      </c>
      <c r="AA17" s="1577">
        <f t="shared" si="3"/>
        <v>1</v>
      </c>
      <c r="AB17" s="1577">
        <f t="shared" si="4"/>
        <v>1</v>
      </c>
      <c r="AC17" s="1577">
        <f t="shared" si="5"/>
        <v>1</v>
      </c>
    </row>
    <row r="18" spans="1:29" ht="20.25">
      <c r="A18" s="532"/>
      <c r="B18" s="553"/>
      <c r="C18" s="554" t="s">
        <v>3062</v>
      </c>
      <c r="D18" s="557"/>
      <c r="E18" s="558" t="s">
        <v>3062</v>
      </c>
      <c r="F18" s="555"/>
      <c r="G18" s="556" t="s">
        <v>3062</v>
      </c>
      <c r="H18" s="559"/>
      <c r="I18" s="556" t="s">
        <v>3062</v>
      </c>
      <c r="J18" s="555"/>
      <c r="K18" s="531"/>
      <c r="L18" s="2144"/>
      <c r="M18" s="2134"/>
      <c r="N18" s="2134"/>
      <c r="O18" s="2143"/>
      <c r="P18" s="3422"/>
      <c r="Q18" s="1573"/>
      <c r="R18" s="1574"/>
      <c r="S18" s="1575"/>
      <c r="T18" s="1574"/>
      <c r="U18" s="1575"/>
      <c r="V18" s="1574"/>
      <c r="W18" s="1575"/>
      <c r="X18" s="1568"/>
      <c r="Y18" s="3422"/>
      <c r="Z18" s="1576"/>
      <c r="AA18" s="1577">
        <v>1</v>
      </c>
      <c r="AB18" s="1577">
        <v>1</v>
      </c>
      <c r="AC18" s="1577">
        <v>1</v>
      </c>
    </row>
    <row r="19" spans="1:29" ht="99.75">
      <c r="A19" s="532"/>
      <c r="B19" s="560" t="s">
        <v>541</v>
      </c>
      <c r="C19" s="561" t="str">
        <f>估价对象房地状况!C16</f>
        <v>估价对象周边商业氛围较成熟，人流量较大，有嘉杰国际广场、壹丰广场等多个商业项目，商业繁华度较好</v>
      </c>
      <c r="D19" s="563">
        <v>100</v>
      </c>
      <c r="E19" s="3222" t="s">
        <v>3166</v>
      </c>
      <c r="F19" s="559">
        <f>SUMIF(92:92,E20,93:93)-SUMIF(92:92,C20,93:93)+100</f>
        <v>98</v>
      </c>
      <c r="G19" s="3211" t="s">
        <v>3179</v>
      </c>
      <c r="H19" s="565">
        <f>SUMIF(92:92,G20,93:93)-SUMIF(92:92,C20,93:93)+100</f>
        <v>98</v>
      </c>
      <c r="I19" s="3222" t="s">
        <v>3185</v>
      </c>
      <c r="J19" s="565">
        <f>SUMIF(92:92,I20,93:93)-SUMIF(92:92,C20,93:93)+100</f>
        <v>100</v>
      </c>
      <c r="K19" s="535">
        <v>2</v>
      </c>
      <c r="L19" s="2144"/>
      <c r="M19" s="2134"/>
      <c r="N19" s="2134"/>
      <c r="O19" s="2143"/>
      <c r="P19" s="3422"/>
      <c r="Q19" s="1573" t="str">
        <f>B19</f>
        <v>商业繁华度</v>
      </c>
      <c r="R19" s="1574" t="s">
        <v>8</v>
      </c>
      <c r="S19" s="1575">
        <f>F19</f>
        <v>98</v>
      </c>
      <c r="T19" s="1574" t="s">
        <v>8</v>
      </c>
      <c r="U19" s="1575">
        <f>H19</f>
        <v>98</v>
      </c>
      <c r="V19" s="1574" t="s">
        <v>8</v>
      </c>
      <c r="W19" s="1575">
        <f>J19</f>
        <v>100</v>
      </c>
      <c r="X19" s="1568"/>
      <c r="Y19" s="3422"/>
      <c r="Z19" s="1576" t="str">
        <f>Q19</f>
        <v>商业繁华度</v>
      </c>
      <c r="AA19" s="1577">
        <f t="shared" si="3"/>
        <v>1.0204081632653061</v>
      </c>
      <c r="AB19" s="1577">
        <f t="shared" si="4"/>
        <v>1.0204081632653061</v>
      </c>
      <c r="AC19" s="1577">
        <f t="shared" si="5"/>
        <v>1</v>
      </c>
    </row>
    <row r="20" spans="1:29" ht="20.25">
      <c r="A20" s="532"/>
      <c r="B20" s="566"/>
      <c r="C20" s="567" t="s">
        <v>3062</v>
      </c>
      <c r="D20" s="563"/>
      <c r="E20" s="569" t="s">
        <v>3167</v>
      </c>
      <c r="F20" s="559"/>
      <c r="G20" s="568" t="s">
        <v>3167</v>
      </c>
      <c r="H20" s="555"/>
      <c r="I20" s="569" t="s">
        <v>3062</v>
      </c>
      <c r="J20" s="555"/>
      <c r="K20" s="531"/>
      <c r="L20" s="2144"/>
      <c r="M20" s="2134"/>
      <c r="N20" s="2134"/>
      <c r="O20" s="2143"/>
      <c r="P20" s="3422"/>
      <c r="Q20" s="1573"/>
      <c r="R20" s="1574"/>
      <c r="S20" s="1575"/>
      <c r="T20" s="1574"/>
      <c r="U20" s="1575"/>
      <c r="V20" s="1574"/>
      <c r="W20" s="1575"/>
      <c r="X20" s="1568"/>
      <c r="Y20" s="342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22"/>
      <c r="Q21" s="1573" t="str">
        <f>B21</f>
        <v>办公集聚程度</v>
      </c>
      <c r="R21" s="1574" t="s">
        <v>8</v>
      </c>
      <c r="S21" s="1575">
        <f>F21</f>
        <v>100</v>
      </c>
      <c r="T21" s="1574" t="s">
        <v>8</v>
      </c>
      <c r="U21" s="1575">
        <f>H21</f>
        <v>100</v>
      </c>
      <c r="V21" s="1574" t="s">
        <v>8</v>
      </c>
      <c r="W21" s="1575">
        <f>J21</f>
        <v>100</v>
      </c>
      <c r="X21" s="1568"/>
      <c r="Y21" s="342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22"/>
      <c r="Q22" s="1573"/>
      <c r="R22" s="1574"/>
      <c r="S22" s="1575"/>
      <c r="T22" s="1574"/>
      <c r="U22" s="1575"/>
      <c r="V22" s="1574"/>
      <c r="W22" s="1575"/>
      <c r="X22" s="1568"/>
      <c r="Y22" s="3422"/>
      <c r="Z22" s="1576"/>
      <c r="AA22" s="1577">
        <v>1</v>
      </c>
      <c r="AB22" s="1577">
        <v>1</v>
      </c>
      <c r="AC22" s="1577">
        <v>1</v>
      </c>
    </row>
    <row r="23" spans="1:29" ht="142.5">
      <c r="A23" s="532"/>
      <c r="B23" s="560" t="s">
        <v>543</v>
      </c>
      <c r="C23" s="573" t="str">
        <f>估价对象房地状况!C18</f>
        <v>估价对象周边道路状况较好、公共交通通达情况较好、停车便捷程度一般，有65、302、502等多路公交及地铁3、4、8号经过综合评价交通便捷度好</v>
      </c>
      <c r="D23" s="563">
        <v>100</v>
      </c>
      <c r="E23" s="562" t="s">
        <v>3168</v>
      </c>
      <c r="F23" s="565">
        <f>SUMIF(96:96,E24,97:97)-SUMIF(96:96,C24,97:97)+100</f>
        <v>98</v>
      </c>
      <c r="G23" s="562" t="s">
        <v>3180</v>
      </c>
      <c r="H23" s="559">
        <f>SUMIF(96:96,G24,97:97)-SUMIF(96:96,C24,97:97)+100</f>
        <v>96</v>
      </c>
      <c r="I23" s="562" t="s">
        <v>3186</v>
      </c>
      <c r="J23" s="559">
        <f>SUMIF(96:96,I24,97:97)-SUMIF(96:96,C24,97:97)+100</f>
        <v>96</v>
      </c>
      <c r="K23" s="535">
        <v>2</v>
      </c>
      <c r="L23" s="2144"/>
      <c r="M23" s="2134"/>
      <c r="N23" s="2134"/>
      <c r="O23" s="2143"/>
      <c r="P23" s="3422"/>
      <c r="Q23" s="1573" t="str">
        <f>B23</f>
        <v>交通便捷度</v>
      </c>
      <c r="R23" s="1574" t="s">
        <v>8</v>
      </c>
      <c r="S23" s="1575">
        <f>F23</f>
        <v>98</v>
      </c>
      <c r="T23" s="1574" t="s">
        <v>8</v>
      </c>
      <c r="U23" s="1575">
        <f>H23</f>
        <v>96</v>
      </c>
      <c r="V23" s="1574" t="s">
        <v>8</v>
      </c>
      <c r="W23" s="1575">
        <f>J23</f>
        <v>96</v>
      </c>
      <c r="X23" s="1568"/>
      <c r="Y23" s="3422"/>
      <c r="Z23" s="1576" t="str">
        <f>Q23</f>
        <v>交通便捷度</v>
      </c>
      <c r="AA23" s="1577">
        <f t="shared" si="3"/>
        <v>1.0204081632653061</v>
      </c>
      <c r="AB23" s="1577">
        <f t="shared" si="4"/>
        <v>1.0416666666666667</v>
      </c>
      <c r="AC23" s="1577">
        <f t="shared" si="5"/>
        <v>1.0416666666666667</v>
      </c>
    </row>
    <row r="24" spans="1:29" ht="20.25">
      <c r="A24" s="532"/>
      <c r="B24" s="578"/>
      <c r="C24" s="554" t="s">
        <v>3063</v>
      </c>
      <c r="D24" s="557"/>
      <c r="E24" s="558" t="s">
        <v>3062</v>
      </c>
      <c r="F24" s="555"/>
      <c r="G24" s="556" t="s">
        <v>3167</v>
      </c>
      <c r="H24" s="555"/>
      <c r="I24" s="558" t="s">
        <v>3167</v>
      </c>
      <c r="J24" s="555"/>
      <c r="K24" s="531"/>
      <c r="L24" s="2144"/>
      <c r="M24" s="2134"/>
      <c r="N24" s="2134"/>
      <c r="O24" s="2143"/>
      <c r="P24" s="3422"/>
      <c r="Q24" s="1573"/>
      <c r="R24" s="1574"/>
      <c r="S24" s="1575"/>
      <c r="T24" s="1574"/>
      <c r="U24" s="1575"/>
      <c r="V24" s="1574"/>
      <c r="W24" s="1575"/>
      <c r="X24" s="1568"/>
      <c r="Y24" s="342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22"/>
      <c r="Q25" s="1573" t="str">
        <f t="shared" ref="Q25:Q39" si="8">B25</f>
        <v>区域土地利用方向</v>
      </c>
      <c r="R25" s="1574" t="s">
        <v>8</v>
      </c>
      <c r="S25" s="1575">
        <f>F25</f>
        <v>100</v>
      </c>
      <c r="T25" s="1574" t="s">
        <v>8</v>
      </c>
      <c r="U25" s="1575">
        <f>H25</f>
        <v>100</v>
      </c>
      <c r="V25" s="1574" t="s">
        <v>8</v>
      </c>
      <c r="W25" s="1575">
        <f>J25</f>
        <v>100</v>
      </c>
      <c r="X25" s="1568"/>
      <c r="Y25" s="3422"/>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22"/>
      <c r="Q26" s="1573"/>
      <c r="R26" s="1574"/>
      <c r="S26" s="1575"/>
      <c r="T26" s="1574"/>
      <c r="U26" s="1575"/>
      <c r="V26" s="1574"/>
      <c r="W26" s="1575"/>
      <c r="X26" s="1568"/>
      <c r="Y26" s="3422"/>
      <c r="Z26" s="1576"/>
      <c r="AA26" s="1577"/>
      <c r="AB26" s="1577"/>
      <c r="AC26" s="1577"/>
    </row>
    <row r="27" spans="1:29" ht="114">
      <c r="A27" s="515"/>
      <c r="B27" s="578" t="s">
        <v>545</v>
      </c>
      <c r="C27" s="561" t="str">
        <f>估价对象房地状况!C20</f>
        <v>区域自然环境：四川北路公园、交通公园；人文环境：上海城建职业学院、上海铁路博物馆；综合评价环境状况较好</v>
      </c>
      <c r="D27" s="563">
        <v>100</v>
      </c>
      <c r="E27" s="3211" t="s">
        <v>3182</v>
      </c>
      <c r="F27" s="559">
        <f>SUMIF(100:100,E28,101:101)-SUMIF(100:100,C28,101:101)+100</f>
        <v>100</v>
      </c>
      <c r="G27" s="3211" t="s">
        <v>3181</v>
      </c>
      <c r="H27" s="559">
        <f>SUMIF(100:100,G28,101:101)-SUMIF(100:100,C28,101:101)+100</f>
        <v>100</v>
      </c>
      <c r="I27" s="3211" t="s">
        <v>3187</v>
      </c>
      <c r="J27" s="559">
        <f>SUMIF(100:100,I28,101:101)-SUMIF(100:100,C28,101:101)+100</f>
        <v>98</v>
      </c>
      <c r="K27" s="535">
        <v>2</v>
      </c>
      <c r="L27" s="2144"/>
      <c r="M27" s="2134"/>
      <c r="N27" s="2134"/>
      <c r="O27" s="2143"/>
      <c r="P27" s="3422"/>
      <c r="Q27" s="1573" t="str">
        <f t="shared" si="8"/>
        <v>自然及人文环境状况</v>
      </c>
      <c r="R27" s="1574" t="s">
        <v>8</v>
      </c>
      <c r="S27" s="1575">
        <f>F27</f>
        <v>100</v>
      </c>
      <c r="T27" s="1574" t="s">
        <v>8</v>
      </c>
      <c r="U27" s="1575">
        <f>H27</f>
        <v>100</v>
      </c>
      <c r="V27" s="1574" t="s">
        <v>8</v>
      </c>
      <c r="W27" s="1575">
        <f>J27</f>
        <v>98</v>
      </c>
      <c r="X27" s="1568"/>
      <c r="Y27" s="3422"/>
      <c r="Z27" s="1576" t="str">
        <f>Q27</f>
        <v>自然及人文环境状况</v>
      </c>
      <c r="AA27" s="1577">
        <f t="shared" si="3"/>
        <v>1</v>
      </c>
      <c r="AB27" s="1577">
        <f t="shared" si="4"/>
        <v>1</v>
      </c>
      <c r="AC27" s="1577">
        <f t="shared" si="5"/>
        <v>1.0204081632653061</v>
      </c>
    </row>
    <row r="28" spans="1:29" ht="20.25">
      <c r="A28" s="515"/>
      <c r="B28" s="566"/>
      <c r="C28" s="554" t="s">
        <v>3062</v>
      </c>
      <c r="D28" s="557"/>
      <c r="E28" s="576" t="s">
        <v>3062</v>
      </c>
      <c r="F28" s="555"/>
      <c r="G28" s="554" t="s">
        <v>3062</v>
      </c>
      <c r="H28" s="555"/>
      <c r="I28" s="576" t="s">
        <v>3167</v>
      </c>
      <c r="J28" s="555"/>
      <c r="K28" s="531"/>
      <c r="L28" s="2144"/>
      <c r="M28" s="2134"/>
      <c r="N28" s="2134"/>
      <c r="O28" s="2143"/>
      <c r="P28" s="3422"/>
      <c r="Q28" s="1573"/>
      <c r="R28" s="1574"/>
      <c r="S28" s="1575"/>
      <c r="T28" s="1574"/>
      <c r="U28" s="1575"/>
      <c r="V28" s="1574"/>
      <c r="W28" s="1575"/>
      <c r="X28" s="1568"/>
      <c r="Y28" s="3422"/>
      <c r="Z28" s="1576"/>
      <c r="AA28" s="1577">
        <v>1</v>
      </c>
      <c r="AB28" s="1577">
        <v>1</v>
      </c>
      <c r="AC28" s="1577">
        <v>1</v>
      </c>
    </row>
    <row r="29" spans="1:29" s="1220" customFormat="1" ht="42.75">
      <c r="A29" s="577"/>
      <c r="B29" s="2617" t="s">
        <v>2548</v>
      </c>
      <c r="C29" s="573" t="str">
        <f>估价对象房地状况!C21</f>
        <v>估价对象所在区域公共配套设施齐备情况好</v>
      </c>
      <c r="D29" s="563">
        <v>100</v>
      </c>
      <c r="E29" s="564"/>
      <c r="F29" s="559">
        <f>SUMIF(102:102,E30,103:103)-SUMIF(102:102,C30,103:103)+100</f>
        <v>98</v>
      </c>
      <c r="G29" s="3211" t="s">
        <v>3188</v>
      </c>
      <c r="H29" s="559">
        <f>SUMIF(102:102,G30,103:103)-SUMIF(102:102,C30,103:103)+100</f>
        <v>96</v>
      </c>
      <c r="I29" s="3211" t="s">
        <v>3188</v>
      </c>
      <c r="J29" s="559">
        <f>SUMIF(102:102,I30,103:103)-SUMIF(102:102,C30,103:103)+100</f>
        <v>96</v>
      </c>
      <c r="K29" s="535">
        <v>2</v>
      </c>
      <c r="L29" s="2137"/>
      <c r="M29" s="2134"/>
      <c r="N29" s="2134"/>
      <c r="O29" s="2139"/>
      <c r="P29" s="3422"/>
      <c r="Q29" s="1151" t="str">
        <f t="shared" si="8"/>
        <v>公共配套设施</v>
      </c>
      <c r="R29" s="1569" t="s">
        <v>8</v>
      </c>
      <c r="S29" s="1570">
        <f>F29</f>
        <v>98</v>
      </c>
      <c r="T29" s="1569" t="s">
        <v>8</v>
      </c>
      <c r="U29" s="1570">
        <f>H29</f>
        <v>96</v>
      </c>
      <c r="V29" s="1569" t="s">
        <v>8</v>
      </c>
      <c r="W29" s="1570">
        <f>J29</f>
        <v>96</v>
      </c>
      <c r="X29" s="1571"/>
      <c r="Y29" s="3422"/>
      <c r="Z29" s="1150" t="str">
        <f>Q29</f>
        <v>公共配套设施</v>
      </c>
      <c r="AA29" s="1577">
        <f>D29/F29</f>
        <v>1.0204081632653061</v>
      </c>
      <c r="AB29" s="1577">
        <f>D29/H29</f>
        <v>1.0416666666666667</v>
      </c>
      <c r="AC29" s="1577">
        <f>D29/J29</f>
        <v>1.0416666666666667</v>
      </c>
    </row>
    <row r="30" spans="1:29" s="1220" customFormat="1" ht="20.25">
      <c r="A30" s="577"/>
      <c r="B30" s="566"/>
      <c r="C30" s="579" t="s">
        <v>3063</v>
      </c>
      <c r="D30" s="557"/>
      <c r="E30" s="576" t="s">
        <v>3062</v>
      </c>
      <c r="F30" s="555"/>
      <c r="G30" s="576" t="s">
        <v>3167</v>
      </c>
      <c r="H30" s="555"/>
      <c r="I30" s="576" t="s">
        <v>3167</v>
      </c>
      <c r="J30" s="555"/>
      <c r="K30" s="531"/>
      <c r="L30" s="2137"/>
      <c r="M30" s="2134"/>
      <c r="N30" s="2134"/>
      <c r="O30" s="2139"/>
      <c r="P30" s="3422"/>
      <c r="Q30" s="1151"/>
      <c r="R30" s="1569"/>
      <c r="S30" s="1570"/>
      <c r="T30" s="1569"/>
      <c r="U30" s="1570"/>
      <c r="V30" s="1569"/>
      <c r="W30" s="1570"/>
      <c r="X30" s="1571"/>
      <c r="Y30" s="3422"/>
      <c r="Z30" s="1150"/>
      <c r="AA30" s="1577">
        <v>1</v>
      </c>
      <c r="AB30" s="1577">
        <v>1</v>
      </c>
      <c r="AC30" s="1577">
        <v>1</v>
      </c>
    </row>
    <row r="31" spans="1:29" s="1220" customFormat="1" ht="42.75">
      <c r="A31" s="577"/>
      <c r="B31" s="2617" t="s">
        <v>2549</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22"/>
      <c r="Q31" s="2604" t="str">
        <f t="shared" ref="Q31" si="9">B31</f>
        <v>基础设施水平</v>
      </c>
      <c r="R31" s="1569" t="s">
        <v>8</v>
      </c>
      <c r="S31" s="1570">
        <f>F31</f>
        <v>100</v>
      </c>
      <c r="T31" s="1569" t="s">
        <v>8</v>
      </c>
      <c r="U31" s="1570">
        <f>H31</f>
        <v>100</v>
      </c>
      <c r="V31" s="1569" t="s">
        <v>8</v>
      </c>
      <c r="W31" s="1570">
        <f>J31</f>
        <v>100</v>
      </c>
      <c r="X31" s="1571"/>
      <c r="Y31" s="3422"/>
      <c r="Z31" s="2601" t="str">
        <f>Q31</f>
        <v>基础设施水平</v>
      </c>
      <c r="AA31" s="1577">
        <f>D31/F31</f>
        <v>1</v>
      </c>
      <c r="AB31" s="1577">
        <f>D31/H31</f>
        <v>1</v>
      </c>
      <c r="AC31" s="1577">
        <f>D31/J31</f>
        <v>1</v>
      </c>
    </row>
    <row r="32" spans="1:29" s="1220" customFormat="1" ht="20.25">
      <c r="A32" s="577"/>
      <c r="B32" s="566"/>
      <c r="C32" s="579" t="s">
        <v>3064</v>
      </c>
      <c r="D32" s="557"/>
      <c r="E32" s="2618" t="s">
        <v>3064</v>
      </c>
      <c r="F32" s="555"/>
      <c r="G32" s="2618" t="s">
        <v>3064</v>
      </c>
      <c r="H32" s="555"/>
      <c r="I32" s="2618" t="s">
        <v>3064</v>
      </c>
      <c r="J32" s="555"/>
      <c r="K32" s="531"/>
      <c r="L32" s="2137"/>
      <c r="M32" s="2134"/>
      <c r="N32" s="2134"/>
      <c r="O32" s="2139"/>
      <c r="P32" s="3422"/>
      <c r="Q32" s="2604"/>
      <c r="R32" s="1569"/>
      <c r="S32" s="1570"/>
      <c r="T32" s="1569"/>
      <c r="U32" s="1570"/>
      <c r="V32" s="1569"/>
      <c r="W32" s="1570"/>
      <c r="X32" s="1571"/>
      <c r="Y32" s="3422"/>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2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2"/>
      <c r="Z33" s="1576" t="str">
        <f t="shared" ref="Z33:Z47" si="13">Q33</f>
        <v>临街状况</v>
      </c>
      <c r="AA33" s="1577">
        <f t="shared" si="3"/>
        <v>1</v>
      </c>
      <c r="AB33" s="1577">
        <f t="shared" si="4"/>
        <v>1</v>
      </c>
      <c r="AC33" s="1577">
        <f t="shared" si="5"/>
        <v>1</v>
      </c>
    </row>
    <row r="34" spans="1:29" ht="27">
      <c r="A34" s="532"/>
      <c r="B34" s="578" t="s">
        <v>548</v>
      </c>
      <c r="C34" s="562"/>
      <c r="D34" s="563">
        <v>100</v>
      </c>
      <c r="E34" s="3222" t="s">
        <v>3171</v>
      </c>
      <c r="F34" s="559">
        <f>SUMIF(108:108,E35,109:109)-SUMIF(108:108,C35,109:109)+100</f>
        <v>99</v>
      </c>
      <c r="G34" s="3211" t="s">
        <v>3183</v>
      </c>
      <c r="H34" s="559">
        <f>SUMIF(108:108,G35,109:109)-SUMIF(108:108,C35,109:109)+100</f>
        <v>100</v>
      </c>
      <c r="I34" s="3222" t="s">
        <v>3190</v>
      </c>
      <c r="J34" s="559">
        <f>SUMIF(108:108,I35,109:109)-SUMIF(108:108,C35,109:109)+100</f>
        <v>98</v>
      </c>
      <c r="K34" s="535">
        <v>1</v>
      </c>
      <c r="L34" s="2144"/>
      <c r="M34" s="2134"/>
      <c r="N34" s="2134"/>
      <c r="O34" s="2143"/>
      <c r="P34" s="3422"/>
      <c r="Q34" s="1573" t="str">
        <f t="shared" si="8"/>
        <v>毗邻道路的类型与等级</v>
      </c>
      <c r="R34" s="1574" t="s">
        <v>8</v>
      </c>
      <c r="S34" s="1575">
        <f t="shared" si="10"/>
        <v>99</v>
      </c>
      <c r="T34" s="1574" t="s">
        <v>8</v>
      </c>
      <c r="U34" s="1575">
        <f t="shared" si="11"/>
        <v>100</v>
      </c>
      <c r="V34" s="1574" t="s">
        <v>8</v>
      </c>
      <c r="W34" s="1575">
        <f t="shared" si="12"/>
        <v>98</v>
      </c>
      <c r="X34" s="1568"/>
      <c r="Y34" s="3422"/>
      <c r="Z34" s="1576" t="str">
        <f t="shared" si="13"/>
        <v>毗邻道路的类型与等级</v>
      </c>
      <c r="AA34" s="1577">
        <f t="shared" si="3"/>
        <v>1.0101010101010102</v>
      </c>
      <c r="AB34" s="1577">
        <f t="shared" si="4"/>
        <v>1</v>
      </c>
      <c r="AC34" s="1577">
        <f t="shared" si="5"/>
        <v>1.0204081632653061</v>
      </c>
    </row>
    <row r="35" spans="1:29" ht="20.25">
      <c r="A35" s="532"/>
      <c r="B35" s="566"/>
      <c r="C35" s="554" t="s">
        <v>3170</v>
      </c>
      <c r="D35" s="557"/>
      <c r="E35" s="576" t="s">
        <v>3169</v>
      </c>
      <c r="F35" s="555"/>
      <c r="G35" s="554" t="s">
        <v>3170</v>
      </c>
      <c r="H35" s="555"/>
      <c r="I35" s="576" t="s">
        <v>3189</v>
      </c>
      <c r="J35" s="555"/>
      <c r="K35" s="581"/>
      <c r="L35" s="2144"/>
      <c r="M35" s="2134"/>
      <c r="N35" s="2134"/>
      <c r="O35" s="2143"/>
      <c r="P35" s="3422"/>
      <c r="Q35" s="1573"/>
      <c r="R35" s="1574"/>
      <c r="S35" s="1575"/>
      <c r="T35" s="1574"/>
      <c r="U35" s="1575"/>
      <c r="V35" s="1574"/>
      <c r="W35" s="1575"/>
      <c r="X35" s="1568"/>
      <c r="Y35" s="342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2"/>
      <c r="Q36" s="1573" t="str">
        <f t="shared" si="8"/>
        <v>土地级别</v>
      </c>
      <c r="R36" s="1574" t="s">
        <v>8</v>
      </c>
      <c r="S36" s="1575">
        <f t="shared" si="10"/>
        <v>100</v>
      </c>
      <c r="T36" s="1574" t="s">
        <v>8</v>
      </c>
      <c r="U36" s="1575">
        <f t="shared" si="11"/>
        <v>100</v>
      </c>
      <c r="V36" s="1574" t="s">
        <v>8</v>
      </c>
      <c r="W36" s="1575">
        <f t="shared" si="12"/>
        <v>100</v>
      </c>
      <c r="X36" s="1568"/>
      <c r="Y36" s="342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2"/>
      <c r="Q37" s="1573">
        <f t="shared" si="8"/>
        <v>111</v>
      </c>
      <c r="R37" s="1574" t="s">
        <v>8</v>
      </c>
      <c r="S37" s="1575">
        <f t="shared" si="10"/>
        <v>100</v>
      </c>
      <c r="T37" s="1574" t="s">
        <v>8</v>
      </c>
      <c r="U37" s="1575">
        <f t="shared" si="11"/>
        <v>100</v>
      </c>
      <c r="V37" s="1574" t="s">
        <v>8</v>
      </c>
      <c r="W37" s="1575">
        <f t="shared" si="12"/>
        <v>100</v>
      </c>
      <c r="X37" s="1568"/>
      <c r="Y37" s="342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3" t="s">
        <v>550</v>
      </c>
      <c r="Q38" s="1573">
        <f t="shared" si="8"/>
        <v>111</v>
      </c>
      <c r="R38" s="1574" t="s">
        <v>8</v>
      </c>
      <c r="S38" s="1575">
        <f t="shared" si="10"/>
        <v>100</v>
      </c>
      <c r="T38" s="1574" t="s">
        <v>8</v>
      </c>
      <c r="U38" s="1575">
        <f t="shared" si="11"/>
        <v>100</v>
      </c>
      <c r="V38" s="1574" t="s">
        <v>8</v>
      </c>
      <c r="W38" s="1575">
        <f t="shared" si="12"/>
        <v>100</v>
      </c>
      <c r="X38" s="1568"/>
      <c r="Y38" s="342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4"/>
      <c r="Q39" s="1573">
        <f t="shared" si="8"/>
        <v>111</v>
      </c>
      <c r="R39" s="1578" t="s">
        <v>8</v>
      </c>
      <c r="S39" s="1579">
        <f t="shared" si="10"/>
        <v>100</v>
      </c>
      <c r="T39" s="1578" t="s">
        <v>8</v>
      </c>
      <c r="U39" s="1579">
        <f t="shared" si="11"/>
        <v>100</v>
      </c>
      <c r="V39" s="1578" t="s">
        <v>8</v>
      </c>
      <c r="W39" s="1579">
        <f t="shared" si="12"/>
        <v>100</v>
      </c>
      <c r="X39" s="1580"/>
      <c r="Y39" s="3424"/>
      <c r="Z39" s="1581">
        <f t="shared" si="13"/>
        <v>111</v>
      </c>
      <c r="AA39" s="1577">
        <f t="shared" si="3"/>
        <v>1</v>
      </c>
      <c r="AB39" s="1577">
        <f t="shared" si="4"/>
        <v>1</v>
      </c>
      <c r="AC39" s="1577">
        <f t="shared" si="5"/>
        <v>1</v>
      </c>
    </row>
    <row r="40" spans="1:29" ht="20.25">
      <c r="A40" s="2933" t="s">
        <v>2755</v>
      </c>
      <c r="B40" s="595" t="s">
        <v>552</v>
      </c>
      <c r="C40" s="596">
        <f>'数据-基础表'!A3</f>
        <v>19651.2</v>
      </c>
      <c r="D40" s="597">
        <v>100</v>
      </c>
      <c r="E40" s="596">
        <f>面积表!F3</f>
        <v>19959.5</v>
      </c>
      <c r="F40" s="597">
        <f>LOOKUP(E40,119:119,120:120)-LOOKUP(C40,119:119,120:120)+100</f>
        <v>100</v>
      </c>
      <c r="G40" s="596">
        <f>面积表!F5</f>
        <v>39805.800000000003</v>
      </c>
      <c r="H40" s="597">
        <f>LOOKUP(G40,119:119,120:120)-LOOKUP(C40,119:119,120:120)+100</f>
        <v>100</v>
      </c>
      <c r="I40" s="598">
        <f>面积表!F6</f>
        <v>131998.1</v>
      </c>
      <c r="J40" s="597">
        <f>LOOKUP(I40,119:119,120:120)-LOOKUP(C40,119:119,120:120)+100</f>
        <v>106</v>
      </c>
      <c r="K40" s="581"/>
      <c r="L40" s="2144"/>
      <c r="M40" s="2134"/>
      <c r="N40" s="2134"/>
      <c r="O40" s="2143"/>
      <c r="P40" s="3424"/>
      <c r="Q40" s="1573" t="str">
        <f>B40</f>
        <v>宗地面积</v>
      </c>
      <c r="R40" s="1574" t="s">
        <v>8</v>
      </c>
      <c r="S40" s="1575">
        <f t="shared" si="10"/>
        <v>100</v>
      </c>
      <c r="T40" s="1574" t="s">
        <v>8</v>
      </c>
      <c r="U40" s="1575">
        <f t="shared" si="11"/>
        <v>100</v>
      </c>
      <c r="V40" s="1574" t="s">
        <v>8</v>
      </c>
      <c r="W40" s="1575">
        <f t="shared" si="12"/>
        <v>106</v>
      </c>
      <c r="X40" s="1568"/>
      <c r="Y40" s="3424"/>
      <c r="Z40" s="1576" t="str">
        <f t="shared" si="13"/>
        <v>宗地面积</v>
      </c>
      <c r="AA40" s="1577">
        <f t="shared" si="3"/>
        <v>1</v>
      </c>
      <c r="AB40" s="1577">
        <f t="shared" si="4"/>
        <v>1</v>
      </c>
      <c r="AC40" s="1577">
        <f t="shared" si="5"/>
        <v>0.94339622641509435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24"/>
      <c r="Q41" s="1573" t="str">
        <f t="shared" ref="Q41:Q47" si="14">B41</f>
        <v>宗地形状</v>
      </c>
      <c r="R41" s="1574" t="s">
        <v>8</v>
      </c>
      <c r="S41" s="1575">
        <f t="shared" si="10"/>
        <v>100</v>
      </c>
      <c r="T41" s="1574" t="s">
        <v>8</v>
      </c>
      <c r="U41" s="1575">
        <f t="shared" si="11"/>
        <v>100</v>
      </c>
      <c r="V41" s="1574" t="s">
        <v>8</v>
      </c>
      <c r="W41" s="1575">
        <f t="shared" si="12"/>
        <v>100</v>
      </c>
      <c r="X41" s="1568"/>
      <c r="Y41" s="342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24"/>
      <c r="Q42" s="1573" t="str">
        <f t="shared" si="14"/>
        <v>临街宽度及深度</v>
      </c>
      <c r="R42" s="1574" t="s">
        <v>8</v>
      </c>
      <c r="S42" s="1575">
        <f t="shared" si="10"/>
        <v>100</v>
      </c>
      <c r="T42" s="1574" t="s">
        <v>8</v>
      </c>
      <c r="U42" s="1575">
        <f t="shared" si="11"/>
        <v>100</v>
      </c>
      <c r="V42" s="1574" t="s">
        <v>8</v>
      </c>
      <c r="W42" s="1575">
        <f t="shared" si="12"/>
        <v>100</v>
      </c>
      <c r="X42" s="1568"/>
      <c r="Y42" s="3424"/>
      <c r="Z42" s="1576" t="str">
        <f t="shared" si="13"/>
        <v>临街宽度及深度</v>
      </c>
      <c r="AA42" s="1577">
        <f t="shared" si="3"/>
        <v>1</v>
      </c>
      <c r="AB42" s="1577">
        <f t="shared" si="4"/>
        <v>1</v>
      </c>
      <c r="AC42" s="1577">
        <f t="shared" si="5"/>
        <v>1</v>
      </c>
    </row>
    <row r="43" spans="1:29" s="1220" customFormat="1" ht="20.25">
      <c r="A43" s="600"/>
      <c r="B43" s="1897" t="s">
        <v>2424</v>
      </c>
      <c r="C43" s="601" t="s">
        <v>3175</v>
      </c>
      <c r="D43" s="255">
        <v>100</v>
      </c>
      <c r="E43" s="601" t="s">
        <v>3175</v>
      </c>
      <c r="F43" s="540">
        <f>SUMIF(125:125,E43,126:126)-SUMIF(125:125,C43,126:126)+100</f>
        <v>100</v>
      </c>
      <c r="G43" s="601" t="s">
        <v>3175</v>
      </c>
      <c r="H43" s="540">
        <f>SUMIF(125:125,G43,126:126)-SUMIF(125:125,C43,126:126)+100</f>
        <v>100</v>
      </c>
      <c r="I43" s="601" t="s">
        <v>3175</v>
      </c>
      <c r="J43" s="540">
        <f>SUMIF(125:125,I43,126:126)-SUMIF(125:125,C43,126:126)+100</f>
        <v>100</v>
      </c>
      <c r="K43" s="584">
        <v>1</v>
      </c>
      <c r="L43" s="2137"/>
      <c r="M43" s="2134"/>
      <c r="N43" s="2134"/>
      <c r="O43" s="2139"/>
      <c r="P43" s="3424"/>
      <c r="Q43" s="1573" t="str">
        <f t="shared" si="14"/>
        <v>宗地开发程度</v>
      </c>
      <c r="R43" s="1569" t="s">
        <v>8</v>
      </c>
      <c r="S43" s="1570">
        <f t="shared" si="10"/>
        <v>100</v>
      </c>
      <c r="T43" s="1569" t="s">
        <v>8</v>
      </c>
      <c r="U43" s="1570">
        <f t="shared" si="11"/>
        <v>100</v>
      </c>
      <c r="V43" s="1569" t="s">
        <v>8</v>
      </c>
      <c r="W43" s="1570">
        <f t="shared" si="12"/>
        <v>100</v>
      </c>
      <c r="X43" s="1571"/>
      <c r="Y43" s="3424"/>
      <c r="Z43" s="1150" t="str">
        <f t="shared" si="13"/>
        <v>宗地开发程度</v>
      </c>
      <c r="AA43" s="1572">
        <f t="shared" si="3"/>
        <v>1</v>
      </c>
      <c r="AB43" s="1572">
        <f t="shared" si="4"/>
        <v>1</v>
      </c>
      <c r="AC43" s="1572">
        <f t="shared" si="5"/>
        <v>1</v>
      </c>
    </row>
    <row r="44" spans="1:29" ht="20.25">
      <c r="A44" s="594"/>
      <c r="B44" s="527" t="s">
        <v>555</v>
      </c>
      <c r="C44" s="599" t="s">
        <v>3062</v>
      </c>
      <c r="D44" s="540">
        <v>100</v>
      </c>
      <c r="E44" s="599" t="s">
        <v>3062</v>
      </c>
      <c r="F44" s="540">
        <f>SUMIF(127:127,E44,128:128)-SUMIF(127:127,C44,128:128)+100</f>
        <v>100</v>
      </c>
      <c r="G44" s="599" t="s">
        <v>3062</v>
      </c>
      <c r="H44" s="540">
        <f>SUMIF(127:127,G44,128:128)-SUMIF(127:127,C44,128:128)+100</f>
        <v>100</v>
      </c>
      <c r="I44" s="599" t="s">
        <v>3062</v>
      </c>
      <c r="J44" s="540">
        <f>SUMIF(127:127,I44,128:128)-SUMIF(127:127,C44,128:128)+100</f>
        <v>100</v>
      </c>
      <c r="K44" s="584"/>
      <c r="L44" s="2144"/>
      <c r="M44" s="2134"/>
      <c r="N44" s="2134"/>
      <c r="O44" s="2143"/>
      <c r="P44" s="3424" t="s">
        <v>550</v>
      </c>
      <c r="Q44" s="1573" t="str">
        <f t="shared" si="14"/>
        <v>工程地质条件</v>
      </c>
      <c r="R44" s="1574" t="s">
        <v>8</v>
      </c>
      <c r="S44" s="1575">
        <f t="shared" si="10"/>
        <v>100</v>
      </c>
      <c r="T44" s="1574" t="s">
        <v>8</v>
      </c>
      <c r="U44" s="1575">
        <f t="shared" si="11"/>
        <v>100</v>
      </c>
      <c r="V44" s="1574" t="s">
        <v>8</v>
      </c>
      <c r="W44" s="1575">
        <f t="shared" si="12"/>
        <v>100</v>
      </c>
      <c r="X44" s="1568"/>
      <c r="Y44" s="342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4"/>
      <c r="Q45" s="1573">
        <f t="shared" si="14"/>
        <v>111</v>
      </c>
      <c r="R45" s="1574" t="s">
        <v>8</v>
      </c>
      <c r="S45" s="1575">
        <f t="shared" si="10"/>
        <v>100</v>
      </c>
      <c r="T45" s="1574" t="s">
        <v>8</v>
      </c>
      <c r="U45" s="1575">
        <f t="shared" si="11"/>
        <v>100</v>
      </c>
      <c r="V45" s="1574" t="s">
        <v>8</v>
      </c>
      <c r="W45" s="1575">
        <f t="shared" si="12"/>
        <v>100</v>
      </c>
      <c r="X45" s="1568"/>
      <c r="Y45" s="342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4"/>
      <c r="Q46" s="1573">
        <f t="shared" si="14"/>
        <v>111</v>
      </c>
      <c r="R46" s="1574" t="s">
        <v>8</v>
      </c>
      <c r="S46" s="1575">
        <f t="shared" si="10"/>
        <v>100</v>
      </c>
      <c r="T46" s="1574" t="s">
        <v>8</v>
      </c>
      <c r="U46" s="1575">
        <f t="shared" si="11"/>
        <v>100</v>
      </c>
      <c r="V46" s="1574" t="s">
        <v>8</v>
      </c>
      <c r="W46" s="1575">
        <f t="shared" si="12"/>
        <v>100</v>
      </c>
      <c r="X46" s="1568"/>
      <c r="Y46" s="342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4"/>
      <c r="Q47" s="1573">
        <f t="shared" si="14"/>
        <v>111</v>
      </c>
      <c r="R47" s="1578" t="s">
        <v>8</v>
      </c>
      <c r="S47" s="1579">
        <f t="shared" si="10"/>
        <v>100</v>
      </c>
      <c r="T47" s="1578" t="s">
        <v>8</v>
      </c>
      <c r="U47" s="1579">
        <f t="shared" si="11"/>
        <v>100</v>
      </c>
      <c r="V47" s="1578" t="s">
        <v>8</v>
      </c>
      <c r="W47" s="1579">
        <f t="shared" si="12"/>
        <v>100</v>
      </c>
      <c r="X47" s="1580"/>
      <c r="Y47" s="3424"/>
      <c r="Z47" s="1581">
        <f t="shared" si="13"/>
        <v>111</v>
      </c>
      <c r="AA47" s="1577">
        <f t="shared" si="3"/>
        <v>1</v>
      </c>
      <c r="AB47" s="1577">
        <f t="shared" si="4"/>
        <v>1</v>
      </c>
      <c r="AC47" s="1577">
        <f t="shared" si="5"/>
        <v>1</v>
      </c>
    </row>
    <row r="48" spans="1:29" ht="20.25">
      <c r="A48" s="607" t="s">
        <v>556</v>
      </c>
      <c r="B48" s="608" t="s">
        <v>3193</v>
      </c>
      <c r="C48" s="609" t="s">
        <v>1</v>
      </c>
      <c r="D48" s="610"/>
      <c r="E48" s="611">
        <f>面积表!R3</f>
        <v>70957</v>
      </c>
      <c r="F48" s="612"/>
      <c r="G48" s="613">
        <f>面积表!R5</f>
        <v>70453</v>
      </c>
      <c r="H48" s="614"/>
      <c r="I48" s="611">
        <f>面积表!R6</f>
        <v>61440</v>
      </c>
      <c r="J48" s="614"/>
      <c r="K48" s="1340"/>
      <c r="L48" s="2146"/>
      <c r="M48" s="2134"/>
      <c r="N48" s="2134"/>
      <c r="O48" s="2147"/>
      <c r="P48" s="3419" t="str">
        <f>A48</f>
        <v>成交单价</v>
      </c>
      <c r="Q48" s="3419"/>
      <c r="R48" s="3433">
        <f>E48</f>
        <v>70957</v>
      </c>
      <c r="S48" s="3433"/>
      <c r="T48" s="3433">
        <f>G48</f>
        <v>70453</v>
      </c>
      <c r="U48" s="3433"/>
      <c r="V48" s="3433">
        <f>I48</f>
        <v>61440</v>
      </c>
      <c r="W48" s="3433"/>
      <c r="X48" s="1560"/>
      <c r="Y48" s="1582"/>
      <c r="Z48" s="1560"/>
      <c r="AA48" s="1560"/>
      <c r="AB48" s="1560"/>
      <c r="AC48" s="1560"/>
    </row>
    <row r="49" spans="1:29" ht="21" thickBot="1">
      <c r="A49" s="615" t="s">
        <v>2693</v>
      </c>
      <c r="B49" s="616"/>
      <c r="C49" s="617">
        <f>R50</f>
        <v>86233</v>
      </c>
      <c r="D49" s="618"/>
      <c r="E49" s="617">
        <f>R49</f>
        <v>87707</v>
      </c>
      <c r="F49" s="619"/>
      <c r="G49" s="620">
        <f>T49</f>
        <v>88115</v>
      </c>
      <c r="H49" s="618"/>
      <c r="I49" s="617">
        <f>V49</f>
        <v>79521</v>
      </c>
      <c r="J49" s="618"/>
      <c r="K49" s="1341"/>
      <c r="L49" s="2146"/>
      <c r="M49" s="2134"/>
      <c r="N49" s="2134"/>
      <c r="O49" s="2147"/>
      <c r="P49" s="3419" t="str">
        <f>A49</f>
        <v>比较价格（元/平方米）</v>
      </c>
      <c r="Q49" s="3419"/>
      <c r="R49" s="3443">
        <f>ROUND(PRODUCT(R48,AA9:AA47),0)</f>
        <v>87707</v>
      </c>
      <c r="S49" s="3443"/>
      <c r="T49" s="3443">
        <f>ROUND(PRODUCT(T48,AB9:AB47),0)</f>
        <v>88115</v>
      </c>
      <c r="U49" s="3443"/>
      <c r="V49" s="3443">
        <f>ROUND(PRODUCT(V48,AC9:AC47),0)</f>
        <v>79521</v>
      </c>
      <c r="W49" s="3443"/>
      <c r="X49" s="1560"/>
      <c r="Y49" s="1560"/>
      <c r="Z49" s="1560"/>
      <c r="AA49" s="1560"/>
      <c r="AB49" s="1560"/>
      <c r="AC49" s="1560"/>
    </row>
    <row r="50" spans="1:29" ht="21" thickBot="1">
      <c r="A50" s="621" t="s">
        <v>2933</v>
      </c>
      <c r="B50" s="622"/>
      <c r="C50" s="623">
        <f>R50</f>
        <v>86233</v>
      </c>
      <c r="D50" s="623"/>
      <c r="E50" s="623"/>
      <c r="F50" s="623"/>
      <c r="G50" s="623"/>
      <c r="H50" s="623"/>
      <c r="I50" s="623"/>
      <c r="J50" s="623"/>
      <c r="K50" s="1342"/>
      <c r="L50" s="2146"/>
      <c r="M50" s="2134"/>
      <c r="N50" s="2134"/>
      <c r="O50" s="2147"/>
      <c r="P50" s="3440" t="str">
        <f>A50</f>
        <v>估价对象XX用房的比较价格（楼面单价，元/平方米）</v>
      </c>
      <c r="Q50" s="3441"/>
      <c r="R50" s="3442">
        <f>ROUND(R49*S52+T49*U52+V49*W52,0)</f>
        <v>86233</v>
      </c>
      <c r="S50" s="3442"/>
      <c r="T50" s="3442"/>
      <c r="U50" s="3442"/>
      <c r="V50" s="3442"/>
      <c r="W50" s="344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3224" t="s">
        <v>3191</v>
      </c>
      <c r="R52" s="2147"/>
      <c r="S52" s="2147">
        <v>0.4</v>
      </c>
      <c r="T52" s="2147"/>
      <c r="U52" s="2147">
        <v>0.4</v>
      </c>
      <c r="V52" s="2147"/>
      <c r="W52" s="2147">
        <v>0.2</v>
      </c>
      <c r="X52" s="2147"/>
      <c r="Y52" s="2147"/>
      <c r="Z52" s="2147"/>
      <c r="AA52" s="2147"/>
      <c r="AB52" s="2147"/>
      <c r="AC52" s="2147"/>
    </row>
    <row r="53" spans="1:29" ht="13.5" customHeight="1">
      <c r="A53" s="2147"/>
      <c r="B53" s="2147"/>
      <c r="C53" s="624" t="s">
        <v>557</v>
      </c>
      <c r="D53" s="625"/>
      <c r="E53" s="626">
        <f>IF(E48&lt;E49,E49/E48-1,E48/E49-1)</f>
        <v>0.23605845793931546</v>
      </c>
      <c r="F53" s="627" t="str">
        <f>IF(OR(E53&gt;=0.3,E53&lt;=-0.3),"超过30%","")</f>
        <v/>
      </c>
      <c r="G53" s="626">
        <f>IF(G48&lt;G49,G49/G48-1,G48/G49-1)</f>
        <v>0.25069195066214345</v>
      </c>
      <c r="H53" s="627" t="str">
        <f>IF(OR(G53&gt;=0.3,G53&lt;=-0.3),"超过30%","")</f>
        <v/>
      </c>
      <c r="I53" s="626">
        <f>IF(I48&lt;I49,I49/I48-1,I48/I49-1)</f>
        <v>0.29428710937499991</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4.6518521896770082E-3</v>
      </c>
      <c r="F54" s="627" t="str">
        <f>IF(OR(E54&gt;=0.2,E54&lt;=-0.2),"超过20%","")</f>
        <v/>
      </c>
      <c r="G54" s="626">
        <f>IF(G49&lt;I49,I49/G49-1,G49/I49-1)</f>
        <v>0.10807208158851123</v>
      </c>
      <c r="H54" s="627" t="str">
        <f>IF(OR(G54&gt;=0.2,G54&lt;=-0.2),"超过20%","")</f>
        <v/>
      </c>
      <c r="I54" s="626">
        <f>IF(I49&lt;E49,E49/I49-1,I49/E49-1)</f>
        <v>0.10294136140139076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7.1537053070842571E-3</v>
      </c>
      <c r="F55" s="627" t="str">
        <f>IF(OR(E55&gt;=0.3,E55&lt;=-0.3),"超过30%","")</f>
        <v/>
      </c>
      <c r="G55" s="626">
        <f>IF(G48&lt;I48,I48/G48-1,G48/I48-1)</f>
        <v>0.1466959635416667</v>
      </c>
      <c r="H55" s="627" t="str">
        <f>IF(OR(G55&gt;=0.3,G55&lt;=-0.3),"超过30%","")</f>
        <v/>
      </c>
      <c r="I55" s="626">
        <f>IF(I48&lt;E48,E48/I48-1,I48/E48-1)</f>
        <v>0.15489908854166656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1722</v>
      </c>
      <c r="D57" s="2229" t="s">
        <v>2292</v>
      </c>
      <c r="E57" s="631" t="s">
        <v>562</v>
      </c>
      <c r="F57" s="632" t="s">
        <v>563</v>
      </c>
      <c r="G57" s="3403" t="s">
        <v>2280</v>
      </c>
      <c r="H57" s="3404"/>
      <c r="I57" s="1556" t="s">
        <v>1720</v>
      </c>
      <c r="J57" s="1556" t="str">
        <f>项目基本情况!F41</f>
        <v>上海市</v>
      </c>
      <c r="K57" s="2156" t="s">
        <v>1721</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86233</v>
      </c>
      <c r="C58" s="635">
        <v>1</v>
      </c>
      <c r="D58" s="2230">
        <v>1</v>
      </c>
      <c r="E58" s="635">
        <f>'数据-汇总表'!E8+'数据-汇总表'!E9</f>
        <v>65551.88</v>
      </c>
      <c r="F58" s="636">
        <f t="shared" ref="F58:F67" si="15">ROUND(B58*E58/10000,0)</f>
        <v>565274</v>
      </c>
      <c r="G58" s="3405"/>
      <c r="H58" s="340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07"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0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0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0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2327</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19590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2293</v>
      </c>
      <c r="E68" s="643">
        <f>IF(B48="楼面地价",SUM(E58:E67),'数据-汇总表'!D3)</f>
        <v>85141.88</v>
      </c>
      <c r="F68" s="644">
        <f>IF(B48="楼面地价",SUM(F58:F67),ROUND(C50*E68/10000,0))</f>
        <v>565274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2532</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2647</v>
      </c>
      <c r="B73" s="479" t="str">
        <f>"北京市平均增长率"&amp;TEXT(SUMIF(基准地价!N21:N25,A73,基准地价!P21:P25),"0.00%")</f>
        <v>北京市平均增长率2.27%</v>
      </c>
      <c r="C73" s="894">
        <v>100</v>
      </c>
      <c r="D73" s="730">
        <v>98</v>
      </c>
      <c r="E73" s="730">
        <f>D73-2</f>
        <v>96</v>
      </c>
      <c r="F73" s="730">
        <f t="shared" ref="F73:N73" si="20">E73-2</f>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2646</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208" t="s">
        <v>3163</v>
      </c>
      <c r="D77" s="3208" t="s">
        <v>3164</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98</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v>5</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207" t="s">
        <v>3066</v>
      </c>
      <c r="D108" s="3207" t="s">
        <v>3067</v>
      </c>
      <c r="E108" s="3207" t="s">
        <v>3068</v>
      </c>
      <c r="F108" s="3207" t="s">
        <v>3069</v>
      </c>
      <c r="G108" s="3207" t="s">
        <v>3070</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v>
      </c>
      <c r="H118" s="704" t="str">
        <f t="shared" si="26"/>
        <v>(含)-</v>
      </c>
      <c r="I118" s="704" t="str">
        <f t="shared" si="26"/>
        <v>(含)-</v>
      </c>
      <c r="J118" s="3116" t="str">
        <f t="shared" si="26"/>
        <v>(含)-</v>
      </c>
      <c r="K118" s="3116" t="str">
        <f t="shared" si="26"/>
        <v>(含)-</v>
      </c>
      <c r="L118" s="3117" t="str">
        <f t="shared" si="26"/>
        <v>(含)-</v>
      </c>
      <c r="M118" s="3118"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103</v>
      </c>
      <c r="E120" s="726">
        <v>106</v>
      </c>
      <c r="F120" s="726">
        <v>109</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3172</v>
      </c>
      <c r="D125" s="1376" t="s">
        <v>3064</v>
      </c>
      <c r="E125" s="1376" t="s">
        <v>3173</v>
      </c>
      <c r="F125" s="1376" t="s">
        <v>3174</v>
      </c>
      <c r="G125" s="1376" t="s">
        <v>3175</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3063</v>
      </c>
      <c r="D127" s="688" t="s">
        <v>3062</v>
      </c>
      <c r="E127" s="718" t="s">
        <v>3167</v>
      </c>
      <c r="F127" s="718" t="s">
        <v>3176</v>
      </c>
      <c r="G127" s="718" t="s">
        <v>3177</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25" t="str">
        <f>项目基本情况!B1</f>
        <v>上海市静安区宝山路街道147街坊11丘出让国有建设用地使用权抵押价格预评估</v>
      </c>
      <c r="C37" s="3225"/>
      <c r="D37" s="3225"/>
      <c r="E37" s="3225"/>
      <c r="F37" s="3225"/>
      <c r="G37" s="3225"/>
      <c r="H37" s="3225"/>
      <c r="I37" s="3225"/>
    </row>
    <row r="38" spans="1:9">
      <c r="A38" s="1657"/>
      <c r="B38" s="1657"/>
    </row>
    <row r="39" spans="1:9">
      <c r="A39" s="1655" t="s">
        <v>1899</v>
      </c>
      <c r="B39" s="1655" t="s">
        <v>2045</v>
      </c>
    </row>
    <row r="40" spans="1:9">
      <c r="A40" s="1655"/>
      <c r="B40" s="1655" t="str">
        <f>项目基本情况!B5</f>
        <v>上海恺冠臻房地产开发有限公司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赵雯、崔锴</v>
      </c>
    </row>
    <row r="47" spans="1:9">
      <c r="A47" s="1655"/>
      <c r="B47" s="1655"/>
    </row>
    <row r="48" spans="1:9">
      <c r="A48" s="1655" t="s">
        <v>1899</v>
      </c>
      <c r="B48" s="1655" t="s">
        <v>2047</v>
      </c>
    </row>
    <row r="49" spans="2:2">
      <c r="B49" s="1655" t="str">
        <f>"康正预评字"&amp;项目基本情况!B2&amp;"号"</f>
        <v>康正预评字2018-1-0367-F01DYGJ1号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D10" sqref="D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10</v>
      </c>
    </row>
    <row r="2" spans="1:31" s="2043" customFormat="1" ht="18" customHeight="1">
      <c r="A2" s="2103" t="s">
        <v>467</v>
      </c>
      <c r="B2" s="2107">
        <f ca="1">C36</f>
        <v>609378</v>
      </c>
      <c r="C2" s="2106"/>
      <c r="D2" s="2106"/>
      <c r="E2" s="2106"/>
      <c r="F2" s="2106"/>
      <c r="G2" s="2106"/>
      <c r="H2" s="2106"/>
      <c r="I2" s="2106"/>
      <c r="J2" s="2106"/>
      <c r="K2" s="2106"/>
    </row>
    <row r="3" spans="1:31" s="2043" customFormat="1" ht="18" customHeight="1">
      <c r="A3" s="2108" t="s">
        <v>1682</v>
      </c>
      <c r="B3" s="2109">
        <f ca="1">ROUND(B2*10000/IF(B1="",'数据-汇总表'!E3,INDIRECT("'数据-取费表'!K"&amp;$K$1)),0)</f>
        <v>69045</v>
      </c>
      <c r="C3" s="2106"/>
      <c r="D3" s="2106"/>
      <c r="E3" s="2106"/>
      <c r="F3" s="2106"/>
      <c r="G3" s="2106"/>
      <c r="H3" s="2106"/>
      <c r="I3" s="2106"/>
      <c r="J3" s="2106"/>
      <c r="K3" s="2106"/>
    </row>
    <row r="4" spans="1:31" s="2043" customFormat="1" ht="18" customHeight="1">
      <c r="A4" s="426" t="s">
        <v>468</v>
      </c>
      <c r="B4" s="427">
        <f ca="1">ROUND(B2*10000/IF(B1="",'数据-汇总表'!D3,INDIRECT("'数据-取费表'!R"&amp;$K$1)),0)</f>
        <v>310097</v>
      </c>
      <c r="C4" s="428"/>
      <c r="D4" s="422"/>
      <c r="E4" s="422"/>
      <c r="F4" s="422"/>
      <c r="G4" s="422"/>
      <c r="H4" s="422"/>
      <c r="I4" s="422"/>
      <c r="J4" s="422"/>
      <c r="K4" s="422"/>
    </row>
    <row r="5" spans="1:31" s="2043" customFormat="1" ht="18" customHeight="1" thickBot="1">
      <c r="A5" s="429"/>
      <c r="B5" s="430">
        <f ca="1">ROUND(B2/(IF(B1="",'数据-汇总表'!D3,INDIRECT("'数据-取费表'!R"&amp;$K$1))/666.67),0)</f>
        <v>20673</v>
      </c>
      <c r="C5" s="431" t="s">
        <v>469</v>
      </c>
      <c r="D5" s="422"/>
      <c r="E5" s="422"/>
      <c r="F5" s="422"/>
      <c r="G5" s="422"/>
      <c r="H5" s="422"/>
      <c r="I5" s="422"/>
      <c r="J5" s="422"/>
      <c r="K5" s="422"/>
    </row>
    <row r="6" spans="1:31" s="2113" customFormat="1" ht="16.5" customHeight="1">
      <c r="A6" s="2854" t="s">
        <v>1840</v>
      </c>
      <c r="B6" s="2855"/>
      <c r="C6" s="2856">
        <f ca="1">SUM(C10:K10)</f>
        <v>891632</v>
      </c>
      <c r="D6" s="2855"/>
      <c r="E6" s="2855"/>
      <c r="F6" s="2855"/>
      <c r="G6" s="2855"/>
      <c r="H6" s="2855"/>
      <c r="I6" s="2855"/>
      <c r="J6" s="2855"/>
      <c r="K6" s="2857"/>
    </row>
    <row r="7" spans="1:31" s="2115" customFormat="1" ht="15">
      <c r="A7" s="2858" t="s">
        <v>470</v>
      </c>
      <c r="B7" s="2859" t="s">
        <v>471</v>
      </c>
      <c r="C7" s="436" t="s">
        <v>923</v>
      </c>
      <c r="D7" s="436" t="s">
        <v>3044</v>
      </c>
      <c r="E7" s="436" t="s">
        <v>2996</v>
      </c>
      <c r="F7" s="436" t="s">
        <v>35</v>
      </c>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1843</v>
      </c>
      <c r="B8" s="261" t="s">
        <v>472</v>
      </c>
      <c r="C8" s="2860">
        <f>'不动产比较法-住宅'!B3</f>
        <v>140835</v>
      </c>
      <c r="D8" s="2860">
        <f ca="1">不动产收益法住!B3</f>
        <v>99995</v>
      </c>
      <c r="E8" s="2860">
        <f ca="1">不动产收益法商!B3</f>
        <v>127276</v>
      </c>
      <c r="F8" s="3217">
        <f ca="1">不动产收益法车!B2/653</f>
        <v>72.179173047473199</v>
      </c>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1844</v>
      </c>
      <c r="B9" s="261" t="s">
        <v>473</v>
      </c>
      <c r="C9" s="441">
        <f>SUMIF('数据-汇总表'!$C19:$C33,'剩余法-待开发'!C7,'数据-汇总表'!$E19:$E33)</f>
        <v>57895.21</v>
      </c>
      <c r="D9" s="441">
        <f>SUMIF('数据-汇总表'!$C19:$C33,'剩余法-待开发'!D7,'数据-汇总表'!$E19:$E33)</f>
        <v>1456.67</v>
      </c>
      <c r="E9" s="441">
        <f>SUMIF('数据-汇总表'!$C19:$C33,'剩余法-待开发'!E7,'数据-汇总表'!$E19:$E33)</f>
        <v>6200</v>
      </c>
      <c r="F9" s="441">
        <f>SUMIF('数据-汇总表'!$C19:$C33,'剩余法-待开发'!F7,'数据-汇总表'!$E19:$E33)</f>
        <v>19590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1845</v>
      </c>
      <c r="B10" s="2848" t="s">
        <v>474</v>
      </c>
      <c r="C10" s="3053">
        <f>ROUND(C8*C9/10000,0)</f>
        <v>815367</v>
      </c>
      <c r="D10" s="3053">
        <f ca="1">不动产收益法住!B2</f>
        <v>14566</v>
      </c>
      <c r="E10" s="3053">
        <f ca="1">不动产收益法住!B2</f>
        <v>14566</v>
      </c>
      <c r="F10" s="2863">
        <f ca="1">不动产收益法车!B2</f>
        <v>47133</v>
      </c>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1841</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1846</v>
      </c>
      <c r="B13" s="2869" t="s">
        <v>479</v>
      </c>
      <c r="C13" s="450">
        <f ca="1">IF(B1="",'数据-取费表'!P16,INDIRECT("'数据-取费表'!p"&amp;$K$1)+INDIRECT("'数据-取费表'!t"&amp;$K$1))</f>
        <v>35691</v>
      </c>
      <c r="D13" s="2870"/>
      <c r="E13" s="2871"/>
      <c r="F13" s="2872"/>
      <c r="G13" s="2838"/>
      <c r="H13" s="2839"/>
      <c r="I13" s="2839"/>
      <c r="J13" s="2839"/>
      <c r="K13" s="2840"/>
    </row>
    <row r="14" spans="1:31" s="2118" customFormat="1" ht="13.5" customHeight="1">
      <c r="A14" s="2868" t="s">
        <v>1847</v>
      </c>
      <c r="B14" s="2869" t="s">
        <v>480</v>
      </c>
      <c r="C14" s="53">
        <f ca="1">ROUND(C13*F14,0)</f>
        <v>1071</v>
      </c>
      <c r="D14" s="2870"/>
      <c r="E14" s="2871"/>
      <c r="F14" s="2873">
        <f>'数据-取费表'!B33</f>
        <v>0.03</v>
      </c>
      <c r="G14" s="2838" t="s">
        <v>481</v>
      </c>
      <c r="H14" s="2839"/>
      <c r="I14" s="2839"/>
      <c r="J14" s="2839"/>
      <c r="K14" s="2840"/>
    </row>
    <row r="15" spans="1:31" s="2118" customFormat="1" ht="13.5" customHeight="1">
      <c r="A15" s="2868" t="s">
        <v>1848</v>
      </c>
      <c r="B15" s="2869" t="s">
        <v>482</v>
      </c>
      <c r="C15" s="53">
        <f ca="1">ROUND(IF(B1="",SUMIF('数据-取费表'!C:C,"住宅",'数据-取费表'!P:P)*F15,IF(INDIRECT("'数据-取费表'!c"&amp;$K$1)="住宅",INDIRECT("'数据-取费表'!P"&amp;$K$1)*F15,0)),0)</f>
        <v>801</v>
      </c>
      <c r="D15" s="2870"/>
      <c r="E15" s="2871"/>
      <c r="F15" s="2873">
        <f>'数据-取费表'!B34</f>
        <v>0.03</v>
      </c>
      <c r="G15" s="2838" t="s">
        <v>483</v>
      </c>
      <c r="H15" s="2839"/>
      <c r="I15" s="2839"/>
      <c r="J15" s="2839"/>
      <c r="K15" s="2840"/>
    </row>
    <row r="16" spans="1:31" s="2119" customFormat="1" ht="13.5" customHeight="1">
      <c r="A16" s="2868" t="s">
        <v>1849</v>
      </c>
      <c r="B16" s="2869" t="s">
        <v>484</v>
      </c>
      <c r="C16" s="53">
        <f ca="1">ROUND(D16*E16/10000,0)</f>
        <v>1765</v>
      </c>
      <c r="D16" s="2870">
        <f ca="1">IF(B1="",'数据-汇总表'!E3,INDIRECT("'数据-取费表'!K"&amp;$K$1)+INDIRECT("'数据-取费表'!S"&amp;$K$1))</f>
        <v>88257.98000000001</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1850</v>
      </c>
      <c r="B17" s="2869" t="s">
        <v>485</v>
      </c>
      <c r="C17" s="2874">
        <f ca="1">ROUND(C13*F17,0)</f>
        <v>535</v>
      </c>
      <c r="D17" s="475"/>
      <c r="E17" s="2874"/>
      <c r="F17" s="2875">
        <f>'数据-取费表'!B36</f>
        <v>1.4999999999999999E-2</v>
      </c>
      <c r="G17" s="261" t="s">
        <v>486</v>
      </c>
      <c r="H17" s="2841"/>
      <c r="I17" s="2841"/>
      <c r="J17" s="2841"/>
      <c r="K17" s="279"/>
    </row>
    <row r="18" spans="1:14" s="2118" customFormat="1" ht="13.5" customHeight="1">
      <c r="A18" s="2876" t="s">
        <v>1851</v>
      </c>
      <c r="B18" s="2877" t="s">
        <v>487</v>
      </c>
      <c r="C18" s="2878">
        <f ca="1">SUM(C13:C17)</f>
        <v>39863</v>
      </c>
      <c r="D18" s="2879"/>
      <c r="E18" s="468"/>
      <c r="F18" s="468"/>
      <c r="G18" s="2842" t="s">
        <v>2430</v>
      </c>
      <c r="H18" s="2843"/>
      <c r="I18" s="2843"/>
      <c r="J18" s="2843"/>
      <c r="K18" s="2844"/>
    </row>
    <row r="19" spans="1:14" s="2118" customFormat="1" ht="13.5" customHeight="1">
      <c r="A19" s="2876" t="s">
        <v>1852</v>
      </c>
      <c r="B19" s="2877" t="s">
        <v>488</v>
      </c>
      <c r="C19" s="2834">
        <f ca="1">ROUND(D19*E19/10000,0)</f>
        <v>883</v>
      </c>
      <c r="D19" s="2880">
        <f ca="1">D16</f>
        <v>88257.98000000001</v>
      </c>
      <c r="E19" s="2834">
        <f>'数据-取费表'!B32</f>
        <v>100</v>
      </c>
      <c r="F19" s="468"/>
      <c r="G19" s="2838" t="s">
        <v>489</v>
      </c>
      <c r="H19" s="2839"/>
      <c r="I19" s="2843"/>
      <c r="J19" s="2843"/>
      <c r="K19" s="2844"/>
    </row>
    <row r="20" spans="1:14" s="2118" customFormat="1" ht="13.5" customHeight="1">
      <c r="A20" s="2876" t="s">
        <v>1853</v>
      </c>
      <c r="B20" s="2877" t="s">
        <v>490</v>
      </c>
      <c r="C20" s="2834">
        <f ca="1">C21+C22-IF(B1="",'数据-取费表'!B29,IF(G20="已全部缴纳",C21+C22,H20))</f>
        <v>3795</v>
      </c>
      <c r="D20" s="2880"/>
      <c r="E20" s="2834"/>
      <c r="F20" s="2881"/>
      <c r="G20" s="3112"/>
      <c r="H20" s="2836"/>
      <c r="I20" s="2837" t="s">
        <v>2651</v>
      </c>
      <c r="J20" s="2843"/>
      <c r="K20" s="2844"/>
    </row>
    <row r="21" spans="1:14" s="2118" customFormat="1" ht="13.5" customHeight="1">
      <c r="A21" s="2868" t="s">
        <v>1854</v>
      </c>
      <c r="B21" s="2869" t="s">
        <v>491</v>
      </c>
      <c r="C21" s="53">
        <f ca="1">ROUND(D21*E21/10000,0)</f>
        <v>2552</v>
      </c>
      <c r="D21" s="2870">
        <f ca="1">IF(B1="",'数据-汇总表'!E5,IF(INDIRECT("'数据-取费表'!c"&amp;$K$1)="住宅",INDIRECT("'数据-取费表'!k"&amp;$K$1),0))</f>
        <v>59351.88</v>
      </c>
      <c r="E21" s="53">
        <f>'数据-取费表'!B27</f>
        <v>430</v>
      </c>
      <c r="F21" s="2873"/>
      <c r="G21" s="26"/>
      <c r="H21" s="51"/>
      <c r="I21" s="51"/>
      <c r="J21" s="51"/>
      <c r="K21" s="2845"/>
    </row>
    <row r="22" spans="1:14" s="2118" customFormat="1" ht="13.5" customHeight="1">
      <c r="A22" s="2868" t="s">
        <v>1855</v>
      </c>
      <c r="B22" s="2869" t="s">
        <v>492</v>
      </c>
      <c r="C22" s="53">
        <f ca="1">ROUND(D22*E22/10000,0)</f>
        <v>1243</v>
      </c>
      <c r="D22" s="2870">
        <f ca="1">IF(B1="",'数据-汇总表'!E6,IF(INDIRECT("'数据-取费表'!c"&amp;$K$1)="住宅",INDIRECT("'数据-取费表'!s"&amp;$K$1),INDIRECT("'数据-取费表'!k"&amp;$K$1)+INDIRECT("'数据-取费表'!s"&amp;$K$1)))</f>
        <v>28906.100000000013</v>
      </c>
      <c r="E22" s="53">
        <f>'数据-取费表'!B28</f>
        <v>430</v>
      </c>
      <c r="F22" s="2873"/>
      <c r="G22" s="26"/>
      <c r="H22" s="51"/>
      <c r="I22" s="51"/>
      <c r="J22" s="51"/>
      <c r="K22" s="2845"/>
    </row>
    <row r="23" spans="1:14" s="2118" customFormat="1" ht="13.5" customHeight="1">
      <c r="A23" s="2876" t="s">
        <v>1856</v>
      </c>
      <c r="B23" s="3059" t="s">
        <v>2834</v>
      </c>
      <c r="C23" s="2878">
        <f ca="1">ROUND((C18+C19+C20)*F23,0)</f>
        <v>891</v>
      </c>
      <c r="D23" s="468"/>
      <c r="E23" s="468"/>
      <c r="F23" s="2882">
        <f>'数据-取费表'!B37</f>
        <v>0.02</v>
      </c>
      <c r="G23" s="2838" t="s">
        <v>2431</v>
      </c>
      <c r="H23" s="2839"/>
      <c r="I23" s="2839"/>
      <c r="J23" s="2839"/>
      <c r="K23" s="2840"/>
      <c r="L23" s="2120"/>
      <c r="M23" s="2120"/>
      <c r="N23" s="2120"/>
    </row>
    <row r="24" spans="1:14" s="2118" customFormat="1" ht="13.5" customHeight="1">
      <c r="A24" s="2876" t="s">
        <v>1857</v>
      </c>
      <c r="B24" s="3059" t="s">
        <v>2837</v>
      </c>
      <c r="C24" s="2878">
        <f ca="1">ROUND(C6*F24,0)</f>
        <v>17833</v>
      </c>
      <c r="D24" s="475"/>
      <c r="E24" s="473"/>
      <c r="F24" s="2882">
        <f>'数据-取费表'!B38</f>
        <v>0.02</v>
      </c>
      <c r="G24" s="2847" t="s">
        <v>499</v>
      </c>
      <c r="H24" s="2841"/>
      <c r="I24" s="2841"/>
      <c r="J24" s="2841"/>
      <c r="K24" s="279"/>
      <c r="L24" s="2120"/>
      <c r="M24" s="2120"/>
      <c r="N24" s="2120"/>
    </row>
    <row r="25" spans="1:14" s="2121" customFormat="1" ht="13.5" customHeight="1">
      <c r="A25" s="2876" t="s">
        <v>1858</v>
      </c>
      <c r="B25" s="3059" t="s">
        <v>2835</v>
      </c>
      <c r="C25" s="467">
        <f>ROUND(F25/(1+'数据-取费表'!C42),4)</f>
        <v>2.9000000000000001E-2</v>
      </c>
      <c r="D25" s="462" t="s">
        <v>2829</v>
      </c>
      <c r="E25" s="469"/>
      <c r="F25" s="2882">
        <f>'数据-取费表'!B48+'数据-取费表'!B49</f>
        <v>3.0499999999999999E-2</v>
      </c>
      <c r="G25" s="2846" t="s">
        <v>2288</v>
      </c>
      <c r="H25" s="2839"/>
      <c r="I25" s="2839"/>
      <c r="J25" s="2839"/>
      <c r="K25" s="2840"/>
    </row>
    <row r="26" spans="1:14" s="2120" customFormat="1" ht="13.5" customHeight="1">
      <c r="A26" s="2876" t="s">
        <v>1859</v>
      </c>
      <c r="B26" s="3060" t="s">
        <v>2836</v>
      </c>
      <c r="C26" s="2883">
        <f ca="1">C28</f>
        <v>3005</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1854</v>
      </c>
      <c r="B27" s="2884" t="s">
        <v>496</v>
      </c>
      <c r="C27" s="2885">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1855</v>
      </c>
      <c r="B28" s="2884" t="s">
        <v>2838</v>
      </c>
      <c r="C28" s="2886">
        <f ca="1">ROUND(IF('数据-取费表'!B22&lt;=1,(C18+C19+C20+C23+C24)*F26*'数据-取费表'!B24/2,(C18+C19+C20+C23+C24)*(POWER((1+F26),'数据-取费表'!B24/2)-1)),0)</f>
        <v>3005</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1860</v>
      </c>
      <c r="B29" s="2877" t="s">
        <v>497</v>
      </c>
      <c r="C29" s="2878">
        <f ca="1">ROUND(C6*F29/(1+'数据-取费表'!C42),0)</f>
        <v>47554</v>
      </c>
      <c r="D29" s="468"/>
      <c r="E29" s="468"/>
      <c r="F29" s="3061">
        <f>'数据-取费表'!B41</f>
        <v>5.6000000000000001E-2</v>
      </c>
      <c r="G29" s="2847" t="s">
        <v>498</v>
      </c>
      <c r="H29" s="2839"/>
      <c r="I29" s="2839"/>
      <c r="J29" s="2839"/>
      <c r="K29" s="2840"/>
    </row>
    <row r="30" spans="1:14" s="2123" customFormat="1" ht="13.5" customHeight="1">
      <c r="A30" s="1636" t="s">
        <v>1861</v>
      </c>
      <c r="B30" s="2888" t="s">
        <v>500</v>
      </c>
      <c r="C30" s="2883">
        <f ca="1">C31</f>
        <v>113824</v>
      </c>
      <c r="D30" s="477">
        <f ca="1">C32</f>
        <v>0.12909999999999999</v>
      </c>
      <c r="E30" s="469" t="s">
        <v>495</v>
      </c>
      <c r="F30" s="471"/>
      <c r="G30" s="2846" t="s">
        <v>2972</v>
      </c>
      <c r="H30" s="2839"/>
      <c r="I30" s="2839"/>
      <c r="J30" s="2839"/>
      <c r="K30" s="2840"/>
    </row>
    <row r="31" spans="1:14" s="2122" customFormat="1" ht="13.5" customHeight="1">
      <c r="A31" s="803" t="s">
        <v>1854</v>
      </c>
      <c r="B31" s="2884"/>
      <c r="C31" s="450">
        <f ca="1">C18+C19+C20+C23+C24+C26+C29</f>
        <v>113824</v>
      </c>
      <c r="D31" s="472"/>
      <c r="E31" s="473"/>
      <c r="F31" s="474"/>
      <c r="G31" s="261"/>
      <c r="H31" s="2841"/>
      <c r="I31" s="2841"/>
      <c r="J31" s="2841"/>
      <c r="K31" s="279"/>
    </row>
    <row r="32" spans="1:14" s="2122" customFormat="1" ht="13.5" customHeight="1">
      <c r="A32" s="803" t="s">
        <v>1855</v>
      </c>
      <c r="B32" s="2884"/>
      <c r="C32" s="53">
        <f ca="1">ROUND(C25+D26,4)</f>
        <v>0.12909999999999999</v>
      </c>
      <c r="D32" s="472"/>
      <c r="E32" s="473"/>
      <c r="F32" s="474"/>
      <c r="G32" s="261"/>
      <c r="H32" s="2841"/>
      <c r="I32" s="2841"/>
      <c r="J32" s="2841"/>
      <c r="K32" s="279"/>
    </row>
    <row r="33" spans="1:11" s="2124" customFormat="1" ht="13.5" customHeight="1">
      <c r="A33" s="3058" t="s">
        <v>2833</v>
      </c>
      <c r="B33" s="3056" t="s">
        <v>2831</v>
      </c>
      <c r="C33" s="478">
        <f ca="1">C35</f>
        <v>8224</v>
      </c>
      <c r="D33" s="467">
        <f ca="1">C34</f>
        <v>0.1338</v>
      </c>
      <c r="E33" s="469" t="s">
        <v>495</v>
      </c>
      <c r="F33" s="479">
        <f ca="1">IF(B1="",'数据-取费表'!Q16,INDIRECT("'数据-取费表'!q"&amp;$K$1))</f>
        <v>0.13</v>
      </c>
      <c r="G33" s="2842"/>
      <c r="H33" s="2843"/>
      <c r="I33" s="2843"/>
      <c r="J33" s="2843"/>
      <c r="K33" s="2844"/>
    </row>
    <row r="34" spans="1:11" s="2125" customFormat="1" ht="13.5" customHeight="1">
      <c r="A34" s="375" t="s">
        <v>1854</v>
      </c>
      <c r="B34" s="2889" t="s">
        <v>501</v>
      </c>
      <c r="C34" s="472">
        <f ca="1">ROUND((1+C25)*F33,4)</f>
        <v>0.1338</v>
      </c>
      <c r="D34" s="472"/>
      <c r="E34" s="473"/>
      <c r="F34" s="480"/>
      <c r="G34" s="261" t="s">
        <v>2289</v>
      </c>
      <c r="H34" s="2841"/>
      <c r="I34" s="2841"/>
      <c r="J34" s="2841"/>
      <c r="K34" s="279"/>
    </row>
    <row r="35" spans="1:11" s="2125" customFormat="1" ht="13.5" customHeight="1" thickBot="1">
      <c r="A35" s="1637" t="s">
        <v>1855</v>
      </c>
      <c r="B35" s="3057" t="s">
        <v>2839</v>
      </c>
      <c r="C35" s="1629">
        <f ca="1">ROUND((C18+C19+C20+C23+C24)*F33,0)</f>
        <v>8224</v>
      </c>
      <c r="D35" s="1630"/>
      <c r="E35" s="2890"/>
      <c r="F35" s="1631"/>
      <c r="G35" s="2848"/>
      <c r="H35" s="2849"/>
      <c r="I35" s="2849"/>
      <c r="J35" s="2849"/>
      <c r="K35" s="2850"/>
    </row>
    <row r="36" spans="1:11" s="2087" customFormat="1" ht="13.5" customHeight="1" thickBot="1">
      <c r="A36" s="284" t="s">
        <v>1842</v>
      </c>
      <c r="B36" s="2852"/>
      <c r="C36" s="2891">
        <f ca="1">ROUND((C6-C30-C33)/(1+D30+D33),0)</f>
        <v>609378</v>
      </c>
      <c r="D36" s="2852"/>
      <c r="E36" s="2852"/>
      <c r="F36" s="2852"/>
      <c r="G36" s="2851" t="s">
        <v>2840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10</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1682</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1843</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1845</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1862</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1846</v>
      </c>
      <c r="B13" s="449" t="s">
        <v>479</v>
      </c>
      <c r="C13" s="450">
        <f ca="1">IF(B1="",'数据-取费表'!M16,INDIRECT("'数据-取费表'!M"&amp;$K$1)+INDIRECT("'数据-取费表'!t"&amp;$K$1))</f>
        <v>35691</v>
      </c>
      <c r="D13" s="451"/>
      <c r="E13" s="365"/>
      <c r="F13" s="452"/>
      <c r="G13" s="444"/>
      <c r="H13" s="447"/>
      <c r="I13" s="447"/>
      <c r="J13" s="447"/>
      <c r="K13" s="448"/>
    </row>
    <row r="14" spans="1:41" s="2118" customFormat="1" ht="13.5" customHeight="1">
      <c r="A14" s="1634" t="s">
        <v>1847</v>
      </c>
      <c r="B14" s="449" t="s">
        <v>480</v>
      </c>
      <c r="C14" s="53">
        <f ca="1">ROUND(C13*F14,0)</f>
        <v>1071</v>
      </c>
      <c r="D14" s="451"/>
      <c r="E14" s="365"/>
      <c r="F14" s="453">
        <f>'数据-取费表'!B33</f>
        <v>0.03</v>
      </c>
      <c r="G14" s="444" t="s">
        <v>502</v>
      </c>
      <c r="H14" s="447"/>
      <c r="I14" s="447"/>
      <c r="J14" s="447"/>
      <c r="K14" s="448"/>
    </row>
    <row r="15" spans="1:41" s="2118" customFormat="1" ht="13.5" customHeight="1">
      <c r="A15" s="1634" t="s">
        <v>1848</v>
      </c>
      <c r="B15" s="449" t="s">
        <v>482</v>
      </c>
      <c r="C15" s="53">
        <f ca="1">ROUND(IF(B1="",SUMIF('数据-取费表'!C:C,"住宅",'数据-取费表'!M:M)*F15,IF(INDIRECT("'数据-取费表'!c"&amp;$K$1)="住宅",INDIRECT("'数据-取费表'!M"&amp;$K$1)*F15,0)),0)</f>
        <v>801</v>
      </c>
      <c r="D15" s="451"/>
      <c r="E15" s="365"/>
      <c r="F15" s="453">
        <f>'数据-取费表'!B34</f>
        <v>0.03</v>
      </c>
      <c r="G15" s="444" t="s">
        <v>502</v>
      </c>
      <c r="H15" s="447"/>
      <c r="I15" s="447"/>
      <c r="J15" s="447"/>
      <c r="K15" s="448"/>
    </row>
    <row r="16" spans="1:41" s="2119" customFormat="1" ht="13.5" customHeight="1">
      <c r="A16" s="1634" t="s">
        <v>1849</v>
      </c>
      <c r="B16" s="449" t="s">
        <v>484</v>
      </c>
      <c r="C16" s="53">
        <f ca="1">ROUND(D16*E16/10000,0)</f>
        <v>1765</v>
      </c>
      <c r="D16" s="451">
        <f ca="1">IF(B1="",'数据-汇总表'!E3,INDIRECT("'数据-取费表'!K"&amp;$K$1)+INDIRECT("'数据-取费表'!S"&amp;$K$1))</f>
        <v>88257.98000000001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1850</v>
      </c>
      <c r="B17" s="449" t="s">
        <v>485</v>
      </c>
      <c r="C17" s="454">
        <f ca="1">ROUND(C13*F17,0)</f>
        <v>535</v>
      </c>
      <c r="D17" s="455"/>
      <c r="E17" s="454"/>
      <c r="F17" s="456">
        <f>'数据-取费表'!B36</f>
        <v>1.4999999999999999E-2</v>
      </c>
      <c r="G17" s="444" t="s">
        <v>502</v>
      </c>
      <c r="H17" s="457"/>
      <c r="I17" s="457"/>
      <c r="J17" s="457"/>
      <c r="K17" s="458"/>
    </row>
    <row r="18" spans="1:14" s="2121" customFormat="1" ht="13.5" customHeight="1">
      <c r="A18" s="1635" t="s">
        <v>1851</v>
      </c>
      <c r="B18" s="459" t="s">
        <v>487</v>
      </c>
      <c r="C18" s="460">
        <f ca="1">SUM(C13:C17)</f>
        <v>39863</v>
      </c>
      <c r="D18" s="461"/>
      <c r="E18" s="462"/>
      <c r="F18" s="462"/>
      <c r="G18" s="1327" t="s">
        <v>2432</v>
      </c>
      <c r="H18" s="447"/>
      <c r="I18" s="447"/>
      <c r="J18" s="447"/>
      <c r="K18" s="448"/>
    </row>
    <row r="19" spans="1:14" s="2121" customFormat="1" ht="13.5" customHeight="1">
      <c r="A19" s="1635" t="s">
        <v>1852</v>
      </c>
      <c r="B19" s="459" t="s">
        <v>493</v>
      </c>
      <c r="C19" s="460">
        <f ca="1">ROUND(C18*F19,0)</f>
        <v>797</v>
      </c>
      <c r="D19" s="462"/>
      <c r="E19" s="462"/>
      <c r="F19" s="466">
        <f>'数据-取费表'!B37</f>
        <v>0.02</v>
      </c>
      <c r="G19" s="444" t="s">
        <v>503</v>
      </c>
      <c r="H19" s="447"/>
      <c r="I19" s="447"/>
      <c r="J19" s="447"/>
      <c r="K19" s="448"/>
      <c r="L19" s="2123"/>
      <c r="M19" s="2123"/>
      <c r="N19" s="2123"/>
    </row>
    <row r="20" spans="1:14" s="2121" customFormat="1" ht="13.5" customHeight="1">
      <c r="A20" s="1635" t="s">
        <v>1853</v>
      </c>
      <c r="B20" s="459" t="s">
        <v>504</v>
      </c>
      <c r="C20" s="3054">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1856</v>
      </c>
      <c r="B21" s="461" t="s">
        <v>494</v>
      </c>
      <c r="C21" s="470">
        <f ca="1">C22</f>
        <v>1931</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1846</v>
      </c>
      <c r="B22" s="1328" t="s">
        <v>2435</v>
      </c>
      <c r="C22" s="487">
        <f ca="1">ROUND(IF('数据-取费表'!B22&lt;=1,(C18+C19)*F21*'数据-取费表'!B20/2,(C18+C19)*(POWER((1+F21),'数据-取费表'!B20/2)-1)),0)</f>
        <v>1931</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1847</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1857</v>
      </c>
      <c r="B24" s="3056" t="s">
        <v>2832</v>
      </c>
      <c r="C24" s="478">
        <f ca="1">C25</f>
        <v>5286</v>
      </c>
      <c r="D24" s="489">
        <f ca="1">C26</f>
        <v>2.5999999999999999E-3</v>
      </c>
      <c r="E24" s="469" t="s">
        <v>507</v>
      </c>
      <c r="F24" s="479">
        <f ca="1">IF(B1="",'数据-取费表'!Q16,INDIRECT("'数据-取费表'!q"&amp;$K$1))</f>
        <v>0.13</v>
      </c>
      <c r="G24" s="444"/>
      <c r="H24" s="447"/>
      <c r="I24" s="447"/>
      <c r="J24" s="447"/>
      <c r="K24" s="448"/>
    </row>
    <row r="25" spans="1:14" s="2122" customFormat="1" ht="13.5" customHeight="1">
      <c r="A25" s="1634" t="s">
        <v>1846</v>
      </c>
      <c r="B25" s="1328" t="s">
        <v>2436</v>
      </c>
      <c r="C25" s="490">
        <f ca="1">ROUND((C18+C19)*F24,0)</f>
        <v>5286</v>
      </c>
      <c r="D25" s="472"/>
      <c r="E25" s="473"/>
      <c r="F25" s="480"/>
      <c r="G25" s="1326" t="s">
        <v>2433</v>
      </c>
      <c r="H25" s="457"/>
      <c r="I25" s="457"/>
      <c r="J25" s="457"/>
      <c r="K25" s="458"/>
    </row>
    <row r="26" spans="1:14" s="2122" customFormat="1" ht="13.5" customHeight="1">
      <c r="A26" s="1634" t="s">
        <v>1847</v>
      </c>
      <c r="B26" s="1328" t="s">
        <v>509</v>
      </c>
      <c r="C26" s="491">
        <f ca="1">ROUND(F20*F24,4)</f>
        <v>2.5999999999999999E-3</v>
      </c>
      <c r="D26" s="472"/>
      <c r="E26" s="481"/>
      <c r="F26" s="480"/>
      <c r="G26" s="1326" t="s">
        <v>510</v>
      </c>
      <c r="H26" s="457"/>
      <c r="I26" s="457"/>
      <c r="J26" s="457"/>
      <c r="K26" s="458"/>
    </row>
    <row r="27" spans="1:14" s="2122" customFormat="1" ht="13.5" customHeight="1">
      <c r="A27" s="1638" t="s">
        <v>1865</v>
      </c>
      <c r="B27" s="459" t="s">
        <v>511</v>
      </c>
      <c r="C27" s="3055">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1866</v>
      </c>
      <c r="B28" s="476" t="s">
        <v>512</v>
      </c>
      <c r="C28" s="470">
        <f ca="1">ROUND((C18+C19+C21+C24)/(1-C20-D21-D24-C27),0)</f>
        <v>51865</v>
      </c>
      <c r="D28" s="477"/>
      <c r="E28" s="469"/>
      <c r="F28" s="471"/>
      <c r="G28" s="1327" t="s">
        <v>2434</v>
      </c>
      <c r="H28" s="447"/>
      <c r="I28" s="447"/>
      <c r="J28" s="447"/>
      <c r="K28" s="448"/>
    </row>
    <row r="29" spans="1:14" s="2123" customFormat="1" ht="13.5" customHeight="1">
      <c r="A29" s="1638" t="s">
        <v>1867</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1863</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25" t="s">
        <v>522</v>
      </c>
      <c r="D6" s="3426"/>
      <c r="E6" s="3449" t="s">
        <v>523</v>
      </c>
      <c r="F6" s="3450"/>
      <c r="G6" s="3425" t="s">
        <v>524</v>
      </c>
      <c r="H6" s="3426"/>
      <c r="I6" s="3425" t="s">
        <v>525</v>
      </c>
      <c r="J6" s="3426"/>
      <c r="K6" s="514" t="s">
        <v>526</v>
      </c>
      <c r="L6" s="2135"/>
      <c r="M6" s="2136"/>
      <c r="N6" s="2136"/>
      <c r="O6" s="2136"/>
      <c r="P6" s="3427" t="s">
        <v>527</v>
      </c>
      <c r="Q6" s="3428"/>
      <c r="R6" s="3413" t="s">
        <v>523</v>
      </c>
      <c r="S6" s="3414"/>
      <c r="T6" s="3413" t="s">
        <v>524</v>
      </c>
      <c r="U6" s="3414"/>
      <c r="V6" s="3433" t="s">
        <v>525</v>
      </c>
      <c r="W6" s="3433"/>
      <c r="X6" s="1568"/>
      <c r="Y6" s="3413" t="s">
        <v>527</v>
      </c>
      <c r="Z6" s="3414"/>
      <c r="AA6" s="3408" t="s">
        <v>523</v>
      </c>
      <c r="AB6" s="3409" t="s">
        <v>524</v>
      </c>
      <c r="AC6" s="3408" t="s">
        <v>525</v>
      </c>
    </row>
    <row r="7" spans="1:29" ht="15">
      <c r="A7" s="515"/>
      <c r="B7" s="516"/>
      <c r="C7" s="3436" t="s">
        <v>2927</v>
      </c>
      <c r="D7" s="3437"/>
      <c r="E7" s="3451" t="s">
        <v>2928</v>
      </c>
      <c r="F7" s="3452"/>
      <c r="G7" s="3436" t="s">
        <v>2929</v>
      </c>
      <c r="H7" s="3437"/>
      <c r="I7" s="3436" t="s">
        <v>2930</v>
      </c>
      <c r="J7" s="3437"/>
      <c r="K7" s="514"/>
      <c r="L7" s="2135"/>
      <c r="M7" s="2136"/>
      <c r="N7" s="2136"/>
      <c r="O7" s="2136"/>
      <c r="P7" s="3429"/>
      <c r="Q7" s="3430"/>
      <c r="R7" s="3415"/>
      <c r="S7" s="3416"/>
      <c r="T7" s="3415"/>
      <c r="U7" s="3416"/>
      <c r="V7" s="3433"/>
      <c r="W7" s="3433"/>
      <c r="X7" s="1568"/>
      <c r="Y7" s="3415"/>
      <c r="Z7" s="3416"/>
      <c r="AA7" s="3409"/>
      <c r="AB7" s="3409"/>
      <c r="AC7" s="3409"/>
    </row>
    <row r="8" spans="1:29" ht="15.75" thickBot="1">
      <c r="A8" s="517"/>
      <c r="B8" s="518"/>
      <c r="C8" s="3434" t="s">
        <v>2931</v>
      </c>
      <c r="D8" s="3435"/>
      <c r="E8" s="3453" t="s">
        <v>2931</v>
      </c>
      <c r="F8" s="3454"/>
      <c r="G8" s="3434" t="s">
        <v>2931</v>
      </c>
      <c r="H8" s="3435"/>
      <c r="I8" s="3434" t="s">
        <v>2931</v>
      </c>
      <c r="J8" s="3435"/>
      <c r="K8" s="514" t="s">
        <v>528</v>
      </c>
      <c r="L8" s="2135"/>
      <c r="M8" s="2136"/>
      <c r="N8" s="2136"/>
      <c r="O8" s="2136"/>
      <c r="P8" s="3431"/>
      <c r="Q8" s="3432"/>
      <c r="R8" s="3415"/>
      <c r="S8" s="3416"/>
      <c r="T8" s="3417"/>
      <c r="U8" s="3418"/>
      <c r="V8" s="3433"/>
      <c r="W8" s="3433"/>
      <c r="X8" s="1568"/>
      <c r="Y8" s="3417"/>
      <c r="Z8" s="3418"/>
      <c r="AA8" s="3410"/>
      <c r="AB8" s="3410"/>
      <c r="AC8" s="3410"/>
    </row>
    <row r="9" spans="1:29" s="1220" customFormat="1" ht="15.75" thickBot="1">
      <c r="A9" s="2938"/>
      <c r="B9" s="2945" t="s">
        <v>529</v>
      </c>
      <c r="C9" s="519">
        <f>'数据-取费表'!B2</f>
        <v>43248</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1" t="s">
        <v>530</v>
      </c>
      <c r="Q9" s="3420"/>
      <c r="R9" s="1569" t="s">
        <v>8</v>
      </c>
      <c r="S9" s="1570">
        <f t="shared" ref="S9:S17" si="0">F9</f>
        <v>0</v>
      </c>
      <c r="T9" s="1569" t="s">
        <v>8</v>
      </c>
      <c r="U9" s="1570">
        <f t="shared" ref="U9:U17" si="1">H9</f>
        <v>0</v>
      </c>
      <c r="V9" s="1569" t="s">
        <v>8</v>
      </c>
      <c r="W9" s="1570">
        <f t="shared" ref="W9:W17" si="2">J9</f>
        <v>0</v>
      </c>
      <c r="X9" s="1571"/>
      <c r="Y9" s="3411" t="s">
        <v>530</v>
      </c>
      <c r="Z9" s="3412"/>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1" t="s">
        <v>533</v>
      </c>
      <c r="Q10" s="3412"/>
      <c r="R10" s="1569" t="s">
        <v>8</v>
      </c>
      <c r="S10" s="1570">
        <f t="shared" si="0"/>
        <v>0</v>
      </c>
      <c r="T10" s="1569" t="s">
        <v>8</v>
      </c>
      <c r="U10" s="1570">
        <f t="shared" si="1"/>
        <v>0</v>
      </c>
      <c r="V10" s="1569" t="s">
        <v>8</v>
      </c>
      <c r="W10" s="1570">
        <f t="shared" si="2"/>
        <v>0</v>
      </c>
      <c r="X10" s="1571"/>
      <c r="Y10" s="3411" t="s">
        <v>533</v>
      </c>
      <c r="Z10" s="3412"/>
      <c r="AA10" s="1572" t="e">
        <f t="shared" ref="AA10:AA42" si="3">D10/F10</f>
        <v>#DIV/0!</v>
      </c>
      <c r="AB10" s="1572" t="e">
        <f t="shared" ref="AB10:AB42" si="4">D10/H10</f>
        <v>#DIV/0!</v>
      </c>
      <c r="AC10" s="1572" t="e">
        <f t="shared" ref="AC10:AC42" si="5">D10/J10</f>
        <v>#DIV/0!</v>
      </c>
    </row>
    <row r="11" spans="1:29" s="1220" customFormat="1" ht="15">
      <c r="A11" s="2940"/>
      <c r="B11" s="2947"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19" t="s">
        <v>535</v>
      </c>
      <c r="Q11" s="1151" t="str">
        <f t="shared" ref="Q11:Q17" si="6">B11</f>
        <v>用途</v>
      </c>
      <c r="R11" s="1569" t="s">
        <v>8</v>
      </c>
      <c r="S11" s="1570">
        <f t="shared" si="0"/>
        <v>100</v>
      </c>
      <c r="T11" s="1569" t="s">
        <v>8</v>
      </c>
      <c r="U11" s="1570">
        <f t="shared" si="1"/>
        <v>100</v>
      </c>
      <c r="V11" s="1569" t="s">
        <v>8</v>
      </c>
      <c r="W11" s="1570">
        <f t="shared" si="2"/>
        <v>100</v>
      </c>
      <c r="X11" s="1571"/>
      <c r="Y11" s="3376" t="s">
        <v>536</v>
      </c>
      <c r="Z11" s="1150" t="str">
        <f t="shared" ref="Z11:Z17" si="7">Q11</f>
        <v>用途</v>
      </c>
      <c r="AA11" s="1572">
        <f t="shared" si="3"/>
        <v>1</v>
      </c>
      <c r="AB11" s="1572">
        <f t="shared" si="4"/>
        <v>1</v>
      </c>
      <c r="AC11" s="1572">
        <f t="shared" si="5"/>
        <v>1</v>
      </c>
    </row>
    <row r="12" spans="1:29" s="1338" customFormat="1" ht="27">
      <c r="A12" s="2941"/>
      <c r="B12" s="2946" t="s">
        <v>2757</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419"/>
      <c r="Q12" s="1151" t="str">
        <f t="shared" si="6"/>
        <v>土地使用年限（年）</v>
      </c>
      <c r="R12" s="1569" t="s">
        <v>8</v>
      </c>
      <c r="S12" s="1570">
        <f t="shared" si="0"/>
        <v>101</v>
      </c>
      <c r="T12" s="1569" t="s">
        <v>8</v>
      </c>
      <c r="U12" s="1570">
        <f t="shared" si="1"/>
        <v>101</v>
      </c>
      <c r="V12" s="1569" t="s">
        <v>8</v>
      </c>
      <c r="W12" s="1570">
        <f t="shared" si="2"/>
        <v>101</v>
      </c>
      <c r="X12" s="1571"/>
      <c r="Y12" s="3376"/>
      <c r="Z12" s="1150" t="str">
        <f t="shared" si="7"/>
        <v>土地使用年限（年）</v>
      </c>
      <c r="AA12" s="1572">
        <f t="shared" si="3"/>
        <v>0.99009900990099009</v>
      </c>
      <c r="AB12" s="1572">
        <f t="shared" si="4"/>
        <v>0.99009900990099009</v>
      </c>
      <c r="AC12" s="1572">
        <f t="shared" si="5"/>
        <v>0.99009900990099009</v>
      </c>
    </row>
    <row r="13" spans="1:29" ht="15">
      <c r="A13" s="2942"/>
      <c r="B13" s="294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19"/>
      <c r="Q13" s="1151" t="str">
        <f t="shared" si="6"/>
        <v>容积率</v>
      </c>
      <c r="R13" s="1569" t="s">
        <v>8</v>
      </c>
      <c r="S13" s="1570" t="e">
        <f t="shared" si="0"/>
        <v>#N/A</v>
      </c>
      <c r="T13" s="1569" t="s">
        <v>8</v>
      </c>
      <c r="U13" s="1570" t="e">
        <f t="shared" si="1"/>
        <v>#N/A</v>
      </c>
      <c r="V13" s="1569" t="s">
        <v>8</v>
      </c>
      <c r="W13" s="1570" t="e">
        <f t="shared" si="2"/>
        <v>#N/A</v>
      </c>
      <c r="X13" s="1571"/>
      <c r="Y13" s="3376"/>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19"/>
      <c r="Q14" s="1151">
        <f t="shared" si="6"/>
        <v>111</v>
      </c>
      <c r="R14" s="1569" t="s">
        <v>8</v>
      </c>
      <c r="S14" s="1570">
        <f t="shared" si="0"/>
        <v>100</v>
      </c>
      <c r="T14" s="1569" t="s">
        <v>8</v>
      </c>
      <c r="U14" s="1570">
        <f t="shared" si="1"/>
        <v>100</v>
      </c>
      <c r="V14" s="1569" t="s">
        <v>8</v>
      </c>
      <c r="W14" s="1570">
        <f t="shared" si="2"/>
        <v>100</v>
      </c>
      <c r="X14" s="1571"/>
      <c r="Y14" s="3376"/>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19"/>
      <c r="Q15" s="1151">
        <f t="shared" si="6"/>
        <v>111</v>
      </c>
      <c r="R15" s="1569" t="s">
        <v>8</v>
      </c>
      <c r="S15" s="1570">
        <f t="shared" si="0"/>
        <v>100</v>
      </c>
      <c r="T15" s="1569" t="s">
        <v>8</v>
      </c>
      <c r="U15" s="1570">
        <f t="shared" si="1"/>
        <v>100</v>
      </c>
      <c r="V15" s="1569" t="s">
        <v>8</v>
      </c>
      <c r="W15" s="1570">
        <f t="shared" si="2"/>
        <v>100</v>
      </c>
      <c r="X15" s="1571"/>
      <c r="Y15" s="3376"/>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19"/>
      <c r="Q16" s="1151">
        <f t="shared" si="6"/>
        <v>111</v>
      </c>
      <c r="R16" s="1569" t="s">
        <v>8</v>
      </c>
      <c r="S16" s="1570">
        <f t="shared" si="0"/>
        <v>100</v>
      </c>
      <c r="T16" s="1569" t="s">
        <v>8</v>
      </c>
      <c r="U16" s="1570">
        <f t="shared" si="1"/>
        <v>100</v>
      </c>
      <c r="V16" s="1569" t="s">
        <v>8</v>
      </c>
      <c r="W16" s="1570">
        <f t="shared" si="2"/>
        <v>100</v>
      </c>
      <c r="X16" s="1571"/>
      <c r="Y16" s="3376"/>
      <c r="Z16" s="1150">
        <f t="shared" si="7"/>
        <v>111</v>
      </c>
      <c r="AA16" s="1572">
        <f t="shared" si="3"/>
        <v>1</v>
      </c>
      <c r="AB16" s="1572">
        <f t="shared" si="4"/>
        <v>1</v>
      </c>
      <c r="AC16" s="1572">
        <f t="shared" si="5"/>
        <v>1</v>
      </c>
    </row>
    <row r="17" spans="1:29" ht="57">
      <c r="A17" s="293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1" t="s">
        <v>540</v>
      </c>
      <c r="Q17" s="1573" t="str">
        <f t="shared" si="6"/>
        <v>产业集聚程度</v>
      </c>
      <c r="R17" s="1574" t="s">
        <v>8</v>
      </c>
      <c r="S17" s="1575">
        <f t="shared" si="0"/>
        <v>100</v>
      </c>
      <c r="T17" s="1574" t="s">
        <v>8</v>
      </c>
      <c r="U17" s="1575">
        <f t="shared" si="1"/>
        <v>100</v>
      </c>
      <c r="V17" s="1574" t="s">
        <v>8</v>
      </c>
      <c r="W17" s="1575">
        <f t="shared" si="2"/>
        <v>100</v>
      </c>
      <c r="X17" s="1568"/>
      <c r="Y17" s="342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2"/>
      <c r="Q18" s="1573"/>
      <c r="R18" s="1574"/>
      <c r="S18" s="1575"/>
      <c r="T18" s="1574"/>
      <c r="U18" s="1575"/>
      <c r="V18" s="1574"/>
      <c r="W18" s="1575"/>
      <c r="X18" s="1568"/>
      <c r="Y18" s="342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2"/>
      <c r="Q19" s="1573" t="str">
        <f>B19</f>
        <v>交通便捷度</v>
      </c>
      <c r="R19" s="1574" t="s">
        <v>8</v>
      </c>
      <c r="S19" s="1575">
        <f>F19</f>
        <v>100</v>
      </c>
      <c r="T19" s="1574" t="s">
        <v>8</v>
      </c>
      <c r="U19" s="1575">
        <f>H19</f>
        <v>100</v>
      </c>
      <c r="V19" s="1574" t="s">
        <v>8</v>
      </c>
      <c r="W19" s="1575">
        <f>J19</f>
        <v>100</v>
      </c>
      <c r="X19" s="1568"/>
      <c r="Y19" s="342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2"/>
      <c r="Q20" s="1573"/>
      <c r="R20" s="1574"/>
      <c r="S20" s="1575"/>
      <c r="T20" s="1574"/>
      <c r="U20" s="1575"/>
      <c r="V20" s="1574"/>
      <c r="W20" s="1575"/>
      <c r="X20" s="1568"/>
      <c r="Y20" s="342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2"/>
      <c r="Q21" s="1573" t="str">
        <f t="shared" ref="Q21:Q35" si="8">B21</f>
        <v>区域土地利用方向</v>
      </c>
      <c r="R21" s="1574" t="s">
        <v>8</v>
      </c>
      <c r="S21" s="1575">
        <f>F21</f>
        <v>100</v>
      </c>
      <c r="T21" s="1574" t="s">
        <v>8</v>
      </c>
      <c r="U21" s="1575">
        <f>H21</f>
        <v>100</v>
      </c>
      <c r="V21" s="1574" t="s">
        <v>8</v>
      </c>
      <c r="W21" s="1575">
        <f>J21</f>
        <v>100</v>
      </c>
      <c r="X21" s="1568"/>
      <c r="Y21" s="342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2"/>
      <c r="Q22" s="1573"/>
      <c r="R22" s="1574"/>
      <c r="S22" s="1575"/>
      <c r="T22" s="1574"/>
      <c r="U22" s="1575"/>
      <c r="V22" s="1574"/>
      <c r="W22" s="1575"/>
      <c r="X22" s="1568"/>
      <c r="Y22" s="342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2"/>
      <c r="Q23" s="1573" t="str">
        <f t="shared" si="8"/>
        <v>环境状况</v>
      </c>
      <c r="R23" s="1574" t="s">
        <v>8</v>
      </c>
      <c r="S23" s="1575">
        <f>F23</f>
        <v>100</v>
      </c>
      <c r="T23" s="1574" t="s">
        <v>8</v>
      </c>
      <c r="U23" s="1575">
        <f>H23</f>
        <v>100</v>
      </c>
      <c r="V23" s="1574" t="s">
        <v>8</v>
      </c>
      <c r="W23" s="1575">
        <f>J23</f>
        <v>100</v>
      </c>
      <c r="X23" s="1568"/>
      <c r="Y23" s="342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2"/>
      <c r="Q24" s="1573"/>
      <c r="R24" s="1574"/>
      <c r="S24" s="1575"/>
      <c r="T24" s="1574"/>
      <c r="U24" s="1575"/>
      <c r="V24" s="1574"/>
      <c r="W24" s="1575"/>
      <c r="X24" s="1568"/>
      <c r="Y24" s="3422"/>
      <c r="Z24" s="1576"/>
      <c r="AA24" s="1577">
        <v>1</v>
      </c>
      <c r="AB24" s="1577">
        <v>1</v>
      </c>
      <c r="AC24" s="1577">
        <v>1</v>
      </c>
    </row>
    <row r="25" spans="1:29" s="1220" customFormat="1" ht="42.75">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2"/>
      <c r="Q25" s="1151" t="str">
        <f t="shared" si="8"/>
        <v>公共配套设施</v>
      </c>
      <c r="R25" s="1569" t="s">
        <v>8</v>
      </c>
      <c r="S25" s="1570">
        <f>F25</f>
        <v>100</v>
      </c>
      <c r="T25" s="1569" t="s">
        <v>8</v>
      </c>
      <c r="U25" s="1570">
        <f>H25</f>
        <v>100</v>
      </c>
      <c r="V25" s="1569" t="s">
        <v>8</v>
      </c>
      <c r="W25" s="1570">
        <f>J25</f>
        <v>100</v>
      </c>
      <c r="X25" s="1571"/>
      <c r="Y25" s="3422"/>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22"/>
      <c r="Q26" s="1151"/>
      <c r="R26" s="1569"/>
      <c r="S26" s="1570"/>
      <c r="T26" s="1569"/>
      <c r="U26" s="1570"/>
      <c r="V26" s="1569"/>
      <c r="W26" s="1570"/>
      <c r="X26" s="1571"/>
      <c r="Y26" s="3422"/>
      <c r="Z26" s="1150"/>
      <c r="AA26" s="1572">
        <v>1</v>
      </c>
      <c r="AB26" s="1572">
        <v>1</v>
      </c>
      <c r="AC26" s="1572">
        <v>1</v>
      </c>
    </row>
    <row r="27" spans="1:29" s="1220" customFormat="1" ht="28.5">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2"/>
      <c r="Q27" s="2604" t="str">
        <f t="shared" ref="Q27" si="9">B27</f>
        <v>基础设施水平</v>
      </c>
      <c r="R27" s="1569" t="s">
        <v>8</v>
      </c>
      <c r="S27" s="1570">
        <f>F27</f>
        <v>100</v>
      </c>
      <c r="T27" s="1569" t="s">
        <v>8</v>
      </c>
      <c r="U27" s="1570">
        <f>H27</f>
        <v>100</v>
      </c>
      <c r="V27" s="1569" t="s">
        <v>8</v>
      </c>
      <c r="W27" s="1570">
        <f>J27</f>
        <v>100</v>
      </c>
      <c r="X27" s="1571"/>
      <c r="Y27" s="3422"/>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22"/>
      <c r="Q28" s="2604"/>
      <c r="R28" s="1569"/>
      <c r="S28" s="1570"/>
      <c r="T28" s="1569"/>
      <c r="U28" s="1570"/>
      <c r="V28" s="1569"/>
      <c r="W28" s="1570"/>
      <c r="X28" s="1571"/>
      <c r="Y28" s="3422"/>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2"/>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2"/>
      <c r="Q30" s="1573" t="str">
        <f t="shared" si="8"/>
        <v>毗邻道路的类型与等级</v>
      </c>
      <c r="R30" s="1574" t="s">
        <v>8</v>
      </c>
      <c r="S30" s="1575">
        <f t="shared" si="10"/>
        <v>100</v>
      </c>
      <c r="T30" s="1574" t="s">
        <v>8</v>
      </c>
      <c r="U30" s="1575">
        <f t="shared" si="11"/>
        <v>100</v>
      </c>
      <c r="V30" s="1574" t="s">
        <v>8</v>
      </c>
      <c r="W30" s="1575">
        <f t="shared" si="12"/>
        <v>100</v>
      </c>
      <c r="X30" s="1568"/>
      <c r="Y30" s="342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2"/>
      <c r="Q31" s="1573"/>
      <c r="R31" s="1574"/>
      <c r="S31" s="1575"/>
      <c r="T31" s="1574"/>
      <c r="U31" s="1575"/>
      <c r="V31" s="1574"/>
      <c r="W31" s="1575"/>
      <c r="X31" s="1568"/>
      <c r="Y31" s="3422"/>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2"/>
      <c r="Q32" s="1573" t="str">
        <f t="shared" si="8"/>
        <v>土地级别</v>
      </c>
      <c r="R32" s="1574" t="s">
        <v>8</v>
      </c>
      <c r="S32" s="1575">
        <f t="shared" si="10"/>
        <v>100</v>
      </c>
      <c r="T32" s="1574" t="s">
        <v>8</v>
      </c>
      <c r="U32" s="1575">
        <f t="shared" si="11"/>
        <v>100</v>
      </c>
      <c r="V32" s="1574" t="s">
        <v>8</v>
      </c>
      <c r="W32" s="1575">
        <f t="shared" si="12"/>
        <v>100</v>
      </c>
      <c r="X32" s="1568"/>
      <c r="Y32" s="342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2"/>
      <c r="Q33" s="1573">
        <f t="shared" si="8"/>
        <v>111</v>
      </c>
      <c r="R33" s="1574" t="s">
        <v>8</v>
      </c>
      <c r="S33" s="1575">
        <f t="shared" si="10"/>
        <v>100</v>
      </c>
      <c r="T33" s="1574" t="s">
        <v>8</v>
      </c>
      <c r="U33" s="1575">
        <f t="shared" si="11"/>
        <v>100</v>
      </c>
      <c r="V33" s="1574" t="s">
        <v>8</v>
      </c>
      <c r="W33" s="1575">
        <f t="shared" si="12"/>
        <v>100</v>
      </c>
      <c r="X33" s="1568"/>
      <c r="Y33" s="342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3" t="s">
        <v>550</v>
      </c>
      <c r="Q34" s="1573">
        <f t="shared" si="8"/>
        <v>111</v>
      </c>
      <c r="R34" s="1574" t="s">
        <v>8</v>
      </c>
      <c r="S34" s="1575">
        <f t="shared" si="10"/>
        <v>100</v>
      </c>
      <c r="T34" s="1574" t="s">
        <v>8</v>
      </c>
      <c r="U34" s="1575">
        <f t="shared" si="11"/>
        <v>100</v>
      </c>
      <c r="V34" s="1574" t="s">
        <v>8</v>
      </c>
      <c r="W34" s="1575">
        <f t="shared" si="12"/>
        <v>100</v>
      </c>
      <c r="X34" s="1568"/>
      <c r="Y34" s="3424"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4"/>
      <c r="Q35" s="1573">
        <f t="shared" si="8"/>
        <v>111</v>
      </c>
      <c r="R35" s="1578" t="s">
        <v>8</v>
      </c>
      <c r="S35" s="1579">
        <f t="shared" si="10"/>
        <v>100</v>
      </c>
      <c r="T35" s="1578" t="s">
        <v>8</v>
      </c>
      <c r="U35" s="1579">
        <f t="shared" si="11"/>
        <v>100</v>
      </c>
      <c r="V35" s="1578" t="s">
        <v>8</v>
      </c>
      <c r="W35" s="1579">
        <f t="shared" si="12"/>
        <v>100</v>
      </c>
      <c r="X35" s="1580"/>
      <c r="Y35" s="3424"/>
      <c r="Z35" s="1581">
        <f t="shared" si="13"/>
        <v>111</v>
      </c>
      <c r="AA35" s="1577">
        <f t="shared" si="3"/>
        <v>1</v>
      </c>
      <c r="AB35" s="1577">
        <f t="shared" si="4"/>
        <v>1</v>
      </c>
      <c r="AC35" s="1577">
        <f t="shared" si="5"/>
        <v>1</v>
      </c>
    </row>
    <row r="36" spans="1:29" ht="15">
      <c r="A36" s="293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4"/>
      <c r="Q36" s="1573" t="str">
        <f>B36</f>
        <v>宗地面积</v>
      </c>
      <c r="R36" s="1574" t="s">
        <v>8</v>
      </c>
      <c r="S36" s="1575" t="e">
        <f t="shared" si="10"/>
        <v>#N/A</v>
      </c>
      <c r="T36" s="1574" t="s">
        <v>8</v>
      </c>
      <c r="U36" s="1575" t="e">
        <f t="shared" si="11"/>
        <v>#N/A</v>
      </c>
      <c r="V36" s="1574" t="s">
        <v>8</v>
      </c>
      <c r="W36" s="1575" t="e">
        <f t="shared" si="12"/>
        <v>#N/A</v>
      </c>
      <c r="X36" s="1568"/>
      <c r="Y36" s="342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4"/>
      <c r="Q37" s="1573" t="str">
        <f t="shared" ref="Q37:Q42" si="14">B37</f>
        <v>宗地形状</v>
      </c>
      <c r="R37" s="1574" t="s">
        <v>8</v>
      </c>
      <c r="S37" s="1575">
        <f t="shared" si="10"/>
        <v>100</v>
      </c>
      <c r="T37" s="1574" t="s">
        <v>8</v>
      </c>
      <c r="U37" s="1575">
        <f t="shared" si="11"/>
        <v>100</v>
      </c>
      <c r="V37" s="1574" t="s">
        <v>8</v>
      </c>
      <c r="W37" s="1575">
        <f t="shared" si="12"/>
        <v>100</v>
      </c>
      <c r="X37" s="1568"/>
      <c r="Y37" s="3424"/>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4"/>
      <c r="Q38" s="1573" t="str">
        <f t="shared" si="14"/>
        <v>宗地开发程度</v>
      </c>
      <c r="R38" s="1569" t="s">
        <v>8</v>
      </c>
      <c r="S38" s="1570">
        <f t="shared" si="10"/>
        <v>100</v>
      </c>
      <c r="T38" s="1569" t="s">
        <v>8</v>
      </c>
      <c r="U38" s="1570">
        <f t="shared" si="11"/>
        <v>100</v>
      </c>
      <c r="V38" s="1569" t="s">
        <v>8</v>
      </c>
      <c r="W38" s="1570">
        <f t="shared" si="12"/>
        <v>100</v>
      </c>
      <c r="X38" s="1571"/>
      <c r="Y38" s="342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4" t="s">
        <v>601</v>
      </c>
      <c r="Q39" s="1573" t="str">
        <f t="shared" si="14"/>
        <v>工程地质条件</v>
      </c>
      <c r="R39" s="1574" t="s">
        <v>8</v>
      </c>
      <c r="S39" s="1575">
        <f t="shared" si="10"/>
        <v>100</v>
      </c>
      <c r="T39" s="1574" t="s">
        <v>8</v>
      </c>
      <c r="U39" s="1575">
        <f t="shared" si="11"/>
        <v>100</v>
      </c>
      <c r="V39" s="1574" t="s">
        <v>8</v>
      </c>
      <c r="W39" s="1575">
        <f t="shared" si="12"/>
        <v>100</v>
      </c>
      <c r="X39" s="1568"/>
      <c r="Y39" s="342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4"/>
      <c r="Q40" s="1573">
        <f t="shared" si="14"/>
        <v>111</v>
      </c>
      <c r="R40" s="1574" t="s">
        <v>8</v>
      </c>
      <c r="S40" s="1575">
        <f t="shared" si="10"/>
        <v>100</v>
      </c>
      <c r="T40" s="1574" t="s">
        <v>8</v>
      </c>
      <c r="U40" s="1575">
        <f t="shared" si="11"/>
        <v>100</v>
      </c>
      <c r="V40" s="1574" t="s">
        <v>8</v>
      </c>
      <c r="W40" s="1575">
        <f t="shared" si="12"/>
        <v>100</v>
      </c>
      <c r="X40" s="1568"/>
      <c r="Y40" s="342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4"/>
      <c r="Q41" s="1573">
        <f t="shared" si="14"/>
        <v>111</v>
      </c>
      <c r="R41" s="1574" t="s">
        <v>8</v>
      </c>
      <c r="S41" s="1575">
        <f t="shared" si="10"/>
        <v>100</v>
      </c>
      <c r="T41" s="1574" t="s">
        <v>8</v>
      </c>
      <c r="U41" s="1575">
        <f t="shared" si="11"/>
        <v>100</v>
      </c>
      <c r="V41" s="1574" t="s">
        <v>8</v>
      </c>
      <c r="W41" s="1575">
        <f t="shared" si="12"/>
        <v>100</v>
      </c>
      <c r="X41" s="1568"/>
      <c r="Y41" s="342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4"/>
      <c r="Q42" s="1573">
        <f t="shared" si="14"/>
        <v>111</v>
      </c>
      <c r="R42" s="1578" t="s">
        <v>8</v>
      </c>
      <c r="S42" s="1579">
        <f t="shared" si="10"/>
        <v>100</v>
      </c>
      <c r="T42" s="1578" t="s">
        <v>8</v>
      </c>
      <c r="U42" s="1579">
        <f t="shared" si="11"/>
        <v>100</v>
      </c>
      <c r="V42" s="1578" t="s">
        <v>8</v>
      </c>
      <c r="W42" s="1579">
        <f t="shared" si="12"/>
        <v>100</v>
      </c>
      <c r="X42" s="1580"/>
      <c r="Y42" s="3424"/>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6"/>
      <c r="M43" s="2136"/>
      <c r="N43" s="2136"/>
      <c r="O43" s="2147"/>
      <c r="P43" s="3419" t="str">
        <f>A43</f>
        <v>成交单价</v>
      </c>
      <c r="Q43" s="3419"/>
      <c r="R43" s="3433">
        <f>E43</f>
        <v>0</v>
      </c>
      <c r="S43" s="3433"/>
      <c r="T43" s="3433">
        <f>G43</f>
        <v>0</v>
      </c>
      <c r="U43" s="3433"/>
      <c r="V43" s="3433">
        <f>I43</f>
        <v>0</v>
      </c>
      <c r="W43" s="3433"/>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419" t="str">
        <f>A44</f>
        <v>比较价格（元/平方米）</v>
      </c>
      <c r="Q44" s="3419"/>
      <c r="R44" s="3443" t="e">
        <f>ROUND(PRODUCT(R43,AA9:AA42),0)</f>
        <v>#DIV/0!</v>
      </c>
      <c r="S44" s="3443"/>
      <c r="T44" s="3443" t="e">
        <f>ROUND(PRODUCT(T43,AB9:AB42),0)</f>
        <v>#DIV/0!</v>
      </c>
      <c r="U44" s="3443"/>
      <c r="V44" s="3443" t="e">
        <f>ROUND(PRODUCT(V43,AC9:AC42),0)</f>
        <v>#DIV/0!</v>
      </c>
      <c r="W44" s="3443"/>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440" t="str">
        <f>A45</f>
        <v>估价对象XX用房的比较价格（楼面单价，元/平方米）</v>
      </c>
      <c r="Q45" s="3441"/>
      <c r="R45" s="3442" t="e">
        <f>ROUND(AVERAGE(R44:V44),0)</f>
        <v>#DIV/0!</v>
      </c>
      <c r="S45" s="3442"/>
      <c r="T45" s="3442"/>
      <c r="U45" s="3442"/>
      <c r="V45" s="3442"/>
      <c r="W45" s="344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1722</v>
      </c>
      <c r="D52" s="2229" t="s">
        <v>2292</v>
      </c>
      <c r="E52" s="631" t="s">
        <v>562</v>
      </c>
      <c r="F52" s="1953" t="s">
        <v>563</v>
      </c>
      <c r="G52" s="3444" t="s">
        <v>2283</v>
      </c>
      <c r="H52" s="3445"/>
      <c r="I52" s="1954" t="s">
        <v>1945</v>
      </c>
      <c r="J52" s="1556" t="str">
        <f>项目基本情况!F41</f>
        <v>上海市</v>
      </c>
      <c r="K52" s="2156" t="s">
        <v>1721</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65551.88</v>
      </c>
      <c r="F53" s="1952" t="e">
        <f t="shared" ref="F53:F62" si="15">ROUND(B53*E53/10000,0)</f>
        <v>#DIV/0!</v>
      </c>
      <c r="G53" s="3446"/>
      <c r="H53" s="344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48"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4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4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4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2327</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19590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2293</v>
      </c>
      <c r="E63" s="643">
        <f>IF(B43="楼面地价",SUM(E53:E62),'数据-汇总表'!D3)</f>
        <v>19651.2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2533</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2649</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2426</v>
      </c>
      <c r="D1" s="1522">
        <f>SUM(D29:D30,D33:D39)</f>
        <v>0</v>
      </c>
      <c r="E1" s="1407" t="s">
        <v>2427</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2" t="s">
        <v>2762</v>
      </c>
      <c r="S1" s="2962" t="s">
        <v>2763</v>
      </c>
      <c r="T1" s="2962" t="s">
        <v>2784</v>
      </c>
      <c r="U1" s="2962" t="s">
        <v>2785</v>
      </c>
      <c r="V1" s="2962" t="s">
        <v>2786</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1685</v>
      </c>
      <c r="B3" s="1038" t="e">
        <f>ROUND(B2*10000/D1,0)</f>
        <v>#DIV/0!</v>
      </c>
      <c r="C3" s="1408" t="s">
        <v>927</v>
      </c>
      <c r="D3" s="1409" t="s">
        <v>928</v>
      </c>
      <c r="E3" s="1413"/>
      <c r="F3" s="1414" t="s">
        <v>2934</v>
      </c>
      <c r="G3" s="1039">
        <f>IF(F3="宗地容积率",'数据-汇总表'!I4,IF(F3="估价对象容积率",'数据-汇总表'!I6,'数据-汇总表'!I7))</f>
        <v>3.36</v>
      </c>
      <c r="H3" s="1415" t="s">
        <v>929</v>
      </c>
      <c r="I3" s="1040">
        <v>8</v>
      </c>
      <c r="J3" s="1411" t="s">
        <v>930</v>
      </c>
      <c r="K3" s="1402"/>
      <c r="L3" s="1887" t="s">
        <v>2239</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2279</v>
      </c>
      <c r="B4" s="2479" t="e">
        <f>ROUND(B2*10000/F1,0)</f>
        <v>#DIV/0!</v>
      </c>
      <c r="C4" s="1896" t="s">
        <v>2253</v>
      </c>
      <c r="D4" s="1896" t="e">
        <f>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1821</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7" t="s">
        <v>2241</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1868</v>
      </c>
      <c r="B6" s="1423" t="s">
        <v>931</v>
      </c>
      <c r="C6" s="1042">
        <f>SUMIF(L1:L12,基准地价!G2,M1:M12)</f>
        <v>0</v>
      </c>
      <c r="D6" s="1424" t="s">
        <v>1693</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56" t="str">
        <f>IF(E2="商业",IF(C8="不临58条商业街","",2),"")</f>
        <v/>
      </c>
      <c r="B7" s="1428" t="s">
        <v>932</v>
      </c>
      <c r="C7" s="1043" t="e">
        <f>IF(C8="不临58条商业街",1,ROUND(1+(1.6*E8+1.2*E9+0.8*E10+0.4*E11)*C9,4))</f>
        <v>#DIV/0!</v>
      </c>
      <c r="D7" s="1429" t="s">
        <v>933</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2765</v>
      </c>
      <c r="X7" s="2953">
        <f>G2</f>
        <v>0</v>
      </c>
      <c r="Y7" s="2953" t="s">
        <v>2766</v>
      </c>
      <c r="Z7" s="2954">
        <f>G3</f>
        <v>3.36</v>
      </c>
      <c r="AA7" s="2194"/>
      <c r="AB7" s="2194"/>
      <c r="AC7" s="2195"/>
      <c r="AD7" s="2955"/>
      <c r="AE7" s="2955"/>
      <c r="AF7" s="2955"/>
      <c r="AG7" s="2955"/>
      <c r="AH7" s="2955"/>
      <c r="AI7" s="2955"/>
      <c r="AJ7" s="2956"/>
    </row>
    <row r="8" spans="1:39" ht="15">
      <c r="A8" s="3457"/>
      <c r="B8" s="1415" t="s">
        <v>934</v>
      </c>
      <c r="C8" s="1530"/>
      <c r="D8" s="1045" t="s">
        <v>935</v>
      </c>
      <c r="E8" s="1046" t="e">
        <f>ROUND(C11/E7,4)</f>
        <v>#DIV/0!</v>
      </c>
      <c r="F8" s="1433" t="s">
        <v>936</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66" t="s">
        <v>2783</v>
      </c>
      <c r="X8" s="3467"/>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57"/>
      <c r="B9" s="1415" t="s">
        <v>937</v>
      </c>
      <c r="C9" s="1047">
        <f>SUMIF(修正!C59:C119,C8,修正!E59:E119)</f>
        <v>0</v>
      </c>
      <c r="D9" s="1048" t="s">
        <v>938</v>
      </c>
      <c r="E9" s="1048" t="e">
        <f>ROUND(C11/E7,4)</f>
        <v>#DIV/0!</v>
      </c>
      <c r="F9" s="1433" t="s">
        <v>939</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65" t="s">
        <v>2779</v>
      </c>
      <c r="X9" s="2957" t="s">
        <v>2780</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57"/>
      <c r="B10" s="1415" t="s">
        <v>940</v>
      </c>
      <c r="C10" s="1048">
        <f>SUMIF(修正!C59:C119,C8,修正!F59:F119)</f>
        <v>0</v>
      </c>
      <c r="D10" s="1048" t="s">
        <v>941</v>
      </c>
      <c r="E10" s="1048" t="e">
        <f>ROUND(C11/E7,4)</f>
        <v>#DIV/0!</v>
      </c>
      <c r="F10" s="1433" t="s">
        <v>942</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6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57"/>
      <c r="B11" s="1436" t="s">
        <v>943</v>
      </c>
      <c r="C11" s="1049">
        <f>C10/4</f>
        <v>0</v>
      </c>
      <c r="D11" s="1049" t="s">
        <v>944</v>
      </c>
      <c r="E11" s="1049" t="e">
        <f>ROUND(C11/E7,4)</f>
        <v>#DIV/0!</v>
      </c>
      <c r="F11" s="1437" t="s">
        <v>945</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65" t="s">
        <v>2781</v>
      </c>
      <c r="X11" s="1048" t="s">
        <v>2766</v>
      </c>
      <c r="Y11" s="1654">
        <f>$G$3</f>
        <v>3.36</v>
      </c>
      <c r="Z11" s="1654">
        <f t="shared" ref="Z11:AJ11" si="3">$G$3</f>
        <v>3.36</v>
      </c>
      <c r="AA11" s="1654">
        <f t="shared" si="3"/>
        <v>3.36</v>
      </c>
      <c r="AB11" s="1654">
        <f t="shared" si="3"/>
        <v>3.36</v>
      </c>
      <c r="AC11" s="1654">
        <f t="shared" si="3"/>
        <v>3.36</v>
      </c>
      <c r="AD11" s="1654">
        <f t="shared" si="3"/>
        <v>3.36</v>
      </c>
      <c r="AE11" s="1654">
        <f t="shared" si="3"/>
        <v>3.36</v>
      </c>
      <c r="AF11" s="1654">
        <f t="shared" si="3"/>
        <v>3.36</v>
      </c>
      <c r="AG11" s="1654">
        <f t="shared" si="3"/>
        <v>3.36</v>
      </c>
      <c r="AH11" s="1654">
        <f t="shared" si="3"/>
        <v>3.36</v>
      </c>
      <c r="AI11" s="1654">
        <f t="shared" si="3"/>
        <v>3.36</v>
      </c>
      <c r="AJ11" s="1654">
        <f t="shared" si="3"/>
        <v>3.36</v>
      </c>
    </row>
    <row r="12" spans="1:39" ht="25.5" thickBot="1">
      <c r="A12" s="3456" t="s">
        <v>1869</v>
      </c>
      <c r="B12" s="1440" t="s">
        <v>946</v>
      </c>
      <c r="C12" s="1043">
        <f>ROUND(C15*D15*E15*F15*G15*H15*I15*J15,4)</f>
        <v>1</v>
      </c>
      <c r="D12" s="1441" t="s">
        <v>947</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65"/>
      <c r="X12" s="2960" t="s">
        <v>2782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58"/>
      <c r="B13" s="1445" t="s">
        <v>1694</v>
      </c>
      <c r="C13" s="1446" t="s">
        <v>1695</v>
      </c>
      <c r="D13" s="1089" t="s">
        <v>1696</v>
      </c>
      <c r="E13" s="1089" t="s">
        <v>1697</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65"/>
      <c r="X13" s="2960"/>
      <c r="Y13" s="2959">
        <f>(-0.163*(Y12^2)-0.59*Y12+7617)*(10^(-4))/Y11</f>
        <v>0.2266964285714286</v>
      </c>
      <c r="Z13" s="2959">
        <f t="shared" ref="Z13:AJ13" si="5">(-0.163*(Z12^2)-0.59*Z12+7617)*(10^(-4))/Z11</f>
        <v>0.2266964285714286</v>
      </c>
      <c r="AA13" s="2959">
        <f t="shared" si="5"/>
        <v>0.2266964285714286</v>
      </c>
      <c r="AB13" s="2959">
        <f t="shared" si="5"/>
        <v>0.2266964285714286</v>
      </c>
      <c r="AC13" s="2959">
        <f t="shared" si="5"/>
        <v>0.2266964285714286</v>
      </c>
      <c r="AD13" s="2959">
        <f t="shared" si="5"/>
        <v>0.2266964285714286</v>
      </c>
      <c r="AE13" s="2959">
        <f t="shared" si="5"/>
        <v>0.2266964285714286</v>
      </c>
      <c r="AF13" s="2959">
        <f t="shared" si="5"/>
        <v>0.2266964285714286</v>
      </c>
      <c r="AG13" s="2959">
        <f t="shared" si="5"/>
        <v>0.2266964285714286</v>
      </c>
      <c r="AH13" s="2959">
        <f t="shared" si="5"/>
        <v>0.2266964285714286</v>
      </c>
      <c r="AI13" s="2959">
        <f t="shared" si="5"/>
        <v>0.2266964285714286</v>
      </c>
      <c r="AJ13" s="2959">
        <f t="shared" si="5"/>
        <v>0.2266964285714286</v>
      </c>
    </row>
    <row r="14" spans="1:39" ht="12.75" customHeight="1" thickBot="1">
      <c r="A14" s="3458"/>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59"/>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56" t="s">
        <v>1836</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5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1827</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1833</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43248</v>
      </c>
      <c r="H19" s="1476" t="s">
        <v>2935</v>
      </c>
      <c r="I19" s="2810" t="str">
        <f>IF(H19="季度增幅（自定义）",SUMIF(N21:N24,E2,O21:O24),"")</f>
        <v/>
      </c>
      <c r="J19" s="1472"/>
      <c r="K19" s="1482"/>
      <c r="L19" s="3064" t="s">
        <v>2841</v>
      </c>
      <c r="M19" s="3065">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1834</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6" t="s">
        <v>2842</v>
      </c>
      <c r="M20" s="3067">
        <f>ROUND(SUMPRODUCT((地价!A4:A22=YEAR(G19)&amp;"-"&amp;ROUNDUP(MONTH(G19)/3,0))*(地价!B2:F2=E2)*(地价!B4:F22)),0)</f>
        <v>0</v>
      </c>
      <c r="N20" s="2815" t="s">
        <v>2645</v>
      </c>
      <c r="O20" s="2813" t="s">
        <v>2644</v>
      </c>
      <c r="P20" s="2814" t="s">
        <v>2650</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1835</v>
      </c>
      <c r="B21" s="1481" t="s">
        <v>2761</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1868</v>
      </c>
      <c r="B22" s="1484" t="s">
        <v>977</v>
      </c>
      <c r="C22" s="1060" t="s">
        <v>1700</v>
      </c>
      <c r="D22" s="1060">
        <f>IF(E22=G22,F22,IF(G3&lt;=10,ROUND(F22+(H22-F22)*(G3-E22)/(G22-E22),4),"——"))</f>
        <v>0</v>
      </c>
      <c r="E22" s="1039">
        <f>ROUNDDOWN(G3,1)</f>
        <v>3.3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1869</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1870</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1871</v>
      </c>
      <c r="B25" s="1487" t="s">
        <v>983</v>
      </c>
      <c r="C25" s="1488"/>
      <c r="D25" s="1431"/>
      <c r="E25" s="1431"/>
      <c r="F25" s="1489"/>
      <c r="G25" s="1431"/>
      <c r="H25" s="1431"/>
      <c r="I25" s="1431"/>
      <c r="J25" s="1432"/>
      <c r="K25" s="1402"/>
      <c r="L25" s="2197"/>
      <c r="M25" s="2197"/>
      <c r="N25" s="2823" t="s">
        <v>2648</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1699</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62"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63"/>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63"/>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64"/>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1701</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1703</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1702</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2249</v>
      </c>
      <c r="G46" s="2457" t="s">
        <v>1015</v>
      </c>
      <c r="H46" s="2440" t="s">
        <v>2418</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60">
      <c r="A47" s="1067" t="s">
        <v>1021</v>
      </c>
      <c r="B47" s="2437" t="str">
        <f>估价对象房地状况!C16</f>
        <v>估价对象周边商业氛围较成熟，人流量较大，有嘉杰国际广场、壹丰广场等多个商业项目，商业繁华度较好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72">
      <c r="A48" s="1067" t="s">
        <v>1022</v>
      </c>
      <c r="B48" s="2434" t="str">
        <f>估价对象房地状况!C18</f>
        <v>估价对象周边道路状况较好、公共交通通达情况较好、停车便捷程度一般，有65、302、502等多路公交及地铁3、4、8号经过综合评价交通便捷度好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1"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t="str">
        <f>估价对象房地状况!C24</f>
        <v>快速路-南北高架路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0"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估价对象所在区域公共配套设施齐备情况好</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thickBot="1">
      <c r="A55" s="2467" t="s">
        <v>1029</v>
      </c>
      <c r="B55" s="2438" t="str">
        <f>估价对象房地状况!C20</f>
        <v>区域自然环境：四川北路公园、交通公园；人文环境：上海城建职业学院、上海铁路博物馆；综合评价环境状况较好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2250</v>
      </c>
      <c r="G57" s="2457" t="s">
        <v>1015</v>
      </c>
      <c r="H57" s="2440" t="s">
        <v>2418</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72">
      <c r="A59" s="1067" t="s">
        <v>1022</v>
      </c>
      <c r="B59" s="2434" t="str">
        <f>估价对象房地状况!C18</f>
        <v>估价对象周边道路状况较好、公共交通通达情况较好、停车便捷程度一般，有65、302、502等多路公交及地铁3、4、8号经过综合评价交通便捷度好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1"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t="str">
        <f>估价对象房地状况!C24</f>
        <v>快速路-南北高架路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0"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估价对象所在区域公共配套设施齐备情况好</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67" t="s">
        <v>1029</v>
      </c>
      <c r="B66" s="2439" t="str">
        <f>估价对象房地状况!C20</f>
        <v>区域自然环境：四川北路公园、交通公园；人文环境：上海城建职业学院、上海铁路博物馆；综合评价环境状况较好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2251</v>
      </c>
      <c r="G68" s="2457" t="s">
        <v>1015</v>
      </c>
      <c r="H68" s="2440" t="s">
        <v>2418</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4">
      <c r="A69" s="1067" t="s">
        <v>1033</v>
      </c>
      <c r="B69" s="2437" t="str">
        <f>估价对象房地状况!C15</f>
        <v>估价对象周边居住用地比例高、居住小区规模较大，社区发展完善程度较好，有万科翡翠雅宾利、绿洲雅宾利花园等多个项目，综合评价居住社区成熟度较好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72">
      <c r="A70" s="1067" t="s">
        <v>1034</v>
      </c>
      <c r="B70" s="2434" t="str">
        <f>估价对象房地状况!C18</f>
        <v>估价对象周边道路状况较好、公共交通通达情况较好、停车便捷程度一般，有65、302、502等多路公交及地铁3、4、8号经过综合评价交通便捷度好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t="str">
        <f>估价对象房地状况!C24</f>
        <v>快速路-南北高架路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估价对象所在区域公共配套设施齐备情况好</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0" t="s">
        <v>2936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c r="A76" s="1067" t="s">
        <v>1029</v>
      </c>
      <c r="B76" s="2437" t="str">
        <f>估价对象房地状况!C20</f>
        <v>区域自然环境：四川北路公园、交通公园；人文环境：上海城建职业学院、上海铁路博物馆；综合评价环境状况较好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2252</v>
      </c>
      <c r="G79" s="2457" t="s">
        <v>1015</v>
      </c>
      <c r="H79" s="2440" t="s">
        <v>2418</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0"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60" t="s">
        <v>1634</v>
      </c>
      <c r="B90" s="3460"/>
      <c r="C90" s="3460"/>
      <c r="D90" s="3460"/>
      <c r="E90" s="3460"/>
      <c r="F90" s="3460"/>
      <c r="G90" s="3460"/>
      <c r="H90" s="3460"/>
      <c r="I90" s="3460"/>
      <c r="J90" s="3460"/>
      <c r="K90" s="2476"/>
      <c r="L90" s="2476"/>
      <c r="M90" s="2476"/>
      <c r="N90" s="2476"/>
    </row>
    <row r="91" spans="1:40">
      <c r="A91" s="3461" t="s">
        <v>1444</v>
      </c>
      <c r="B91" s="3461" t="s">
        <v>1635</v>
      </c>
      <c r="C91" s="1140" t="s">
        <v>1636</v>
      </c>
      <c r="D91" s="1141"/>
      <c r="E91" s="1141"/>
      <c r="F91" s="1141"/>
      <c r="G91" s="1141"/>
      <c r="H91" s="1141"/>
      <c r="I91" s="1141"/>
      <c r="J91" s="1142"/>
      <c r="K91" s="1134"/>
      <c r="L91" s="1134"/>
      <c r="M91" s="1134"/>
      <c r="N91" s="1134"/>
    </row>
    <row r="92" spans="1:40">
      <c r="A92" s="3461"/>
      <c r="B92" s="3461"/>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68"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8" t="s">
        <v>1638</v>
      </c>
      <c r="B101" s="1147" t="s">
        <v>906</v>
      </c>
      <c r="C101" s="1148">
        <f>$G$3</f>
        <v>3.36</v>
      </c>
      <c r="D101" s="1148">
        <f t="shared" ref="D101:N101" si="31">$G$3</f>
        <v>3.36</v>
      </c>
      <c r="E101" s="1148">
        <f t="shared" si="31"/>
        <v>3.36</v>
      </c>
      <c r="F101" s="1148">
        <f t="shared" si="31"/>
        <v>3.36</v>
      </c>
      <c r="G101" s="1148">
        <f t="shared" si="31"/>
        <v>3.36</v>
      </c>
      <c r="H101" s="1148">
        <f t="shared" si="31"/>
        <v>3.36</v>
      </c>
      <c r="I101" s="1148">
        <f t="shared" si="31"/>
        <v>3.36</v>
      </c>
      <c r="J101" s="1148">
        <f t="shared" si="31"/>
        <v>3.36</v>
      </c>
      <c r="K101" s="1148">
        <f t="shared" si="31"/>
        <v>3.36</v>
      </c>
      <c r="L101" s="1148">
        <f t="shared" si="31"/>
        <v>3.36</v>
      </c>
      <c r="M101" s="1148">
        <f t="shared" si="31"/>
        <v>3.36</v>
      </c>
      <c r="N101" s="1148">
        <f t="shared" si="31"/>
        <v>3.36</v>
      </c>
    </row>
    <row r="102" spans="1:14">
      <c r="A102" s="3469"/>
      <c r="B102" s="1143">
        <v>1</v>
      </c>
      <c r="C102" s="1144">
        <f>1.9362/C101</f>
        <v>0.57625000000000004</v>
      </c>
      <c r="D102" s="1144">
        <f>1.9362/D101</f>
        <v>0.57625000000000004</v>
      </c>
      <c r="E102" s="1144">
        <f>1.8629/E101</f>
        <v>0.55443452380952385</v>
      </c>
      <c r="F102" s="1144">
        <f>1.8629/F101</f>
        <v>0.55443452380952385</v>
      </c>
      <c r="G102" s="1144">
        <f>1.8629/G101</f>
        <v>0.55443452380952385</v>
      </c>
      <c r="H102" s="1144">
        <f>1.8629/H101</f>
        <v>0.55443452380952385</v>
      </c>
      <c r="I102" s="1144">
        <f>1.8629/I101</f>
        <v>0.55443452380952385</v>
      </c>
      <c r="J102" s="1144">
        <f>1.942/J101</f>
        <v>0.57797619047619053</v>
      </c>
      <c r="K102" s="1144">
        <f>1.942/K101</f>
        <v>0.57797619047619053</v>
      </c>
      <c r="L102" s="1144">
        <f>1.942/L101</f>
        <v>0.57797619047619053</v>
      </c>
      <c r="M102" s="1144">
        <f>1.942/M101</f>
        <v>0.57797619047619053</v>
      </c>
      <c r="N102" s="1144">
        <f>1.942/N101</f>
        <v>0.57797619047619053</v>
      </c>
    </row>
    <row r="103" spans="1:14">
      <c r="A103" s="3469"/>
      <c r="B103" s="1143">
        <v>2</v>
      </c>
      <c r="C103" s="1144">
        <f>1.4198/C101</f>
        <v>0.42255952380952383</v>
      </c>
      <c r="D103" s="1144">
        <f>1.4198/D101</f>
        <v>0.42255952380952383</v>
      </c>
      <c r="E103" s="1144">
        <f>1.3372/E101</f>
        <v>0.39797619047619048</v>
      </c>
      <c r="F103" s="1144">
        <f>1.3372/F101</f>
        <v>0.39797619047619048</v>
      </c>
      <c r="G103" s="1144">
        <f>1.3372/G101</f>
        <v>0.39797619047619048</v>
      </c>
      <c r="H103" s="1144">
        <f>1.3372/H101</f>
        <v>0.39797619047619048</v>
      </c>
      <c r="I103" s="1144">
        <f>1.3372/I101</f>
        <v>0.39797619047619048</v>
      </c>
      <c r="J103" s="1144">
        <f>1.2799/J101</f>
        <v>0.38092261904761909</v>
      </c>
      <c r="K103" s="1144">
        <f>1.2799/K101</f>
        <v>0.38092261904761909</v>
      </c>
      <c r="L103" s="1144">
        <f>1.2799/L101</f>
        <v>0.38092261904761909</v>
      </c>
      <c r="M103" s="1144">
        <f>1.2799/M101</f>
        <v>0.38092261904761909</v>
      </c>
      <c r="N103" s="1144">
        <f>1.2799/N101</f>
        <v>0.38092261904761909</v>
      </c>
    </row>
    <row r="104" spans="1:14">
      <c r="A104" s="3469"/>
      <c r="B104" s="1143">
        <v>3</v>
      </c>
      <c r="C104" s="1144">
        <f>1.1594/C101</f>
        <v>0.34505952380952382</v>
      </c>
      <c r="D104" s="1144">
        <f>1.1594/D101</f>
        <v>0.34505952380952382</v>
      </c>
      <c r="E104" s="1144">
        <f>1.0788/E101</f>
        <v>0.32107142857142856</v>
      </c>
      <c r="F104" s="1144">
        <f>1.0788/F101</f>
        <v>0.32107142857142856</v>
      </c>
      <c r="G104" s="1144">
        <f>1.0788/G101</f>
        <v>0.32107142857142856</v>
      </c>
      <c r="H104" s="1144">
        <f>1.0788/H101</f>
        <v>0.32107142857142856</v>
      </c>
      <c r="I104" s="1144">
        <f>1.0788/I101</f>
        <v>0.32107142857142856</v>
      </c>
      <c r="J104" s="1144">
        <f>1.0072/J101</f>
        <v>0.29976190476190478</v>
      </c>
      <c r="K104" s="1144">
        <f>1.0072/K101</f>
        <v>0.29976190476190478</v>
      </c>
      <c r="L104" s="1144">
        <f>1.0072/L101</f>
        <v>0.29976190476190478</v>
      </c>
      <c r="M104" s="1144">
        <f>1.0072/M101</f>
        <v>0.29976190476190478</v>
      </c>
      <c r="N104" s="1144">
        <f>1.0072/N101</f>
        <v>0.29976190476190478</v>
      </c>
    </row>
    <row r="105" spans="1:14">
      <c r="A105" s="3469"/>
      <c r="B105" s="1143">
        <v>4</v>
      </c>
      <c r="C105" s="1144">
        <f>0.9622/C101</f>
        <v>0.28636904761904763</v>
      </c>
      <c r="D105" s="1144">
        <f>0.9622/D101</f>
        <v>0.28636904761904763</v>
      </c>
      <c r="E105" s="1144">
        <f>0.8656/E101</f>
        <v>0.25761904761904764</v>
      </c>
      <c r="F105" s="1144">
        <f>0.8656/F101</f>
        <v>0.25761904761904764</v>
      </c>
      <c r="G105" s="1144">
        <f>0.8656/G101</f>
        <v>0.25761904761904764</v>
      </c>
      <c r="H105" s="1144">
        <f>0.8656/H101</f>
        <v>0.25761904761904764</v>
      </c>
      <c r="I105" s="1144">
        <f>0.8656/I101</f>
        <v>0.25761904761904764</v>
      </c>
      <c r="J105" s="1144">
        <f>0.7525/J101</f>
        <v>0.22395833333333331</v>
      </c>
      <c r="K105" s="1144">
        <f>0.7525/K101</f>
        <v>0.22395833333333331</v>
      </c>
      <c r="L105" s="1144">
        <f>0.7525/L101</f>
        <v>0.22395833333333331</v>
      </c>
      <c r="M105" s="1144">
        <f>0.7525/M101</f>
        <v>0.22395833333333331</v>
      </c>
      <c r="N105" s="1144">
        <f>0.7525/N101</f>
        <v>0.22395833333333331</v>
      </c>
    </row>
    <row r="106" spans="1:14">
      <c r="A106" s="3469"/>
      <c r="B106" s="1143">
        <v>5</v>
      </c>
      <c r="C106" s="1144">
        <f>0.8417/C101</f>
        <v>0.25050595238095241</v>
      </c>
      <c r="D106" s="1144">
        <f>0.8417/D101</f>
        <v>0.25050595238095241</v>
      </c>
      <c r="E106" s="1144">
        <f>0.7371/E101</f>
        <v>0.21937500000000001</v>
      </c>
      <c r="F106" s="1144">
        <f>0.7371/F101</f>
        <v>0.21937500000000001</v>
      </c>
      <c r="G106" s="1144">
        <f>0.7371/G101</f>
        <v>0.21937500000000001</v>
      </c>
      <c r="H106" s="1144">
        <f>0.7371/H101</f>
        <v>0.21937500000000001</v>
      </c>
      <c r="I106" s="1144">
        <f>0.7371/I101</f>
        <v>0.21937500000000001</v>
      </c>
      <c r="J106" s="1144">
        <f>0.5659/J101</f>
        <v>0.16842261904761904</v>
      </c>
      <c r="K106" s="1144">
        <f>0.5659/K101</f>
        <v>0.16842261904761904</v>
      </c>
      <c r="L106" s="1144">
        <f>0.5659/L101</f>
        <v>0.16842261904761904</v>
      </c>
      <c r="M106" s="1144">
        <f>0.5659/M101</f>
        <v>0.16842261904761904</v>
      </c>
      <c r="N106" s="1144">
        <f>0.5659/N101</f>
        <v>0.16842261904761904</v>
      </c>
    </row>
    <row r="107" spans="1:14">
      <c r="A107" s="3469"/>
      <c r="B107" s="1143">
        <v>6</v>
      </c>
      <c r="C107" s="1144">
        <f>0.7608/C101</f>
        <v>0.22642857142857145</v>
      </c>
      <c r="D107" s="1144">
        <f>0.7608/D101</f>
        <v>0.22642857142857145</v>
      </c>
      <c r="E107" s="1144">
        <f>0.6482/E101</f>
        <v>0.19291666666666668</v>
      </c>
      <c r="F107" s="1144">
        <f>0.6482/F101</f>
        <v>0.19291666666666668</v>
      </c>
      <c r="G107" s="1144">
        <f>0.6482/G101</f>
        <v>0.19291666666666668</v>
      </c>
      <c r="H107" s="1144">
        <f>0.6482/H101</f>
        <v>0.19291666666666668</v>
      </c>
      <c r="I107" s="1144">
        <f>0.6482/I101</f>
        <v>0.19291666666666668</v>
      </c>
      <c r="J107" s="1144">
        <f>0.4525/J101</f>
        <v>0.13467261904761907</v>
      </c>
      <c r="K107" s="1144">
        <f>0.4525/K101</f>
        <v>0.13467261904761907</v>
      </c>
      <c r="L107" s="1144">
        <f>0.4525/L101</f>
        <v>0.13467261904761907</v>
      </c>
      <c r="M107" s="1144">
        <f>0.4525/M101</f>
        <v>0.13467261904761907</v>
      </c>
      <c r="N107" s="1144">
        <f>0.4525/N101</f>
        <v>0.13467261904761907</v>
      </c>
    </row>
    <row r="108" spans="1:14">
      <c r="A108" s="3469"/>
      <c r="B108" s="347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0"/>
      <c r="B109" s="3472"/>
      <c r="C109" s="1146">
        <f>(-0.163*(C108^2)-0.59*C108+7617)*(10^(-4))/C101</f>
        <v>0.22624547619047619</v>
      </c>
      <c r="D109" s="1146">
        <f>(-0.163*(D108^2)-0.59*D108+7617)*(10^(-4))/D101</f>
        <v>0.22624547619047619</v>
      </c>
      <c r="E109" s="1146">
        <f>(-0.161*(E108^2)-7.509*E108+6533)*(10^(-4))/E101</f>
        <v>0.19234000000000001</v>
      </c>
      <c r="F109" s="1146">
        <f>(-0.161*(F108^2)-7.509*F108+6533)*(10^(-4))/F101</f>
        <v>0.19234000000000001</v>
      </c>
      <c r="G109" s="1146">
        <f>(-0.161*(G108^2)-7.509*G108+6533)*(10^(-4))/G101</f>
        <v>0.19234000000000001</v>
      </c>
      <c r="H109" s="1146">
        <f>(-0.161*(H108^2)-7.509*H108+6533)*(10^(-4))/H101</f>
        <v>0.19234000000000001</v>
      </c>
      <c r="I109" s="1146">
        <f>(-0.161*(I108^2)-7.509*I108+6533)*(10^(-4))/I101</f>
        <v>0.19234000000000001</v>
      </c>
      <c r="J109" s="1146">
        <f>(-0.214*(J108^2)-21.991*J108+4665)*(10^(-4))/J101</f>
        <v>0.13319571428571431</v>
      </c>
      <c r="K109" s="1146">
        <f>(-0.214*(K108^2)-21.991*K108+4665)*(10^(-4))/K101</f>
        <v>0.13319571428571431</v>
      </c>
      <c r="L109" s="1146">
        <f>(-0.214*(L108^2)-21.991*L108+4665)*(10^(-4))/L101</f>
        <v>0.13319571428571431</v>
      </c>
      <c r="M109" s="1146">
        <f>(-0.214*(M108^2)-21.991*M108+4665)*(10^(-4))/M101</f>
        <v>0.13319571428571431</v>
      </c>
      <c r="N109" s="1146">
        <f>(-0.214*(N108^2)-21.991*N108+4665)*(10^(-4))/N101</f>
        <v>0.13319571428571431</v>
      </c>
    </row>
    <row r="110" spans="1:14">
      <c r="A110" s="3455" t="s">
        <v>1640</v>
      </c>
      <c r="B110" s="3455"/>
      <c r="C110" s="3455"/>
      <c r="D110" s="3455"/>
      <c r="E110" s="3455"/>
      <c r="F110" s="3455"/>
      <c r="G110" s="3455"/>
      <c r="H110" s="3455"/>
      <c r="I110" s="3455"/>
      <c r="J110" s="3455"/>
      <c r="K110" s="2474"/>
      <c r="L110" s="2474"/>
      <c r="M110" s="2474"/>
      <c r="N110" s="2474"/>
    </row>
    <row r="112" spans="1:14" ht="12.75" thickBot="1"/>
    <row r="113" spans="1:13" ht="25.5" thickBot="1">
      <c r="A113" s="1016" t="s">
        <v>896</v>
      </c>
      <c r="B113" s="2477">
        <f>G3</f>
        <v>3.36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0.90190000000000003</v>
      </c>
      <c r="C115" s="1030">
        <f>B115</f>
        <v>0.90190000000000003</v>
      </c>
      <c r="D115" s="1030">
        <f>ROUND(0.8331-0.0109*B113,4)</f>
        <v>0.79649999999999999</v>
      </c>
      <c r="E115" s="1030">
        <f>D115</f>
        <v>0.79649999999999999</v>
      </c>
      <c r="F115" s="1030">
        <f>E115</f>
        <v>0.79649999999999999</v>
      </c>
      <c r="G115" s="1030">
        <f>F115</f>
        <v>0.79649999999999999</v>
      </c>
      <c r="H115" s="1030">
        <f>G115</f>
        <v>0.79649999999999999</v>
      </c>
      <c r="I115" s="1030">
        <f>ROUND(0.689-0.0155*B113,4)</f>
        <v>0.63690000000000002</v>
      </c>
      <c r="J115" s="1030">
        <f t="shared" ref="J115:M118" si="33">I115</f>
        <v>0.63690000000000002</v>
      </c>
      <c r="K115" s="1030">
        <f t="shared" si="33"/>
        <v>0.63690000000000002</v>
      </c>
      <c r="L115" s="1030">
        <f t="shared" si="33"/>
        <v>0.63690000000000002</v>
      </c>
      <c r="M115" s="1031">
        <f t="shared" si="33"/>
        <v>0.63690000000000002</v>
      </c>
    </row>
    <row r="116" spans="1:13" ht="12.75">
      <c r="A116" s="1029" t="s">
        <v>901</v>
      </c>
      <c r="B116" s="1030">
        <f>ROUND(0.949-0.012*B113,4)</f>
        <v>0.90869999999999995</v>
      </c>
      <c r="C116" s="1030">
        <f>B116</f>
        <v>0.90869999999999995</v>
      </c>
      <c r="D116" s="1030">
        <f>ROUND(0.8567-0.013*B113,4)</f>
        <v>0.81299999999999994</v>
      </c>
      <c r="E116" s="1030">
        <f t="shared" ref="E116:H117" si="34">D116</f>
        <v>0.81299999999999994</v>
      </c>
      <c r="F116" s="1030">
        <f t="shared" si="34"/>
        <v>0.81299999999999994</v>
      </c>
      <c r="G116" s="1030">
        <f t="shared" si="34"/>
        <v>0.81299999999999994</v>
      </c>
      <c r="H116" s="1030">
        <f t="shared" si="34"/>
        <v>0.81299999999999994</v>
      </c>
      <c r="I116" s="1030">
        <f>ROUND(0.7694-0.014*B113,4)</f>
        <v>0.72240000000000004</v>
      </c>
      <c r="J116" s="1030">
        <f t="shared" si="33"/>
        <v>0.72240000000000004</v>
      </c>
      <c r="K116" s="1030">
        <f t="shared" si="33"/>
        <v>0.72240000000000004</v>
      </c>
      <c r="L116" s="1030">
        <f t="shared" si="33"/>
        <v>0.72240000000000004</v>
      </c>
      <c r="M116" s="1031">
        <f t="shared" si="33"/>
        <v>0.72240000000000004</v>
      </c>
    </row>
    <row r="117" spans="1:13" ht="12.75">
      <c r="A117" s="1032" t="s">
        <v>902</v>
      </c>
      <c r="B117" s="1030">
        <f>ROUND(0.8808-0.006*B113,4)</f>
        <v>0.86060000000000003</v>
      </c>
      <c r="C117" s="1030">
        <f>B117</f>
        <v>0.86060000000000003</v>
      </c>
      <c r="D117" s="1030">
        <f>ROUND(0.8748-0.008*B113,4)</f>
        <v>0.84789999999999999</v>
      </c>
      <c r="E117" s="1030">
        <f t="shared" si="34"/>
        <v>0.84789999999999999</v>
      </c>
      <c r="F117" s="1030">
        <f t="shared" si="34"/>
        <v>0.84789999999999999</v>
      </c>
      <c r="G117" s="1030">
        <f t="shared" si="34"/>
        <v>0.84789999999999999</v>
      </c>
      <c r="H117" s="1030">
        <f t="shared" si="34"/>
        <v>0.84789999999999999</v>
      </c>
      <c r="I117" s="1030">
        <f>ROUND(0.7412-0.0095*B113,4)</f>
        <v>0.70930000000000004</v>
      </c>
      <c r="J117" s="1030">
        <f t="shared" si="33"/>
        <v>0.70930000000000004</v>
      </c>
      <c r="K117" s="1030">
        <f t="shared" si="33"/>
        <v>0.70930000000000004</v>
      </c>
      <c r="L117" s="1030">
        <f t="shared" si="33"/>
        <v>0.70930000000000004</v>
      </c>
      <c r="M117" s="1031">
        <f t="shared" si="33"/>
        <v>0.70930000000000004</v>
      </c>
    </row>
    <row r="118" spans="1:13" ht="13.5" thickBot="1">
      <c r="A118" s="1033" t="s">
        <v>903</v>
      </c>
      <c r="B118" s="1034">
        <f>ROUND(0.7275-0.01*B113,4)</f>
        <v>0.69389999999999996</v>
      </c>
      <c r="C118" s="1034">
        <f>B118</f>
        <v>0.69389999999999996</v>
      </c>
      <c r="D118" s="1034">
        <f>ROUND(0.7043-0.012*B113,4)</f>
        <v>0.66400000000000003</v>
      </c>
      <c r="E118" s="1034">
        <f>D118</f>
        <v>0.66400000000000003</v>
      </c>
      <c r="F118" s="1034">
        <f>E118</f>
        <v>0.66400000000000003</v>
      </c>
      <c r="G118" s="1034">
        <f>ROUND(0.6299-0.0122*B113,4)</f>
        <v>0.58889999999999998</v>
      </c>
      <c r="H118" s="1034">
        <f>G118</f>
        <v>0.58889999999999998</v>
      </c>
      <c r="I118" s="1034">
        <f>ROUND(0.5667-0.0136*B113,4)</f>
        <v>0.52100000000000002</v>
      </c>
      <c r="J118" s="1034">
        <f t="shared" si="33"/>
        <v>0.52100000000000002</v>
      </c>
      <c r="K118" s="1034">
        <f t="shared" si="33"/>
        <v>0.52100000000000002</v>
      </c>
      <c r="L118" s="1034">
        <f t="shared" si="33"/>
        <v>0.52100000000000002</v>
      </c>
      <c r="M118" s="1035">
        <f t="shared" si="33"/>
        <v>0.52100000000000002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1" t="s">
        <v>1008</v>
      </c>
      <c r="B18" s="1154" t="s">
        <v>1447</v>
      </c>
      <c r="C18" s="1131" t="s">
        <v>1448</v>
      </c>
      <c r="D18" s="1132"/>
      <c r="E18" s="1154">
        <v>1</v>
      </c>
      <c r="F18" s="1133" t="s">
        <v>1449</v>
      </c>
      <c r="G18" s="1134"/>
      <c r="H18" s="1105"/>
      <c r="I18" s="1105"/>
    </row>
    <row r="19" spans="1:9" s="1600" customFormat="1" ht="19.5" customHeight="1">
      <c r="A19" s="3461"/>
      <c r="B19" s="3461" t="s">
        <v>1450</v>
      </c>
      <c r="C19" s="1131" t="s">
        <v>1451</v>
      </c>
      <c r="D19" s="1132"/>
      <c r="E19" s="1154">
        <v>0.9</v>
      </c>
      <c r="F19" s="1133" t="s">
        <v>1452</v>
      </c>
      <c r="G19" s="1134"/>
      <c r="H19" s="1105"/>
      <c r="I19" s="1105"/>
    </row>
    <row r="20" spans="1:9" s="1600" customFormat="1" ht="19.5" customHeight="1">
      <c r="A20" s="3461"/>
      <c r="B20" s="3461"/>
      <c r="C20" s="1131" t="s">
        <v>1453</v>
      </c>
      <c r="D20" s="1132"/>
      <c r="E20" s="1154">
        <v>1.1000000000000001</v>
      </c>
      <c r="F20" s="1133" t="s">
        <v>1454</v>
      </c>
      <c r="G20" s="1134"/>
      <c r="H20" s="1105"/>
      <c r="I20" s="1105"/>
    </row>
    <row r="21" spans="1:9" s="1600" customFormat="1" ht="19.5" customHeight="1">
      <c r="A21" s="3461"/>
      <c r="B21" s="3461"/>
      <c r="C21" s="1131" t="s">
        <v>1455</v>
      </c>
      <c r="D21" s="1132"/>
      <c r="E21" s="1154">
        <v>0.8</v>
      </c>
      <c r="F21" s="1133" t="s">
        <v>1456</v>
      </c>
      <c r="G21" s="1134"/>
      <c r="H21" s="1105"/>
      <c r="I21" s="1105"/>
    </row>
    <row r="22" spans="1:9" s="1600" customFormat="1" ht="19.5" customHeight="1">
      <c r="A22" s="3461"/>
      <c r="B22" s="3461"/>
      <c r="C22" s="1131" t="s">
        <v>1457</v>
      </c>
      <c r="D22" s="1132"/>
      <c r="E22" s="1154">
        <v>0.5</v>
      </c>
      <c r="F22" s="1133"/>
      <c r="G22" s="1134"/>
      <c r="H22" s="1105"/>
      <c r="I22" s="1105"/>
    </row>
    <row r="23" spans="1:9" s="1600" customFormat="1" ht="19.5" customHeight="1">
      <c r="A23" s="3461" t="s">
        <v>1030</v>
      </c>
      <c r="B23" s="1154" t="s">
        <v>1447</v>
      </c>
      <c r="C23" s="1131" t="s">
        <v>1458</v>
      </c>
      <c r="D23" s="1132"/>
      <c r="E23" s="1154">
        <v>1</v>
      </c>
      <c r="F23" s="1133" t="s">
        <v>1459</v>
      </c>
      <c r="G23" s="1134"/>
      <c r="H23" s="1105"/>
      <c r="I23" s="1105"/>
    </row>
    <row r="24" spans="1:9" s="1600" customFormat="1" ht="19.5" customHeight="1">
      <c r="A24" s="3461"/>
      <c r="B24" s="3461" t="s">
        <v>1450</v>
      </c>
      <c r="C24" s="1131" t="s">
        <v>1460</v>
      </c>
      <c r="D24" s="1132"/>
      <c r="E24" s="1154">
        <v>0.5</v>
      </c>
      <c r="F24" s="1133"/>
      <c r="G24" s="1134"/>
      <c r="H24" s="1105"/>
      <c r="I24" s="1105"/>
    </row>
    <row r="25" spans="1:9" s="1600" customFormat="1" ht="19.5" customHeight="1">
      <c r="A25" s="3461"/>
      <c r="B25" s="3461"/>
      <c r="C25" s="1131" t="s">
        <v>1461</v>
      </c>
      <c r="D25" s="1132"/>
      <c r="E25" s="1154">
        <v>1.1000000000000001</v>
      </c>
      <c r="F25" s="1133"/>
      <c r="G25" s="1134"/>
      <c r="H25" s="1105"/>
      <c r="I25" s="1105"/>
    </row>
    <row r="26" spans="1:9" s="1600" customFormat="1" ht="19.5" customHeight="1">
      <c r="A26" s="3461"/>
      <c r="B26" s="3461"/>
      <c r="C26" s="1131" t="s">
        <v>1462</v>
      </c>
      <c r="D26" s="1132"/>
      <c r="E26" s="1154">
        <v>1.1000000000000001</v>
      </c>
      <c r="F26" s="1133"/>
      <c r="G26" s="1134"/>
      <c r="H26" s="1105"/>
      <c r="I26" s="1105"/>
    </row>
    <row r="27" spans="1:9" s="1600" customFormat="1" ht="19.5" customHeight="1">
      <c r="A27" s="3461"/>
      <c r="B27" s="3461"/>
      <c r="C27" s="1131" t="s">
        <v>1463</v>
      </c>
      <c r="D27" s="1132"/>
      <c r="E27" s="1154">
        <v>0.9</v>
      </c>
      <c r="F27" s="1133" t="s">
        <v>1464</v>
      </c>
      <c r="G27" s="1134"/>
      <c r="H27" s="1105"/>
      <c r="I27" s="1105"/>
    </row>
    <row r="28" spans="1:9" s="1600" customFormat="1" ht="19.5" customHeight="1">
      <c r="A28" s="3461"/>
      <c r="B28" s="3461"/>
      <c r="C28" s="1131" t="s">
        <v>1465</v>
      </c>
      <c r="D28" s="1132"/>
      <c r="E28" s="1154">
        <v>0.9</v>
      </c>
      <c r="F28" s="1133" t="s">
        <v>1466</v>
      </c>
      <c r="G28" s="1134"/>
      <c r="H28" s="1105"/>
      <c r="I28" s="1105"/>
    </row>
    <row r="29" spans="1:9" s="1600" customFormat="1" ht="19.5" customHeight="1">
      <c r="A29" s="3461"/>
      <c r="B29" s="3461"/>
      <c r="C29" s="1131" t="s">
        <v>1467</v>
      </c>
      <c r="D29" s="1132"/>
      <c r="E29" s="1154">
        <v>0.9</v>
      </c>
      <c r="F29" s="1133" t="s">
        <v>1468</v>
      </c>
      <c r="G29" s="1134"/>
      <c r="H29" s="1105"/>
      <c r="I29" s="1105"/>
    </row>
    <row r="30" spans="1:9" s="1600" customFormat="1" ht="19.5" customHeight="1">
      <c r="A30" s="3461"/>
      <c r="B30" s="3461"/>
      <c r="C30" s="1131" t="s">
        <v>1469</v>
      </c>
      <c r="D30" s="1132"/>
      <c r="E30" s="1154">
        <v>0.9</v>
      </c>
      <c r="F30" s="1133" t="s">
        <v>1470</v>
      </c>
      <c r="G30" s="1134"/>
      <c r="H30" s="1105"/>
      <c r="I30" s="1105"/>
    </row>
    <row r="31" spans="1:9" s="1600" customFormat="1" ht="19.5" customHeight="1">
      <c r="A31" s="3461"/>
      <c r="B31" s="3461"/>
      <c r="C31" s="1131" t="s">
        <v>1471</v>
      </c>
      <c r="D31" s="1132"/>
      <c r="E31" s="1154">
        <v>0.8</v>
      </c>
      <c r="F31" s="1133" t="s">
        <v>1472</v>
      </c>
      <c r="G31" s="1134"/>
      <c r="H31" s="1105"/>
      <c r="I31" s="1105"/>
    </row>
    <row r="32" spans="1:9" s="1600" customFormat="1" ht="19.5" customHeight="1">
      <c r="A32" s="3461"/>
      <c r="B32" s="3461"/>
      <c r="C32" s="1131" t="s">
        <v>1473</v>
      </c>
      <c r="D32" s="1132"/>
      <c r="E32" s="1154">
        <v>0.8</v>
      </c>
      <c r="F32" s="1133" t="s">
        <v>1474</v>
      </c>
      <c r="G32" s="1134"/>
      <c r="H32" s="1105"/>
      <c r="I32" s="1105"/>
    </row>
    <row r="33" spans="1:9" s="1600" customFormat="1" ht="19.5" customHeight="1">
      <c r="A33" s="3461" t="s">
        <v>1475</v>
      </c>
      <c r="B33" s="1154" t="s">
        <v>1447</v>
      </c>
      <c r="C33" s="1131" t="s">
        <v>1476</v>
      </c>
      <c r="D33" s="1132"/>
      <c r="E33" s="1154">
        <v>1</v>
      </c>
      <c r="F33" s="1133" t="s">
        <v>1477</v>
      </c>
      <c r="G33" s="1134"/>
      <c r="H33" s="1105"/>
      <c r="I33" s="1105"/>
    </row>
    <row r="34" spans="1:9" s="1600" customFormat="1" ht="19.5" customHeight="1">
      <c r="A34" s="3461"/>
      <c r="B34" s="1154" t="s">
        <v>1450</v>
      </c>
      <c r="C34" s="1131" t="s">
        <v>1478</v>
      </c>
      <c r="D34" s="1132"/>
      <c r="E34" s="1154">
        <v>1.5</v>
      </c>
      <c r="F34" s="1133" t="s">
        <v>1479</v>
      </c>
      <c r="G34" s="1134"/>
      <c r="H34" s="1105"/>
      <c r="I34" s="1105"/>
    </row>
    <row r="35" spans="1:9" s="1600" customFormat="1" ht="19.5" customHeight="1">
      <c r="A35" s="3461" t="s">
        <v>1433</v>
      </c>
      <c r="B35" s="1154" t="s">
        <v>1447</v>
      </c>
      <c r="C35" s="1131" t="s">
        <v>1480</v>
      </c>
      <c r="D35" s="1132"/>
      <c r="E35" s="1154">
        <v>1</v>
      </c>
      <c r="F35" s="1133" t="s">
        <v>1481</v>
      </c>
      <c r="G35" s="1134"/>
      <c r="H35" s="1105"/>
      <c r="I35" s="1105"/>
    </row>
    <row r="36" spans="1:9" s="1600" customFormat="1" ht="19.5" customHeight="1">
      <c r="A36" s="3461"/>
      <c r="B36" s="3461" t="s">
        <v>1450</v>
      </c>
      <c r="C36" s="1131" t="s">
        <v>1482</v>
      </c>
      <c r="D36" s="1132"/>
      <c r="E36" s="1154">
        <v>1</v>
      </c>
      <c r="F36" s="1133" t="s">
        <v>1483</v>
      </c>
      <c r="G36" s="1134"/>
      <c r="H36" s="1105"/>
      <c r="I36" s="1105"/>
    </row>
    <row r="37" spans="1:9" s="1600" customFormat="1" ht="19.5" customHeight="1">
      <c r="A37" s="3461"/>
      <c r="B37" s="3461"/>
      <c r="C37" s="1131" t="s">
        <v>1484</v>
      </c>
      <c r="D37" s="1132"/>
      <c r="E37" s="1154">
        <v>1.5</v>
      </c>
      <c r="F37" s="1133" t="s">
        <v>1485</v>
      </c>
      <c r="G37" s="1134"/>
      <c r="H37" s="1105"/>
      <c r="I37" s="1105"/>
    </row>
    <row r="38" spans="1:9" s="1600" customFormat="1" ht="19.5" customHeight="1">
      <c r="A38" s="3461"/>
      <c r="B38" s="3461"/>
      <c r="C38" s="1131" t="s">
        <v>1486</v>
      </c>
      <c r="D38" s="1132"/>
      <c r="E38" s="1154">
        <v>1</v>
      </c>
      <c r="F38" s="1133" t="s">
        <v>1487</v>
      </c>
      <c r="G38" s="1134"/>
      <c r="H38" s="1105"/>
      <c r="I38" s="1105"/>
    </row>
    <row r="39" spans="1:9" s="1600" customFormat="1" ht="19.5" customHeight="1">
      <c r="A39" s="3461"/>
      <c r="B39" s="346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1" t="s">
        <v>1502</v>
      </c>
      <c r="C61" s="1068" t="s">
        <v>1503</v>
      </c>
      <c r="D61" s="1068" t="s">
        <v>1504</v>
      </c>
      <c r="E61" s="1139">
        <v>0.5</v>
      </c>
      <c r="F61" s="1154">
        <v>80</v>
      </c>
      <c r="H61" s="1105">
        <f>SUMIF(C59:C119,基准地价!C8,E59:E119)</f>
        <v>0</v>
      </c>
    </row>
    <row r="62" spans="1:8" s="1105" customFormat="1" ht="24">
      <c r="A62" s="1154">
        <v>2</v>
      </c>
      <c r="B62" s="3461"/>
      <c r="C62" s="1068" t="s">
        <v>1505</v>
      </c>
      <c r="D62" s="1068" t="s">
        <v>1506</v>
      </c>
      <c r="E62" s="1139">
        <v>0.5</v>
      </c>
      <c r="F62" s="1154">
        <v>80</v>
      </c>
    </row>
    <row r="63" spans="1:8" s="1105" customFormat="1" ht="36">
      <c r="A63" s="1154">
        <v>3</v>
      </c>
      <c r="B63" s="3461"/>
      <c r="C63" s="1068" t="s">
        <v>1507</v>
      </c>
      <c r="D63" s="1068" t="s">
        <v>1508</v>
      </c>
      <c r="E63" s="1139">
        <v>0.5</v>
      </c>
      <c r="F63" s="1154">
        <v>80</v>
      </c>
    </row>
    <row r="64" spans="1:8" s="1105" customFormat="1" ht="36">
      <c r="A64" s="1154">
        <v>4</v>
      </c>
      <c r="B64" s="3461"/>
      <c r="C64" s="1068" t="s">
        <v>1509</v>
      </c>
      <c r="D64" s="1068" t="s">
        <v>1510</v>
      </c>
      <c r="E64" s="1139">
        <v>0.4</v>
      </c>
      <c r="F64" s="1154">
        <v>60</v>
      </c>
    </row>
    <row r="65" spans="1:6" s="1105" customFormat="1" ht="36">
      <c r="A65" s="1154">
        <v>5</v>
      </c>
      <c r="B65" s="3461"/>
      <c r="C65" s="1068" t="s">
        <v>1511</v>
      </c>
      <c r="D65" s="1068" t="s">
        <v>1512</v>
      </c>
      <c r="E65" s="1139">
        <v>0.2</v>
      </c>
      <c r="F65" s="1154">
        <v>30</v>
      </c>
    </row>
    <row r="66" spans="1:6" s="1105" customFormat="1" ht="36">
      <c r="A66" s="1154">
        <v>6</v>
      </c>
      <c r="B66" s="3461"/>
      <c r="C66" s="1068" t="s">
        <v>1513</v>
      </c>
      <c r="D66" s="1068" t="s">
        <v>1514</v>
      </c>
      <c r="E66" s="1139">
        <v>0.3</v>
      </c>
      <c r="F66" s="1154">
        <v>50</v>
      </c>
    </row>
    <row r="67" spans="1:6" s="1105" customFormat="1" ht="36">
      <c r="A67" s="1154">
        <v>7</v>
      </c>
      <c r="B67" s="3461"/>
      <c r="C67" s="1068" t="s">
        <v>1515</v>
      </c>
      <c r="D67" s="1068" t="s">
        <v>1516</v>
      </c>
      <c r="E67" s="1139">
        <v>0.2</v>
      </c>
      <c r="F67" s="1154">
        <v>30</v>
      </c>
    </row>
    <row r="68" spans="1:6" s="1105" customFormat="1" ht="36">
      <c r="A68" s="1154">
        <v>8</v>
      </c>
      <c r="B68" s="3461"/>
      <c r="C68" s="1068" t="s">
        <v>1517</v>
      </c>
      <c r="D68" s="1068" t="s">
        <v>1518</v>
      </c>
      <c r="E68" s="1139">
        <v>0.2</v>
      </c>
      <c r="F68" s="1154">
        <v>30</v>
      </c>
    </row>
    <row r="69" spans="1:6" s="1105" customFormat="1" ht="36">
      <c r="A69" s="1154">
        <v>9</v>
      </c>
      <c r="B69" s="3461"/>
      <c r="C69" s="1068" t="s">
        <v>1519</v>
      </c>
      <c r="D69" s="1068" t="s">
        <v>1520</v>
      </c>
      <c r="E69" s="1139">
        <v>0.2</v>
      </c>
      <c r="F69" s="1154">
        <v>30</v>
      </c>
    </row>
    <row r="70" spans="1:6" s="1105" customFormat="1" ht="48">
      <c r="A70" s="1154">
        <v>10</v>
      </c>
      <c r="B70" s="3461"/>
      <c r="C70" s="1068" t="s">
        <v>1521</v>
      </c>
      <c r="D70" s="1068" t="s">
        <v>1522</v>
      </c>
      <c r="E70" s="1139">
        <v>0.2</v>
      </c>
      <c r="F70" s="1154">
        <v>30</v>
      </c>
    </row>
    <row r="71" spans="1:6" s="1105" customFormat="1" ht="48">
      <c r="A71" s="1154">
        <v>11</v>
      </c>
      <c r="B71" s="3461"/>
      <c r="C71" s="1068" t="s">
        <v>1523</v>
      </c>
      <c r="D71" s="1068" t="s">
        <v>1524</v>
      </c>
      <c r="E71" s="1139">
        <v>0.2</v>
      </c>
      <c r="F71" s="1154">
        <v>30</v>
      </c>
    </row>
    <row r="72" spans="1:6" s="1105" customFormat="1" ht="36">
      <c r="A72" s="1154">
        <v>12</v>
      </c>
      <c r="B72" s="3461"/>
      <c r="C72" s="1068" t="s">
        <v>1525</v>
      </c>
      <c r="D72" s="1068" t="s">
        <v>1526</v>
      </c>
      <c r="E72" s="1139">
        <v>0.5</v>
      </c>
      <c r="F72" s="1154">
        <v>80</v>
      </c>
    </row>
    <row r="73" spans="1:6" s="1105" customFormat="1" ht="24">
      <c r="A73" s="1154">
        <v>13</v>
      </c>
      <c r="B73" s="3461"/>
      <c r="C73" s="1068" t="s">
        <v>1527</v>
      </c>
      <c r="D73" s="1068" t="s">
        <v>1528</v>
      </c>
      <c r="E73" s="1139">
        <v>0.4</v>
      </c>
      <c r="F73" s="1154">
        <v>60</v>
      </c>
    </row>
    <row r="74" spans="1:6" s="1105" customFormat="1" ht="24">
      <c r="A74" s="1154">
        <v>14</v>
      </c>
      <c r="B74" s="3461"/>
      <c r="C74" s="1068" t="s">
        <v>1529</v>
      </c>
      <c r="D74" s="1068" t="s">
        <v>1530</v>
      </c>
      <c r="E74" s="1139">
        <v>0.2</v>
      </c>
      <c r="F74" s="1154">
        <v>30</v>
      </c>
    </row>
    <row r="75" spans="1:6" s="1105" customFormat="1" ht="24">
      <c r="A75" s="1154">
        <v>15</v>
      </c>
      <c r="B75" s="3461"/>
      <c r="C75" s="1068" t="s">
        <v>1531</v>
      </c>
      <c r="D75" s="1068" t="s">
        <v>1532</v>
      </c>
      <c r="E75" s="1139">
        <v>0.2</v>
      </c>
      <c r="F75" s="1154">
        <v>30</v>
      </c>
    </row>
    <row r="76" spans="1:6" s="1105" customFormat="1" ht="24">
      <c r="A76" s="1154">
        <v>16</v>
      </c>
      <c r="B76" s="3461" t="s">
        <v>1533</v>
      </c>
      <c r="C76" s="1068" t="s">
        <v>1534</v>
      </c>
      <c r="D76" s="1068" t="s">
        <v>1535</v>
      </c>
      <c r="E76" s="1139">
        <v>0.5</v>
      </c>
      <c r="F76" s="1154">
        <v>80</v>
      </c>
    </row>
    <row r="77" spans="1:6" s="1105" customFormat="1" ht="24">
      <c r="A77" s="1154">
        <v>17</v>
      </c>
      <c r="B77" s="3461"/>
      <c r="C77" s="1068" t="s">
        <v>1536</v>
      </c>
      <c r="D77" s="1068" t="s">
        <v>1537</v>
      </c>
      <c r="E77" s="1139">
        <v>0.5</v>
      </c>
      <c r="F77" s="1154">
        <v>80</v>
      </c>
    </row>
    <row r="78" spans="1:6" s="1105" customFormat="1" ht="24">
      <c r="A78" s="1154">
        <v>18</v>
      </c>
      <c r="B78" s="3461"/>
      <c r="C78" s="1068" t="s">
        <v>1538</v>
      </c>
      <c r="D78" s="1068" t="s">
        <v>1539</v>
      </c>
      <c r="E78" s="1139">
        <v>0.2</v>
      </c>
      <c r="F78" s="1154">
        <v>30</v>
      </c>
    </row>
    <row r="79" spans="1:6" s="1105" customFormat="1" ht="24">
      <c r="A79" s="1154">
        <v>19</v>
      </c>
      <c r="B79" s="3461"/>
      <c r="C79" s="1068" t="s">
        <v>1540</v>
      </c>
      <c r="D79" s="1068" t="s">
        <v>1541</v>
      </c>
      <c r="E79" s="1139">
        <v>0.5</v>
      </c>
      <c r="F79" s="1154">
        <v>80</v>
      </c>
    </row>
    <row r="80" spans="1:6" s="1105" customFormat="1" ht="36">
      <c r="A80" s="1154">
        <v>20</v>
      </c>
      <c r="B80" s="3461"/>
      <c r="C80" s="1068" t="s">
        <v>1542</v>
      </c>
      <c r="D80" s="1068" t="s">
        <v>1543</v>
      </c>
      <c r="E80" s="1139">
        <v>0.2</v>
      </c>
      <c r="F80" s="1154">
        <v>30</v>
      </c>
    </row>
    <row r="81" spans="1:6" s="1105" customFormat="1" ht="36">
      <c r="A81" s="1154">
        <v>21</v>
      </c>
      <c r="B81" s="3461"/>
      <c r="C81" s="1068" t="s">
        <v>1544</v>
      </c>
      <c r="D81" s="1068" t="s">
        <v>1545</v>
      </c>
      <c r="E81" s="1139">
        <v>0.2</v>
      </c>
      <c r="F81" s="1154">
        <v>30</v>
      </c>
    </row>
    <row r="82" spans="1:6" s="1105" customFormat="1" ht="48">
      <c r="A82" s="1154">
        <v>22</v>
      </c>
      <c r="B82" s="3461"/>
      <c r="C82" s="1068" t="s">
        <v>1546</v>
      </c>
      <c r="D82" s="1068" t="s">
        <v>1547</v>
      </c>
      <c r="E82" s="1139">
        <v>0.2</v>
      </c>
      <c r="F82" s="1154">
        <v>30</v>
      </c>
    </row>
    <row r="83" spans="1:6" s="1105" customFormat="1" ht="48">
      <c r="A83" s="1154">
        <v>23</v>
      </c>
      <c r="B83" s="3461"/>
      <c r="C83" s="1068" t="s">
        <v>1548</v>
      </c>
      <c r="D83" s="1068" t="s">
        <v>1549</v>
      </c>
      <c r="E83" s="1139">
        <v>0.2</v>
      </c>
      <c r="F83" s="1154">
        <v>30</v>
      </c>
    </row>
    <row r="84" spans="1:6" s="1105" customFormat="1" ht="36">
      <c r="A84" s="1154">
        <v>24</v>
      </c>
      <c r="B84" s="3461"/>
      <c r="C84" s="1068" t="s">
        <v>1550</v>
      </c>
      <c r="D84" s="1068" t="s">
        <v>1551</v>
      </c>
      <c r="E84" s="1139">
        <v>0.2</v>
      </c>
      <c r="F84" s="1154">
        <v>30</v>
      </c>
    </row>
    <row r="85" spans="1:6" s="1105" customFormat="1" ht="36">
      <c r="A85" s="1154">
        <v>25</v>
      </c>
      <c r="B85" s="3461"/>
      <c r="C85" s="1068" t="s">
        <v>1552</v>
      </c>
      <c r="D85" s="1068" t="s">
        <v>1553</v>
      </c>
      <c r="E85" s="1139">
        <v>0.5</v>
      </c>
      <c r="F85" s="1154">
        <v>80</v>
      </c>
    </row>
    <row r="86" spans="1:6" s="1105" customFormat="1" ht="36">
      <c r="A86" s="1154">
        <v>26</v>
      </c>
      <c r="B86" s="3461"/>
      <c r="C86" s="1068" t="s">
        <v>1554</v>
      </c>
      <c r="D86" s="1068" t="s">
        <v>1555</v>
      </c>
      <c r="E86" s="1139">
        <v>0.2</v>
      </c>
      <c r="F86" s="1154">
        <v>30</v>
      </c>
    </row>
    <row r="87" spans="1:6" s="1105" customFormat="1" ht="36">
      <c r="A87" s="1154">
        <v>27</v>
      </c>
      <c r="B87" s="3461"/>
      <c r="C87" s="1068" t="s">
        <v>1556</v>
      </c>
      <c r="D87" s="1068" t="s">
        <v>1557</v>
      </c>
      <c r="E87" s="1139">
        <v>0.2</v>
      </c>
      <c r="F87" s="1154">
        <v>30</v>
      </c>
    </row>
    <row r="88" spans="1:6" s="1105" customFormat="1" ht="36">
      <c r="A88" s="1154">
        <v>28</v>
      </c>
      <c r="B88" s="3461"/>
      <c r="C88" s="1068" t="s">
        <v>1558</v>
      </c>
      <c r="D88" s="1068" t="s">
        <v>1559</v>
      </c>
      <c r="E88" s="1139">
        <v>0.2</v>
      </c>
      <c r="F88" s="1154">
        <v>30</v>
      </c>
    </row>
    <row r="89" spans="1:6" s="1105" customFormat="1" ht="24">
      <c r="A89" s="1154">
        <v>29</v>
      </c>
      <c r="B89" s="3461"/>
      <c r="C89" s="1068" t="s">
        <v>1560</v>
      </c>
      <c r="D89" s="1068" t="s">
        <v>1561</v>
      </c>
      <c r="E89" s="1139">
        <v>0.2</v>
      </c>
      <c r="F89" s="1154">
        <v>30</v>
      </c>
    </row>
    <row r="90" spans="1:6" s="1105" customFormat="1" ht="24">
      <c r="A90" s="1154">
        <v>30</v>
      </c>
      <c r="B90" s="3461"/>
      <c r="C90" s="1068" t="s">
        <v>1562</v>
      </c>
      <c r="D90" s="1068" t="s">
        <v>1563</v>
      </c>
      <c r="E90" s="1139">
        <v>0.2</v>
      </c>
      <c r="F90" s="1154">
        <v>30</v>
      </c>
    </row>
    <row r="91" spans="1:6" s="1105" customFormat="1" ht="36">
      <c r="A91" s="1154">
        <v>31</v>
      </c>
      <c r="B91" s="3461"/>
      <c r="C91" s="1068" t="s">
        <v>1564</v>
      </c>
      <c r="D91" s="1068" t="s">
        <v>1565</v>
      </c>
      <c r="E91" s="1139">
        <v>0.2</v>
      </c>
      <c r="F91" s="1154">
        <v>30</v>
      </c>
    </row>
    <row r="92" spans="1:6" s="1105" customFormat="1" ht="24">
      <c r="A92" s="1154">
        <v>32</v>
      </c>
      <c r="B92" s="3461" t="s">
        <v>1566</v>
      </c>
      <c r="C92" s="1154" t="s">
        <v>1567</v>
      </c>
      <c r="D92" s="1068" t="s">
        <v>1568</v>
      </c>
      <c r="E92" s="1139">
        <v>0.2</v>
      </c>
      <c r="F92" s="1154">
        <v>30</v>
      </c>
    </row>
    <row r="93" spans="1:6" s="1105" customFormat="1" ht="36">
      <c r="A93" s="1154">
        <v>33</v>
      </c>
      <c r="B93" s="3461"/>
      <c r="C93" s="1154" t="s">
        <v>1569</v>
      </c>
      <c r="D93" s="1068" t="s">
        <v>1570</v>
      </c>
      <c r="E93" s="1139">
        <v>0.2</v>
      </c>
      <c r="F93" s="1154">
        <v>30</v>
      </c>
    </row>
    <row r="94" spans="1:6" s="1105" customFormat="1" ht="48">
      <c r="A94" s="1154">
        <v>34</v>
      </c>
      <c r="B94" s="3461"/>
      <c r="C94" s="1154" t="s">
        <v>1571</v>
      </c>
      <c r="D94" s="1068" t="s">
        <v>1572</v>
      </c>
      <c r="E94" s="1139">
        <v>0.2</v>
      </c>
      <c r="F94" s="1154">
        <v>30</v>
      </c>
    </row>
    <row r="95" spans="1:6" s="1105" customFormat="1" ht="36">
      <c r="A95" s="1154">
        <v>35</v>
      </c>
      <c r="B95" s="3461"/>
      <c r="C95" s="1154" t="s">
        <v>1573</v>
      </c>
      <c r="D95" s="1068" t="s">
        <v>1574</v>
      </c>
      <c r="E95" s="1139">
        <v>0.2</v>
      </c>
      <c r="F95" s="1154">
        <v>30</v>
      </c>
    </row>
    <row r="96" spans="1:6" s="1105" customFormat="1" ht="48">
      <c r="A96" s="1154">
        <v>36</v>
      </c>
      <c r="B96" s="3461"/>
      <c r="C96" s="1068" t="s">
        <v>1575</v>
      </c>
      <c r="D96" s="1068" t="s">
        <v>1576</v>
      </c>
      <c r="E96" s="1139">
        <v>0.2</v>
      </c>
      <c r="F96" s="1154">
        <v>30</v>
      </c>
    </row>
    <row r="97" spans="1:6" s="1105" customFormat="1" ht="36">
      <c r="A97" s="1154">
        <v>37</v>
      </c>
      <c r="B97" s="3461"/>
      <c r="C97" s="1154" t="s">
        <v>1577</v>
      </c>
      <c r="D97" s="1068" t="s">
        <v>1578</v>
      </c>
      <c r="E97" s="1139">
        <v>0.2</v>
      </c>
      <c r="F97" s="1154">
        <v>30</v>
      </c>
    </row>
    <row r="98" spans="1:6" s="1105" customFormat="1" ht="36">
      <c r="A98" s="1154">
        <v>38</v>
      </c>
      <c r="B98" s="3461"/>
      <c r="C98" s="1154" t="s">
        <v>1579</v>
      </c>
      <c r="D98" s="1068" t="s">
        <v>1580</v>
      </c>
      <c r="E98" s="1139">
        <v>0.2</v>
      </c>
      <c r="F98" s="1154">
        <v>30</v>
      </c>
    </row>
    <row r="99" spans="1:6" s="1105" customFormat="1" ht="36">
      <c r="A99" s="1154">
        <v>39</v>
      </c>
      <c r="B99" s="3461" t="s">
        <v>1581</v>
      </c>
      <c r="C99" s="1154" t="s">
        <v>1582</v>
      </c>
      <c r="D99" s="1068" t="s">
        <v>1583</v>
      </c>
      <c r="E99" s="1139">
        <v>0.3</v>
      </c>
      <c r="F99" s="1154">
        <v>50</v>
      </c>
    </row>
    <row r="100" spans="1:6" s="1105" customFormat="1" ht="24">
      <c r="A100" s="1154">
        <v>40</v>
      </c>
      <c r="B100" s="3461"/>
      <c r="C100" s="1154" t="s">
        <v>1584</v>
      </c>
      <c r="D100" s="1068" t="s">
        <v>1585</v>
      </c>
      <c r="E100" s="1139">
        <v>0.2</v>
      </c>
      <c r="F100" s="1154">
        <v>30</v>
      </c>
    </row>
    <row r="101" spans="1:6" s="1105" customFormat="1" ht="36">
      <c r="A101" s="1154">
        <v>41</v>
      </c>
      <c r="B101" s="346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1" t="s">
        <v>1596</v>
      </c>
      <c r="C105" s="1154" t="s">
        <v>1597</v>
      </c>
      <c r="D105" s="1068" t="s">
        <v>1598</v>
      </c>
      <c r="E105" s="1139">
        <v>0.2</v>
      </c>
      <c r="F105" s="1154">
        <v>30</v>
      </c>
    </row>
    <row r="106" spans="1:6" s="1105" customFormat="1" ht="36">
      <c r="A106" s="1154">
        <v>46</v>
      </c>
      <c r="B106" s="3461"/>
      <c r="C106" s="1154" t="s">
        <v>1599</v>
      </c>
      <c r="D106" s="1068" t="s">
        <v>1600</v>
      </c>
      <c r="E106" s="1139">
        <v>0.2</v>
      </c>
      <c r="F106" s="1154">
        <v>30</v>
      </c>
    </row>
    <row r="107" spans="1:6" s="1105" customFormat="1" ht="36">
      <c r="A107" s="1154">
        <v>47</v>
      </c>
      <c r="B107" s="3461" t="s">
        <v>1601</v>
      </c>
      <c r="C107" s="1154" t="s">
        <v>1602</v>
      </c>
      <c r="D107" s="1068" t="s">
        <v>1603</v>
      </c>
      <c r="E107" s="1139">
        <v>0.3</v>
      </c>
      <c r="F107" s="1154">
        <v>50</v>
      </c>
    </row>
    <row r="108" spans="1:6" s="1105" customFormat="1" ht="36">
      <c r="A108" s="1154">
        <v>48</v>
      </c>
      <c r="B108" s="346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1" t="s">
        <v>1612</v>
      </c>
      <c r="C111" s="1154" t="s">
        <v>1613</v>
      </c>
      <c r="D111" s="1068" t="s">
        <v>1614</v>
      </c>
      <c r="E111" s="1139">
        <v>0.2</v>
      </c>
      <c r="F111" s="1154">
        <v>30</v>
      </c>
    </row>
    <row r="112" spans="1:6" s="1105" customFormat="1" ht="24">
      <c r="A112" s="1154">
        <v>52</v>
      </c>
      <c r="B112" s="3461"/>
      <c r="C112" s="1154" t="s">
        <v>1615</v>
      </c>
      <c r="D112" s="1068" t="s">
        <v>1616</v>
      </c>
      <c r="E112" s="1139">
        <v>0.2</v>
      </c>
      <c r="F112" s="1154">
        <v>30</v>
      </c>
    </row>
    <row r="113" spans="1:14" s="1105" customFormat="1" ht="24">
      <c r="A113" s="1154">
        <v>53</v>
      </c>
      <c r="B113" s="346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1" t="s">
        <v>1625</v>
      </c>
      <c r="C116" s="1154" t="s">
        <v>1626</v>
      </c>
      <c r="D116" s="1068" t="s">
        <v>1627</v>
      </c>
      <c r="E116" s="1139">
        <v>0.2</v>
      </c>
      <c r="F116" s="1154">
        <v>30</v>
      </c>
    </row>
    <row r="117" spans="1:14" ht="36">
      <c r="A117" s="1154">
        <v>57</v>
      </c>
      <c r="B117" s="346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0" t="s">
        <v>1634</v>
      </c>
      <c r="B121" s="3460"/>
      <c r="C121" s="3460"/>
      <c r="D121" s="3460"/>
      <c r="E121" s="3460"/>
      <c r="F121" s="3460"/>
      <c r="G121" s="3460"/>
      <c r="H121" s="3460"/>
      <c r="I121" s="3460"/>
      <c r="J121" s="346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3" t="s">
        <v>1040</v>
      </c>
      <c r="B1" s="3473"/>
      <c r="C1" s="3473"/>
      <c r="D1" s="3473"/>
      <c r="E1" s="3473"/>
      <c r="F1" s="347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4" t="s">
        <v>1053</v>
      </c>
      <c r="B2" s="3474"/>
      <c r="C2" s="3474"/>
      <c r="D2" s="3474"/>
      <c r="E2" s="3474"/>
      <c r="F2" s="347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7" t="s">
        <v>2078</v>
      </c>
      <c r="B1" s="3477"/>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1097</v>
      </c>
      <c r="B6" s="1861" t="s">
        <v>2087</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2088</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2089</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2090</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2091</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2092</v>
      </c>
      <c r="C72" s="1871"/>
      <c r="D72" s="1871"/>
      <c r="E72" s="1871"/>
      <c r="F72" s="1863">
        <v>0.05</v>
      </c>
    </row>
    <row r="73" spans="1:6" ht="14.25" thickBot="1">
      <c r="A73" s="1857" t="s">
        <v>925</v>
      </c>
      <c r="B73" s="1861" t="s">
        <v>2093</v>
      </c>
      <c r="C73" s="1871"/>
      <c r="D73" s="1871"/>
      <c r="E73" s="1871"/>
      <c r="F73" s="1863">
        <v>0.05</v>
      </c>
    </row>
    <row r="74" spans="1:6" ht="14.25" thickBot="1">
      <c r="A74" s="1857" t="s">
        <v>925</v>
      </c>
      <c r="B74" s="1861" t="s">
        <v>2094</v>
      </c>
      <c r="C74" s="1871"/>
      <c r="D74" s="1871"/>
      <c r="E74" s="1871"/>
      <c r="F74" s="1863">
        <v>0.05</v>
      </c>
    </row>
    <row r="75" spans="1:6" ht="14.25" thickBot="1">
      <c r="A75" s="1865" t="s">
        <v>925</v>
      </c>
      <c r="B75" s="1872" t="s">
        <v>2095</v>
      </c>
      <c r="C75" s="1868"/>
      <c r="D75" s="1868"/>
      <c r="E75" s="1868"/>
      <c r="F75" s="1873">
        <v>0.05</v>
      </c>
    </row>
    <row r="76" spans="1:6" ht="14.25" thickBot="1">
      <c r="A76" s="1857" t="s">
        <v>1408</v>
      </c>
      <c r="B76" s="1858" t="s">
        <v>2096</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2097</v>
      </c>
      <c r="C102" s="1871"/>
      <c r="D102" s="1871"/>
      <c r="E102" s="1871"/>
      <c r="F102" s="1863">
        <v>0.05</v>
      </c>
    </row>
    <row r="103" spans="1:6" ht="24.75" thickBot="1">
      <c r="A103" s="1857" t="s">
        <v>1408</v>
      </c>
      <c r="B103" s="1861" t="s">
        <v>2098</v>
      </c>
      <c r="C103" s="1871"/>
      <c r="D103" s="1871"/>
      <c r="E103" s="1871"/>
      <c r="F103" s="1863">
        <v>0.05</v>
      </c>
    </row>
    <row r="104" spans="1:6" ht="14.25" thickBot="1">
      <c r="A104" s="1857" t="s">
        <v>1408</v>
      </c>
      <c r="B104" s="1861" t="s">
        <v>2099</v>
      </c>
      <c r="C104" s="1871"/>
      <c r="D104" s="1871"/>
      <c r="E104" s="1871"/>
      <c r="F104" s="1863">
        <v>0.05</v>
      </c>
    </row>
    <row r="105" spans="1:6" ht="14.25" thickBot="1">
      <c r="A105" s="1857" t="s">
        <v>1408</v>
      </c>
      <c r="B105" s="1861" t="s">
        <v>2100</v>
      </c>
      <c r="C105" s="1871"/>
      <c r="D105" s="1871"/>
      <c r="E105" s="1871"/>
      <c r="F105" s="1863">
        <v>0.05</v>
      </c>
    </row>
    <row r="106" spans="1:6" ht="14.25" thickBot="1">
      <c r="A106" s="1857" t="s">
        <v>1408</v>
      </c>
      <c r="B106" s="1861" t="s">
        <v>2101</v>
      </c>
      <c r="C106" s="1871"/>
      <c r="D106" s="1871"/>
      <c r="E106" s="1871"/>
      <c r="F106" s="1863">
        <v>0.05</v>
      </c>
    </row>
    <row r="107" spans="1:6" ht="24.75" thickBot="1">
      <c r="A107" s="1857" t="s">
        <v>1408</v>
      </c>
      <c r="B107" s="1861" t="s">
        <v>2102</v>
      </c>
      <c r="C107" s="1871"/>
      <c r="D107" s="1871"/>
      <c r="E107" s="1871"/>
      <c r="F107" s="1863">
        <v>0.05</v>
      </c>
    </row>
    <row r="108" spans="1:6" ht="24.75" thickBot="1">
      <c r="A108" s="1857" t="s">
        <v>1408</v>
      </c>
      <c r="B108" s="1861" t="s">
        <v>2103</v>
      </c>
      <c r="C108" s="1871"/>
      <c r="D108" s="1871"/>
      <c r="E108" s="1871"/>
      <c r="F108" s="1863">
        <v>0.05</v>
      </c>
    </row>
    <row r="109" spans="1:6" ht="24.75" thickBot="1">
      <c r="A109" s="1865" t="s">
        <v>1408</v>
      </c>
      <c r="B109" s="1872" t="s">
        <v>2104</v>
      </c>
      <c r="C109" s="1868"/>
      <c r="D109" s="1868"/>
      <c r="E109" s="1868"/>
      <c r="F109" s="1873">
        <v>0.05</v>
      </c>
    </row>
    <row r="110" spans="1:6" ht="14.25" thickBot="1">
      <c r="A110" s="1857" t="s">
        <v>1410</v>
      </c>
      <c r="B110" s="1858" t="s">
        <v>2105</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2106</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2107</v>
      </c>
      <c r="C138" s="1862">
        <v>0.105</v>
      </c>
      <c r="D138" s="1862">
        <v>0.125</v>
      </c>
      <c r="E138" s="1862">
        <v>0.112</v>
      </c>
      <c r="F138" s="1870"/>
    </row>
    <row r="139" spans="1:6" ht="14.25" thickBot="1">
      <c r="A139" s="1857" t="s">
        <v>1410</v>
      </c>
      <c r="B139" s="1861" t="s">
        <v>2108</v>
      </c>
      <c r="C139" s="1862">
        <v>0.127</v>
      </c>
      <c r="D139" s="1862">
        <v>0.127</v>
      </c>
      <c r="E139" s="1862">
        <v>0.122</v>
      </c>
      <c r="F139" s="1863">
        <v>0.13</v>
      </c>
    </row>
    <row r="140" spans="1:6" ht="14.25" thickBot="1">
      <c r="A140" s="1857" t="s">
        <v>1410</v>
      </c>
      <c r="B140" s="1861" t="s">
        <v>2109</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2110</v>
      </c>
      <c r="C144" s="1875">
        <v>0.126</v>
      </c>
      <c r="D144" s="1875">
        <v>0.126</v>
      </c>
      <c r="E144" s="1875">
        <v>0.121</v>
      </c>
      <c r="F144" s="1870"/>
    </row>
    <row r="145" spans="1:6" ht="14.25" thickBot="1">
      <c r="A145" s="1865" t="s">
        <v>1410</v>
      </c>
      <c r="B145" s="1876" t="s">
        <v>2111</v>
      </c>
      <c r="C145" s="1877"/>
      <c r="D145" s="1877"/>
      <c r="E145" s="1877"/>
      <c r="F145" s="1878">
        <v>0.05</v>
      </c>
    </row>
    <row r="146" spans="1:6" ht="24.75" thickBot="1">
      <c r="A146" s="1879" t="s">
        <v>1410</v>
      </c>
      <c r="B146" s="1864" t="s">
        <v>2112</v>
      </c>
      <c r="C146" s="1871"/>
      <c r="D146" s="1871"/>
      <c r="E146" s="1871"/>
      <c r="F146" s="1880">
        <v>0.05</v>
      </c>
    </row>
    <row r="147" spans="1:6" ht="24.75" thickBot="1">
      <c r="A147" s="1857" t="s">
        <v>1410</v>
      </c>
      <c r="B147" s="1861" t="s">
        <v>2113</v>
      </c>
      <c r="C147" s="1871"/>
      <c r="D147" s="1871"/>
      <c r="E147" s="1871"/>
      <c r="F147" s="1863">
        <v>0.05</v>
      </c>
    </row>
    <row r="148" spans="1:6" ht="24.75" thickBot="1">
      <c r="A148" s="1857" t="s">
        <v>1410</v>
      </c>
      <c r="B148" s="1861" t="s">
        <v>2114</v>
      </c>
      <c r="C148" s="1871"/>
      <c r="D148" s="1871"/>
      <c r="E148" s="1871"/>
      <c r="F148" s="1863">
        <v>0.05</v>
      </c>
    </row>
    <row r="149" spans="1:6" ht="24.75" thickBot="1">
      <c r="A149" s="1857" t="s">
        <v>1410</v>
      </c>
      <c r="B149" s="1861" t="s">
        <v>2115</v>
      </c>
      <c r="C149" s="1871"/>
      <c r="D149" s="1871"/>
      <c r="E149" s="1871"/>
      <c r="F149" s="1863">
        <v>0.05</v>
      </c>
    </row>
    <row r="150" spans="1:6" ht="24.75" thickBot="1">
      <c r="A150" s="1857" t="s">
        <v>1410</v>
      </c>
      <c r="B150" s="1861" t="s">
        <v>2116</v>
      </c>
      <c r="C150" s="1871"/>
      <c r="D150" s="1871"/>
      <c r="E150" s="1871"/>
      <c r="F150" s="1863">
        <v>0.05</v>
      </c>
    </row>
    <row r="151" spans="1:6" ht="24.75" thickBot="1">
      <c r="A151" s="1857" t="s">
        <v>1410</v>
      </c>
      <c r="B151" s="1861" t="s">
        <v>2117</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2118</v>
      </c>
      <c r="C153" s="1871"/>
      <c r="D153" s="1871"/>
      <c r="E153" s="1871"/>
      <c r="F153" s="1863">
        <v>0.05</v>
      </c>
    </row>
    <row r="154" spans="1:6" ht="14.25" thickBot="1">
      <c r="A154" s="1857" t="s">
        <v>1410</v>
      </c>
      <c r="B154" s="1861" t="s">
        <v>2119</v>
      </c>
      <c r="C154" s="1871"/>
      <c r="D154" s="1871"/>
      <c r="E154" s="1871"/>
      <c r="F154" s="1863">
        <v>0.05</v>
      </c>
    </row>
    <row r="155" spans="1:6" ht="24.75" thickBot="1">
      <c r="A155" s="1857" t="s">
        <v>1410</v>
      </c>
      <c r="B155" s="1861" t="s">
        <v>2120</v>
      </c>
      <c r="C155" s="1871"/>
      <c r="D155" s="1871"/>
      <c r="E155" s="1871"/>
      <c r="F155" s="1863">
        <v>0.05</v>
      </c>
    </row>
    <row r="156" spans="1:6" ht="24.75" thickBot="1">
      <c r="A156" s="1857" t="s">
        <v>1410</v>
      </c>
      <c r="B156" s="1861" t="s">
        <v>2121</v>
      </c>
      <c r="C156" s="1871"/>
      <c r="D156" s="1871"/>
      <c r="E156" s="1871"/>
      <c r="F156" s="1863">
        <v>0.05</v>
      </c>
    </row>
    <row r="157" spans="1:6" ht="14.25" thickBot="1">
      <c r="A157" s="1865" t="s">
        <v>1410</v>
      </c>
      <c r="B157" s="1872" t="s">
        <v>2122</v>
      </c>
      <c r="C157" s="1868"/>
      <c r="D157" s="1868"/>
      <c r="E157" s="1868"/>
      <c r="F157" s="1873">
        <v>0.05</v>
      </c>
    </row>
    <row r="158" spans="1:6" ht="14.25" thickBot="1">
      <c r="A158" s="1857" t="s">
        <v>1412</v>
      </c>
      <c r="B158" s="1858" t="s">
        <v>2123</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2124</v>
      </c>
      <c r="C171" s="1862">
        <v>0.127</v>
      </c>
      <c r="D171" s="1862">
        <v>0.126</v>
      </c>
      <c r="E171" s="1862">
        <v>0.126</v>
      </c>
      <c r="F171" s="1863">
        <v>0.11799999999999999</v>
      </c>
    </row>
    <row r="172" spans="1:6" ht="14.25" thickBot="1">
      <c r="A172" s="1857" t="s">
        <v>1412</v>
      </c>
      <c r="B172" s="1861" t="s">
        <v>2125</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2126</v>
      </c>
      <c r="C174" s="1862">
        <v>0.13</v>
      </c>
      <c r="D174" s="1862">
        <v>0.13</v>
      </c>
      <c r="E174" s="1862">
        <v>0.13</v>
      </c>
      <c r="F174" s="1863">
        <v>0.13</v>
      </c>
    </row>
    <row r="175" spans="1:6" ht="14.25" thickBot="1">
      <c r="A175" s="1857" t="s">
        <v>1412</v>
      </c>
      <c r="B175" s="1861" t="s">
        <v>2127</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2128</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2129</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2130</v>
      </c>
      <c r="C185" s="1862">
        <v>0.127</v>
      </c>
      <c r="D185" s="1862">
        <v>0.127</v>
      </c>
      <c r="E185" s="1862">
        <v>0.128</v>
      </c>
      <c r="F185" s="1863">
        <v>0.13</v>
      </c>
    </row>
    <row r="186" spans="1:6" ht="24.75" thickBot="1">
      <c r="A186" s="1857" t="s">
        <v>1412</v>
      </c>
      <c r="B186" s="1861" t="s">
        <v>2131</v>
      </c>
      <c r="C186" s="1871"/>
      <c r="D186" s="1871"/>
      <c r="E186" s="1871"/>
      <c r="F186" s="1863">
        <v>0.05</v>
      </c>
    </row>
    <row r="187" spans="1:6" ht="14.25" thickBot="1">
      <c r="A187" s="1857" t="s">
        <v>1412</v>
      </c>
      <c r="B187" s="1861" t="s">
        <v>2132</v>
      </c>
      <c r="C187" s="1871"/>
      <c r="D187" s="1871"/>
      <c r="E187" s="1871"/>
      <c r="F187" s="1863">
        <v>0.05</v>
      </c>
    </row>
    <row r="188" spans="1:6" ht="14.25" thickBot="1">
      <c r="A188" s="1857" t="s">
        <v>1412</v>
      </c>
      <c r="B188" s="1861" t="s">
        <v>2133</v>
      </c>
      <c r="C188" s="1871"/>
      <c r="D188" s="1871"/>
      <c r="E188" s="1871"/>
      <c r="F188" s="1863">
        <v>0.05</v>
      </c>
    </row>
    <row r="189" spans="1:6" ht="24.75" thickBot="1">
      <c r="A189" s="1857" t="s">
        <v>1412</v>
      </c>
      <c r="B189" s="1861" t="s">
        <v>2134</v>
      </c>
      <c r="C189" s="1871"/>
      <c r="D189" s="1871"/>
      <c r="E189" s="1871"/>
      <c r="F189" s="1863">
        <v>0.05</v>
      </c>
    </row>
    <row r="190" spans="1:6" ht="24.75" thickBot="1">
      <c r="A190" s="1857" t="s">
        <v>1412</v>
      </c>
      <c r="B190" s="1861" t="s">
        <v>2135</v>
      </c>
      <c r="C190" s="1871"/>
      <c r="D190" s="1871"/>
      <c r="E190" s="1871"/>
      <c r="F190" s="1863">
        <v>0.05</v>
      </c>
    </row>
    <row r="191" spans="1:6" ht="24.75" thickBot="1">
      <c r="A191" s="1857" t="s">
        <v>1412</v>
      </c>
      <c r="B191" s="1861" t="s">
        <v>2136</v>
      </c>
      <c r="C191" s="1871"/>
      <c r="D191" s="1871"/>
      <c r="E191" s="1871"/>
      <c r="F191" s="1863">
        <v>0.05</v>
      </c>
    </row>
    <row r="192" spans="1:6" ht="24.75" thickBot="1">
      <c r="A192" s="1857" t="s">
        <v>1412</v>
      </c>
      <c r="B192" s="1861" t="s">
        <v>2137</v>
      </c>
      <c r="C192" s="1871"/>
      <c r="D192" s="1871"/>
      <c r="E192" s="1871"/>
      <c r="F192" s="1863">
        <v>0.05</v>
      </c>
    </row>
    <row r="193" spans="1:6" ht="24.75" thickBot="1">
      <c r="A193" s="1857" t="s">
        <v>1412</v>
      </c>
      <c r="B193" s="1861" t="s">
        <v>2138</v>
      </c>
      <c r="C193" s="1871"/>
      <c r="D193" s="1871"/>
      <c r="E193" s="1871"/>
      <c r="F193" s="1863">
        <v>0.05</v>
      </c>
    </row>
    <row r="194" spans="1:6" ht="24.75" thickBot="1">
      <c r="A194" s="1857" t="s">
        <v>1412</v>
      </c>
      <c r="B194" s="1861" t="s">
        <v>2139</v>
      </c>
      <c r="C194" s="1871"/>
      <c r="D194" s="1871"/>
      <c r="E194" s="1871"/>
      <c r="F194" s="1863">
        <v>0.05</v>
      </c>
    </row>
    <row r="195" spans="1:6" ht="14.25" thickBot="1">
      <c r="A195" s="1857" t="s">
        <v>1412</v>
      </c>
      <c r="B195" s="1861" t="s">
        <v>2140</v>
      </c>
      <c r="C195" s="1871"/>
      <c r="D195" s="1871"/>
      <c r="E195" s="1871"/>
      <c r="F195" s="1863">
        <v>0.05</v>
      </c>
    </row>
    <row r="196" spans="1:6" ht="24.75" thickBot="1">
      <c r="A196" s="1857" t="s">
        <v>1412</v>
      </c>
      <c r="B196" s="1861" t="s">
        <v>2141</v>
      </c>
      <c r="C196" s="1871"/>
      <c r="D196" s="1871"/>
      <c r="E196" s="1871"/>
      <c r="F196" s="1863">
        <v>0.05</v>
      </c>
    </row>
    <row r="197" spans="1:6" ht="24.75" thickBot="1">
      <c r="A197" s="1857" t="s">
        <v>1412</v>
      </c>
      <c r="B197" s="1861" t="s">
        <v>2142</v>
      </c>
      <c r="C197" s="1871"/>
      <c r="D197" s="1871"/>
      <c r="E197" s="1871"/>
      <c r="F197" s="1863">
        <v>0.05</v>
      </c>
    </row>
    <row r="198" spans="1:6" ht="24.75" thickBot="1">
      <c r="A198" s="1857" t="s">
        <v>1412</v>
      </c>
      <c r="B198" s="1861" t="s">
        <v>2143</v>
      </c>
      <c r="C198" s="1871"/>
      <c r="D198" s="1871"/>
      <c r="E198" s="1871"/>
      <c r="F198" s="1863">
        <v>0.05</v>
      </c>
    </row>
    <row r="199" spans="1:6" ht="24.75" thickBot="1">
      <c r="A199" s="1857" t="s">
        <v>1412</v>
      </c>
      <c r="B199" s="1861" t="s">
        <v>2144</v>
      </c>
      <c r="C199" s="1871"/>
      <c r="D199" s="1871"/>
      <c r="E199" s="1871"/>
      <c r="F199" s="1863">
        <v>0.05</v>
      </c>
    </row>
    <row r="200" spans="1:6" ht="24.75" thickBot="1">
      <c r="A200" s="1857" t="s">
        <v>1412</v>
      </c>
      <c r="B200" s="1861" t="s">
        <v>2145</v>
      </c>
      <c r="C200" s="1871"/>
      <c r="D200" s="1871"/>
      <c r="E200" s="1871"/>
      <c r="F200" s="1863">
        <v>0.05</v>
      </c>
    </row>
    <row r="201" spans="1:6" ht="24.75" thickBot="1">
      <c r="A201" s="1857" t="s">
        <v>1412</v>
      </c>
      <c r="B201" s="1861" t="s">
        <v>2146</v>
      </c>
      <c r="C201" s="1871"/>
      <c r="D201" s="1871"/>
      <c r="E201" s="1871"/>
      <c r="F201" s="1863">
        <v>0.05</v>
      </c>
    </row>
    <row r="202" spans="1:6" ht="24.75" thickBot="1">
      <c r="A202" s="1857" t="s">
        <v>1412</v>
      </c>
      <c r="B202" s="1861" t="s">
        <v>2147</v>
      </c>
      <c r="C202" s="1871"/>
      <c r="D202" s="1871"/>
      <c r="E202" s="1871"/>
      <c r="F202" s="1863">
        <v>0.05</v>
      </c>
    </row>
    <row r="203" spans="1:6" ht="24.75" thickBot="1">
      <c r="A203" s="1857" t="s">
        <v>1412</v>
      </c>
      <c r="B203" s="1861" t="s">
        <v>2148</v>
      </c>
      <c r="C203" s="1871"/>
      <c r="D203" s="1871"/>
      <c r="E203" s="1871"/>
      <c r="F203" s="1863">
        <v>0.05</v>
      </c>
    </row>
    <row r="204" spans="1:6" ht="14.25" thickBot="1">
      <c r="A204" s="1857" t="s">
        <v>1412</v>
      </c>
      <c r="B204" s="1861" t="s">
        <v>2149</v>
      </c>
      <c r="C204" s="1871"/>
      <c r="D204" s="1871"/>
      <c r="E204" s="1871"/>
      <c r="F204" s="1863">
        <v>0.05</v>
      </c>
    </row>
    <row r="205" spans="1:6" ht="14.25" thickBot="1">
      <c r="A205" s="1865" t="s">
        <v>1412</v>
      </c>
      <c r="B205" s="1872" t="s">
        <v>2150</v>
      </c>
      <c r="C205" s="1868"/>
      <c r="D205" s="1868"/>
      <c r="E205" s="1868"/>
      <c r="F205" s="1873">
        <v>0.05</v>
      </c>
    </row>
    <row r="206" spans="1:6" ht="14.25" thickBot="1">
      <c r="A206" s="1857" t="s">
        <v>1414</v>
      </c>
      <c r="B206" s="1858" t="s">
        <v>2151</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2152</v>
      </c>
      <c r="C210" s="1862">
        <v>0.15</v>
      </c>
      <c r="D210" s="1862">
        <v>0.15</v>
      </c>
      <c r="E210" s="1862">
        <v>0.15</v>
      </c>
      <c r="F210" s="1863">
        <v>0.13800000000000001</v>
      </c>
    </row>
    <row r="211" spans="1:6" ht="14.25" thickBot="1">
      <c r="A211" s="1857" t="s">
        <v>1414</v>
      </c>
      <c r="B211" s="1861" t="s">
        <v>2153</v>
      </c>
      <c r="C211" s="1862">
        <v>0.13700000000000001</v>
      </c>
      <c r="D211" s="1862">
        <v>0.13500000000000001</v>
      </c>
      <c r="E211" s="1862">
        <v>0.13600000000000001</v>
      </c>
      <c r="F211" s="1863">
        <v>0.1</v>
      </c>
    </row>
    <row r="212" spans="1:6" ht="14.25" thickBot="1">
      <c r="A212" s="1857" t="s">
        <v>1414</v>
      </c>
      <c r="B212" s="1861" t="s">
        <v>2154</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2155</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2156</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2157</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2158</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2159</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2160</v>
      </c>
      <c r="C231" s="1862">
        <v>0.128</v>
      </c>
      <c r="D231" s="1862">
        <v>0.125</v>
      </c>
      <c r="E231" s="1862">
        <v>0.13200000000000001</v>
      </c>
      <c r="F231" s="1870"/>
    </row>
    <row r="232" spans="1:6" ht="14.25" thickBot="1">
      <c r="A232" s="1857" t="s">
        <v>1414</v>
      </c>
      <c r="B232" s="1861" t="s">
        <v>2161</v>
      </c>
      <c r="C232" s="1862">
        <v>0.14499999999999999</v>
      </c>
      <c r="D232" s="1862">
        <v>0.14399999999999999</v>
      </c>
      <c r="E232" s="1862">
        <v>0.14599999999999999</v>
      </c>
      <c r="F232" s="1863">
        <v>0.13800000000000001</v>
      </c>
    </row>
    <row r="233" spans="1:6" ht="14.25" thickBot="1">
      <c r="A233" s="1857" t="s">
        <v>1414</v>
      </c>
      <c r="B233" s="1861" t="s">
        <v>2162</v>
      </c>
      <c r="C233" s="1862">
        <v>0.14499999999999999</v>
      </c>
      <c r="D233" s="1862">
        <v>0.14299999999999999</v>
      </c>
      <c r="E233" s="1862">
        <v>0.14199999999999999</v>
      </c>
      <c r="F233" s="1870"/>
    </row>
    <row r="234" spans="1:6" ht="14.25" thickBot="1">
      <c r="A234" s="1857" t="s">
        <v>1414</v>
      </c>
      <c r="B234" s="1861" t="s">
        <v>2163</v>
      </c>
      <c r="C234" s="1862">
        <v>0.14000000000000001</v>
      </c>
      <c r="D234" s="1862">
        <v>0.14000000000000001</v>
      </c>
      <c r="E234" s="1862">
        <v>0.14399999999999999</v>
      </c>
      <c r="F234" s="1870"/>
    </row>
    <row r="235" spans="1:6" ht="14.25" thickBot="1">
      <c r="A235" s="1857" t="s">
        <v>1414</v>
      </c>
      <c r="B235" s="1861" t="s">
        <v>2164</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2165</v>
      </c>
      <c r="C237" s="1871"/>
      <c r="D237" s="1871"/>
      <c r="E237" s="1871"/>
      <c r="F237" s="1863">
        <v>0.05</v>
      </c>
    </row>
    <row r="238" spans="1:6" ht="24.75" thickBot="1">
      <c r="A238" s="1857" t="s">
        <v>1414</v>
      </c>
      <c r="B238" s="1861" t="s">
        <v>2166</v>
      </c>
      <c r="C238" s="1871"/>
      <c r="D238" s="1871"/>
      <c r="E238" s="1871"/>
      <c r="F238" s="1863">
        <v>0.05</v>
      </c>
    </row>
    <row r="239" spans="1:6" ht="24.75" thickBot="1">
      <c r="A239" s="1857" t="s">
        <v>1414</v>
      </c>
      <c r="B239" s="1861" t="s">
        <v>2167</v>
      </c>
      <c r="C239" s="1871"/>
      <c r="D239" s="1871"/>
      <c r="E239" s="1871"/>
      <c r="F239" s="1863">
        <v>0.05</v>
      </c>
    </row>
    <row r="240" spans="1:6" ht="24.75" thickBot="1">
      <c r="A240" s="1857" t="s">
        <v>1414</v>
      </c>
      <c r="B240" s="1861" t="s">
        <v>2168</v>
      </c>
      <c r="C240" s="1871"/>
      <c r="D240" s="1871"/>
      <c r="E240" s="1871"/>
      <c r="F240" s="1863">
        <v>0.05</v>
      </c>
    </row>
    <row r="241" spans="1:6" ht="24.75" thickBot="1">
      <c r="A241" s="1857" t="s">
        <v>1414</v>
      </c>
      <c r="B241" s="1861" t="s">
        <v>2169</v>
      </c>
      <c r="C241" s="1871"/>
      <c r="D241" s="1871"/>
      <c r="E241" s="1871"/>
      <c r="F241" s="1863">
        <v>0.05</v>
      </c>
    </row>
    <row r="242" spans="1:6" ht="24.75" thickBot="1">
      <c r="A242" s="1857" t="s">
        <v>1414</v>
      </c>
      <c r="B242" s="1861" t="s">
        <v>2170</v>
      </c>
      <c r="C242" s="1871"/>
      <c r="D242" s="1871"/>
      <c r="E242" s="1871"/>
      <c r="F242" s="1863">
        <v>0.05</v>
      </c>
    </row>
    <row r="243" spans="1:6" ht="24.75" thickBot="1">
      <c r="A243" s="1857" t="s">
        <v>1414</v>
      </c>
      <c r="B243" s="1861" t="s">
        <v>2171</v>
      </c>
      <c r="C243" s="1871"/>
      <c r="D243" s="1871"/>
      <c r="E243" s="1871"/>
      <c r="F243" s="1863">
        <v>0.05</v>
      </c>
    </row>
    <row r="244" spans="1:6" ht="24.75" thickBot="1">
      <c r="A244" s="1865" t="s">
        <v>1414</v>
      </c>
      <c r="B244" s="1872" t="s">
        <v>2172</v>
      </c>
      <c r="C244" s="1868"/>
      <c r="D244" s="1868"/>
      <c r="E244" s="1868"/>
      <c r="F244" s="1873">
        <v>0.05</v>
      </c>
    </row>
    <row r="245" spans="1:6" ht="14.25" thickBot="1">
      <c r="A245" s="1857" t="s">
        <v>1416</v>
      </c>
      <c r="B245" s="1858" t="s">
        <v>2173</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2174</v>
      </c>
      <c r="C247" s="1862">
        <v>0.15</v>
      </c>
      <c r="D247" s="1862">
        <v>0.15</v>
      </c>
      <c r="E247" s="1862">
        <v>0.15</v>
      </c>
      <c r="F247" s="1863">
        <v>0.15</v>
      </c>
    </row>
    <row r="248" spans="1:6" ht="14.25" thickBot="1">
      <c r="A248" s="1857" t="s">
        <v>1416</v>
      </c>
      <c r="B248" s="1861" t="s">
        <v>2175</v>
      </c>
      <c r="C248" s="1862">
        <v>0.15</v>
      </c>
      <c r="D248" s="1862">
        <v>0.15</v>
      </c>
      <c r="E248" s="1862">
        <v>0.15</v>
      </c>
      <c r="F248" s="1863">
        <v>0.14000000000000001</v>
      </c>
    </row>
    <row r="249" spans="1:6" ht="14.25" thickBot="1">
      <c r="A249" s="1857" t="s">
        <v>1416</v>
      </c>
      <c r="B249" s="1861" t="s">
        <v>2176</v>
      </c>
      <c r="C249" s="1862">
        <v>0.15</v>
      </c>
      <c r="D249" s="1862">
        <v>0.14899999999999999</v>
      </c>
      <c r="E249" s="1862">
        <v>0.15</v>
      </c>
      <c r="F249" s="1863">
        <v>0.1</v>
      </c>
    </row>
    <row r="250" spans="1:6" ht="14.25" thickBot="1">
      <c r="A250" s="1857" t="s">
        <v>1416</v>
      </c>
      <c r="B250" s="1861" t="s">
        <v>2177</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2178</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2179</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2180</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2181</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2182</v>
      </c>
      <c r="C273" s="1862">
        <v>0.14199999999999999</v>
      </c>
      <c r="D273" s="1862">
        <v>0.14299999999999999</v>
      </c>
      <c r="E273" s="1862">
        <v>0.15</v>
      </c>
      <c r="F273" s="1863">
        <v>0.1</v>
      </c>
    </row>
    <row r="274" spans="1:6" ht="14.25" thickBot="1">
      <c r="A274" s="1857" t="s">
        <v>1416</v>
      </c>
      <c r="B274" s="1861" t="s">
        <v>2183</v>
      </c>
      <c r="C274" s="1862">
        <v>0.14799999999999999</v>
      </c>
      <c r="D274" s="1862">
        <v>0.14799999999999999</v>
      </c>
      <c r="E274" s="1862">
        <v>0.15</v>
      </c>
      <c r="F274" s="1863">
        <v>6.7000000000000004E-2</v>
      </c>
    </row>
    <row r="275" spans="1:6" ht="14.25" thickBot="1">
      <c r="A275" s="1857" t="s">
        <v>1416</v>
      </c>
      <c r="B275" s="1861" t="s">
        <v>2184</v>
      </c>
      <c r="C275" s="1862">
        <v>0.15</v>
      </c>
      <c r="D275" s="1862">
        <v>0.15</v>
      </c>
      <c r="E275" s="1862">
        <v>0.15</v>
      </c>
      <c r="F275" s="1863">
        <v>0.15</v>
      </c>
    </row>
    <row r="276" spans="1:6" ht="14.25" thickBot="1">
      <c r="A276" s="1857" t="s">
        <v>1416</v>
      </c>
      <c r="B276" s="1861" t="s">
        <v>2185</v>
      </c>
      <c r="C276" s="1862">
        <v>0.14499999999999999</v>
      </c>
      <c r="D276" s="1862">
        <v>0.14299999999999999</v>
      </c>
      <c r="E276" s="1862">
        <v>0.15</v>
      </c>
      <c r="F276" s="1863">
        <v>5.8999999999999997E-2</v>
      </c>
    </row>
    <row r="277" spans="1:6" ht="14.25" thickBot="1">
      <c r="A277" s="1857" t="s">
        <v>1416</v>
      </c>
      <c r="B277" s="1861" t="s">
        <v>2186</v>
      </c>
      <c r="C277" s="1862">
        <v>0.15</v>
      </c>
      <c r="D277" s="1862">
        <v>0.15</v>
      </c>
      <c r="E277" s="1862">
        <v>0.15</v>
      </c>
      <c r="F277" s="1863">
        <v>0.121</v>
      </c>
    </row>
    <row r="278" spans="1:6" ht="14.25" thickBot="1">
      <c r="A278" s="1857" t="s">
        <v>1416</v>
      </c>
      <c r="B278" s="1861" t="s">
        <v>2187</v>
      </c>
      <c r="C278" s="1862">
        <v>0.15</v>
      </c>
      <c r="D278" s="1862">
        <v>0.15</v>
      </c>
      <c r="E278" s="1862">
        <v>0.15</v>
      </c>
      <c r="F278" s="1863">
        <v>0.13800000000000001</v>
      </c>
    </row>
    <row r="279" spans="1:6" ht="24.75" thickBot="1">
      <c r="A279" s="1857" t="s">
        <v>1416</v>
      </c>
      <c r="B279" s="1861" t="s">
        <v>2188</v>
      </c>
      <c r="C279" s="1871"/>
      <c r="D279" s="1871"/>
      <c r="E279" s="1871"/>
      <c r="F279" s="1863">
        <v>0.05</v>
      </c>
    </row>
    <row r="280" spans="1:6" ht="24.75" thickBot="1">
      <c r="A280" s="1857" t="s">
        <v>1416</v>
      </c>
      <c r="B280" s="1861" t="s">
        <v>2189</v>
      </c>
      <c r="C280" s="1871"/>
      <c r="D280" s="1871"/>
      <c r="E280" s="1871"/>
      <c r="F280" s="1863">
        <v>0.05</v>
      </c>
    </row>
    <row r="281" spans="1:6" ht="24.75" thickBot="1">
      <c r="A281" s="1857" t="s">
        <v>1416</v>
      </c>
      <c r="B281" s="1861" t="s">
        <v>2190</v>
      </c>
      <c r="C281" s="1871"/>
      <c r="D281" s="1871"/>
      <c r="E281" s="1871"/>
      <c r="F281" s="1863">
        <v>0.05</v>
      </c>
    </row>
    <row r="282" spans="1:6" ht="24.75" thickBot="1">
      <c r="A282" s="1857" t="s">
        <v>1416</v>
      </c>
      <c r="B282" s="1861" t="s">
        <v>2191</v>
      </c>
      <c r="C282" s="1871"/>
      <c r="D282" s="1871"/>
      <c r="E282" s="1871"/>
      <c r="F282" s="1863">
        <v>0.05</v>
      </c>
    </row>
    <row r="283" spans="1:6" ht="24.75" thickBot="1">
      <c r="A283" s="1857" t="s">
        <v>1416</v>
      </c>
      <c r="B283" s="1861" t="s">
        <v>2192</v>
      </c>
      <c r="C283" s="1871"/>
      <c r="D283" s="1871"/>
      <c r="E283" s="1871"/>
      <c r="F283" s="1863">
        <v>0.05</v>
      </c>
    </row>
    <row r="284" spans="1:6" ht="24.75" thickBot="1">
      <c r="A284" s="1857" t="s">
        <v>1416</v>
      </c>
      <c r="B284" s="1861" t="s">
        <v>2193</v>
      </c>
      <c r="C284" s="1871"/>
      <c r="D284" s="1871"/>
      <c r="E284" s="1871"/>
      <c r="F284" s="1863">
        <v>0.05</v>
      </c>
    </row>
    <row r="285" spans="1:6" ht="24.75" thickBot="1">
      <c r="A285" s="1857" t="s">
        <v>1416</v>
      </c>
      <c r="B285" s="1861" t="s">
        <v>2194</v>
      </c>
      <c r="C285" s="1871"/>
      <c r="D285" s="1871"/>
      <c r="E285" s="1871"/>
      <c r="F285" s="1863">
        <v>0.05</v>
      </c>
    </row>
    <row r="286" spans="1:6" ht="24.75" thickBot="1">
      <c r="A286" s="1857" t="s">
        <v>1416</v>
      </c>
      <c r="B286" s="1861" t="s">
        <v>2195</v>
      </c>
      <c r="C286" s="1871"/>
      <c r="D286" s="1871"/>
      <c r="E286" s="1871"/>
      <c r="F286" s="1863">
        <v>0.05</v>
      </c>
    </row>
    <row r="287" spans="1:6" ht="24.75" thickBot="1">
      <c r="A287" s="1857" t="s">
        <v>1416</v>
      </c>
      <c r="B287" s="1861" t="s">
        <v>2196</v>
      </c>
      <c r="C287" s="1871"/>
      <c r="D287" s="1871"/>
      <c r="E287" s="1871"/>
      <c r="F287" s="1863">
        <v>0.05</v>
      </c>
    </row>
    <row r="288" spans="1:6" ht="24.75" thickBot="1">
      <c r="A288" s="1857" t="s">
        <v>1416</v>
      </c>
      <c r="B288" s="1861" t="s">
        <v>2197</v>
      </c>
      <c r="C288" s="1871"/>
      <c r="D288" s="1871"/>
      <c r="E288" s="1871"/>
      <c r="F288" s="1863">
        <v>0.05</v>
      </c>
    </row>
    <row r="289" spans="1:6" ht="24.75" thickBot="1">
      <c r="A289" s="1865" t="s">
        <v>1416</v>
      </c>
      <c r="B289" s="1872" t="s">
        <v>2198</v>
      </c>
      <c r="C289" s="1868"/>
      <c r="D289" s="1868"/>
      <c r="E289" s="1868"/>
      <c r="F289" s="1873">
        <v>0.05</v>
      </c>
    </row>
    <row r="290" spans="1:6" ht="14.25" thickBot="1">
      <c r="A290" s="1857" t="s">
        <v>1420</v>
      </c>
      <c r="B290" s="1858" t="s">
        <v>2199</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2200</v>
      </c>
      <c r="C292" s="1862">
        <v>0.15</v>
      </c>
      <c r="D292" s="1862">
        <v>0.15</v>
      </c>
      <c r="E292" s="1862">
        <v>0.15</v>
      </c>
      <c r="F292" s="1863">
        <v>0.14699999999999999</v>
      </c>
    </row>
    <row r="293" spans="1:6" ht="14.25" thickBot="1">
      <c r="A293" s="1857" t="s">
        <v>1420</v>
      </c>
      <c r="B293" s="1861" t="s">
        <v>2201</v>
      </c>
      <c r="C293" s="1871"/>
      <c r="D293" s="1871"/>
      <c r="E293" s="1871"/>
      <c r="F293" s="1863">
        <v>0.1</v>
      </c>
    </row>
    <row r="294" spans="1:6" ht="14.25" thickBot="1">
      <c r="A294" s="1857" t="s">
        <v>1420</v>
      </c>
      <c r="B294" s="1861" t="s">
        <v>2202</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2203</v>
      </c>
      <c r="C296" s="1862">
        <v>0.15</v>
      </c>
      <c r="D296" s="1862">
        <v>0.15</v>
      </c>
      <c r="E296" s="1862">
        <v>0.15</v>
      </c>
      <c r="F296" s="1863">
        <v>0.15</v>
      </c>
    </row>
    <row r="297" spans="1:6" ht="14.25" thickBot="1">
      <c r="A297" s="1857" t="s">
        <v>1420</v>
      </c>
      <c r="B297" s="1861" t="s">
        <v>2204</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2205</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2206</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2207</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2208</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2209</v>
      </c>
      <c r="C310" s="1862">
        <v>0.15</v>
      </c>
      <c r="D310" s="1862">
        <v>0.15</v>
      </c>
      <c r="E310" s="1862">
        <v>0.15</v>
      </c>
      <c r="F310" s="1863">
        <v>0.13700000000000001</v>
      </c>
    </row>
    <row r="311" spans="1:6" ht="14.25" thickBot="1">
      <c r="A311" s="1857" t="s">
        <v>1420</v>
      </c>
      <c r="B311" s="1861" t="s">
        <v>2210</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2211</v>
      </c>
      <c r="C313" s="1862">
        <v>0.15</v>
      </c>
      <c r="D313" s="1862">
        <v>0.15</v>
      </c>
      <c r="E313" s="1862">
        <v>0.15</v>
      </c>
      <c r="F313" s="1863">
        <v>0.15</v>
      </c>
    </row>
    <row r="314" spans="1:6" ht="24.75" thickBot="1">
      <c r="A314" s="1857" t="s">
        <v>1420</v>
      </c>
      <c r="B314" s="1861" t="s">
        <v>2212</v>
      </c>
      <c r="C314" s="1871"/>
      <c r="D314" s="1871"/>
      <c r="E314" s="1871"/>
      <c r="F314" s="1863">
        <v>0.05</v>
      </c>
    </row>
    <row r="315" spans="1:6" ht="24.75" thickBot="1">
      <c r="A315" s="1857" t="s">
        <v>1420</v>
      </c>
      <c r="B315" s="1861" t="s">
        <v>2213</v>
      </c>
      <c r="C315" s="1871"/>
      <c r="D315" s="1871"/>
      <c r="E315" s="1871"/>
      <c r="F315" s="1863">
        <v>0.05</v>
      </c>
    </row>
    <row r="316" spans="1:6" ht="24.75" thickBot="1">
      <c r="A316" s="1865" t="s">
        <v>1420</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1108</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1177</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1197</v>
      </c>
      <c r="C328" s="1862">
        <v>0.15</v>
      </c>
      <c r="D328" s="1862">
        <v>0.15</v>
      </c>
      <c r="E328" s="1862">
        <v>0.15</v>
      </c>
      <c r="F328" s="1863">
        <v>0.14099999999999999</v>
      </c>
    </row>
    <row r="329" spans="1:6" ht="14.25" thickBot="1">
      <c r="A329" s="1857" t="s">
        <v>2215</v>
      </c>
      <c r="B329" s="1861" t="s">
        <v>1207</v>
      </c>
      <c r="C329" s="1862">
        <v>0.15</v>
      </c>
      <c r="D329" s="1862">
        <v>0.15</v>
      </c>
      <c r="E329" s="1862">
        <v>0.15</v>
      </c>
      <c r="F329" s="1863">
        <v>0.15</v>
      </c>
    </row>
    <row r="330" spans="1:6" ht="14.25" thickBot="1">
      <c r="A330" s="1857" t="s">
        <v>2215</v>
      </c>
      <c r="B330" s="1861" t="s">
        <v>1217</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1237</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1257</v>
      </c>
      <c r="C334" s="1862">
        <v>0.15</v>
      </c>
      <c r="D334" s="1862">
        <v>0.15</v>
      </c>
      <c r="E334" s="1862">
        <v>0.15</v>
      </c>
      <c r="F334" s="1863">
        <v>0.15</v>
      </c>
    </row>
    <row r="335" spans="1:6" ht="14.25" thickBot="1">
      <c r="A335" s="1857" t="s">
        <v>2215</v>
      </c>
      <c r="B335" s="1861" t="s">
        <v>1267</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1285</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2949</v>
      </c>
      <c r="B1" s="3133"/>
      <c r="C1" s="3133"/>
      <c r="D1" s="3133"/>
      <c r="E1" s="3133"/>
      <c r="F1" s="3133"/>
    </row>
    <row r="2" spans="1:6" ht="14.25">
      <c r="A2" s="3134" t="s">
        <v>2944</v>
      </c>
      <c r="B2" s="3135" t="e">
        <f ca="1">SUMIF(B7:B14,"&lt;&gt;#ref!",B7:B14)</f>
        <v>#DIV/0!</v>
      </c>
      <c r="C2" s="3134" t="s">
        <v>2945</v>
      </c>
      <c r="D2" s="3133"/>
      <c r="E2" s="3133"/>
      <c r="F2" s="3133"/>
    </row>
    <row r="3" spans="1:6" ht="14.25">
      <c r="A3" s="3134" t="s">
        <v>2979</v>
      </c>
      <c r="B3" s="3135" t="e">
        <f ca="1">ROUND(B2*10000/E3,0)</f>
        <v>#DIV/0!</v>
      </c>
      <c r="C3" s="3134" t="s">
        <v>2077</v>
      </c>
      <c r="D3" s="3134" t="s">
        <v>2946</v>
      </c>
      <c r="E3" s="3135">
        <f ca="1">SUMIF(E7:E14,"&lt;&gt;#ref!",E7:E14)</f>
        <v>0</v>
      </c>
      <c r="F3" s="3133"/>
    </row>
    <row r="4" spans="1:6" ht="14.25">
      <c r="A4" s="3134" t="s">
        <v>2953</v>
      </c>
      <c r="B4" s="3135" t="e">
        <f ca="1">ROUND(B2*10000/E4,0)</f>
        <v>#DIV/0!</v>
      </c>
      <c r="C4" s="3134" t="s">
        <v>2077</v>
      </c>
      <c r="D4" s="3134" t="s">
        <v>2954</v>
      </c>
      <c r="E4" s="3135">
        <f ca="1">SUMIF(F7:F14,"&lt;&gt;#ref!",F7:F14)</f>
        <v>0</v>
      </c>
      <c r="F4" s="3133"/>
    </row>
    <row r="5" spans="1:6" ht="14.25">
      <c r="A5" s="3136"/>
      <c r="B5" s="1883"/>
      <c r="C5" s="1883"/>
      <c r="D5" s="1883"/>
      <c r="E5" s="1883"/>
      <c r="F5" s="3133"/>
    </row>
    <row r="6" spans="1:6" ht="28.5">
      <c r="A6" s="3137" t="s">
        <v>2950</v>
      </c>
      <c r="B6" s="3134" t="s">
        <v>2947</v>
      </c>
      <c r="C6" s="3135"/>
      <c r="D6" s="1883"/>
      <c r="E6" s="3134" t="s">
        <v>2948</v>
      </c>
      <c r="F6" s="3134" t="s">
        <v>2952</v>
      </c>
    </row>
    <row r="7" spans="1:6" ht="14.25">
      <c r="A7" s="260" t="s">
        <v>2951</v>
      </c>
      <c r="B7" s="3138" t="e">
        <f ca="1">SUMIF(INDIRECT("'"&amp;A7&amp;"'"&amp;"!A:A"),"总价",INDIRECT("'"&amp;A7&amp;"'"&amp;"!B:B"))</f>
        <v>#DIV/0!</v>
      </c>
      <c r="C7" s="3134" t="s">
        <v>2945</v>
      </c>
      <c r="D7" s="1883"/>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2945</v>
      </c>
      <c r="D8" s="1883"/>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2945</v>
      </c>
      <c r="D9" s="1883"/>
      <c r="E9" s="3139" t="e">
        <f t="shared" ca="1" si="1"/>
        <v>#REF!</v>
      </c>
      <c r="F9" s="3139" t="e">
        <f t="shared" ca="1" si="2"/>
        <v>#REF!</v>
      </c>
    </row>
    <row r="10" spans="1:6" ht="14.25">
      <c r="A10" s="260"/>
      <c r="B10" s="3138" t="e">
        <f t="shared" ca="1" si="0"/>
        <v>#REF!</v>
      </c>
      <c r="C10" s="3134" t="s">
        <v>2945</v>
      </c>
      <c r="D10" s="1883"/>
      <c r="E10" s="3139" t="e">
        <f t="shared" ca="1" si="1"/>
        <v>#REF!</v>
      </c>
      <c r="F10" s="3139" t="e">
        <f t="shared" ca="1" si="2"/>
        <v>#REF!</v>
      </c>
    </row>
    <row r="11" spans="1:6" ht="14.25">
      <c r="A11" s="260"/>
      <c r="B11" s="3138" t="e">
        <f t="shared" ca="1" si="0"/>
        <v>#REF!</v>
      </c>
      <c r="C11" s="3134" t="s">
        <v>2945</v>
      </c>
      <c r="D11" s="1883"/>
      <c r="E11" s="3139" t="e">
        <f t="shared" ca="1" si="1"/>
        <v>#REF!</v>
      </c>
      <c r="F11" s="3139" t="e">
        <f t="shared" ca="1" si="2"/>
        <v>#REF!</v>
      </c>
    </row>
    <row r="12" spans="1:6" ht="14.25">
      <c r="A12" s="260"/>
      <c r="B12" s="3138" t="e">
        <f t="shared" ca="1" si="0"/>
        <v>#REF!</v>
      </c>
      <c r="C12" s="3134" t="s">
        <v>2945</v>
      </c>
      <c r="D12" s="1883"/>
      <c r="E12" s="3139" t="e">
        <f t="shared" ca="1" si="1"/>
        <v>#REF!</v>
      </c>
      <c r="F12" s="3139" t="e">
        <f t="shared" ca="1" si="2"/>
        <v>#REF!</v>
      </c>
    </row>
    <row r="13" spans="1:6" ht="14.25">
      <c r="A13" s="260"/>
      <c r="B13" s="3138" t="e">
        <f t="shared" ca="1" si="0"/>
        <v>#REF!</v>
      </c>
      <c r="C13" s="3134" t="s">
        <v>2945</v>
      </c>
      <c r="D13" s="1883"/>
      <c r="E13" s="3139" t="e">
        <f t="shared" ca="1" si="1"/>
        <v>#REF!</v>
      </c>
      <c r="F13" s="3139" t="e">
        <f t="shared" ca="1" si="2"/>
        <v>#REF!</v>
      </c>
    </row>
    <row r="14" spans="1:6" ht="14.25">
      <c r="A14" s="3132"/>
      <c r="B14" s="3138" t="e">
        <f t="shared" ca="1" si="0"/>
        <v>#REF!</v>
      </c>
      <c r="C14" s="3134" t="s">
        <v>2945</v>
      </c>
      <c r="D14" s="1883"/>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2374</v>
      </c>
      <c r="F1" s="2414">
        <f ca="1">J54</f>
        <v>0</v>
      </c>
      <c r="G1" s="774">
        <f>MATCH(C1,'数据-取费表'!A6:A16,0)+5</f>
        <v>10</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1822</v>
      </c>
      <c r="B8" s="3479" t="s">
        <v>2463</v>
      </c>
      <c r="C8" s="1827">
        <f ca="1">ROUND(F8*F10*F9*(1-F11)/10000,0)</f>
        <v>0</v>
      </c>
      <c r="D8" s="1824" t="s">
        <v>2534</v>
      </c>
      <c r="E8" s="61" t="s">
        <v>637</v>
      </c>
      <c r="F8" s="785">
        <f ca="1">INDIRECT("'数据-取费表'!u"&amp;$G$1)</f>
        <v>0</v>
      </c>
      <c r="G8" s="1593"/>
      <c r="H8" s="2530" t="s">
        <v>1822</v>
      </c>
      <c r="I8" s="3479" t="s">
        <v>2463</v>
      </c>
      <c r="J8" s="783">
        <f ca="1">ROUND(M8*M10*M9*(1-M11)/10000,0)</f>
        <v>0</v>
      </c>
      <c r="K8" s="341" t="s">
        <v>2534</v>
      </c>
      <c r="L8" s="784" t="s">
        <v>1736</v>
      </c>
      <c r="M8" s="785">
        <f ca="1">INDIRECT("'数据-取费表'!z"&amp;$G$1)</f>
        <v>0</v>
      </c>
    </row>
    <row r="9" spans="1:25" ht="18" customHeight="1">
      <c r="A9" s="2526"/>
      <c r="B9" s="3480"/>
      <c r="C9" s="1828"/>
      <c r="D9" s="1825"/>
      <c r="E9" s="61" t="s">
        <v>638</v>
      </c>
      <c r="F9" s="785">
        <f ca="1">IF(INDIRECT("'数据-取费表'!ah"&amp;$G$1)="",INDIRECT("'数据-取费表'!k"&amp;$G$1),INDIRECT("'数据-取费表'!ah"&amp;$G$1))</f>
        <v>0</v>
      </c>
      <c r="G9" s="1593"/>
      <c r="H9" s="2515"/>
      <c r="I9" s="3480"/>
      <c r="J9" s="788"/>
      <c r="K9" s="789"/>
      <c r="L9" s="784" t="s">
        <v>1737</v>
      </c>
      <c r="M9" s="785">
        <f ca="1">F9</f>
        <v>0</v>
      </c>
    </row>
    <row r="10" spans="1:25" ht="18" customHeight="1">
      <c r="A10" s="2519"/>
      <c r="B10" s="3481"/>
      <c r="C10" s="1828"/>
      <c r="D10" s="1825"/>
      <c r="E10" s="61" t="s">
        <v>639</v>
      </c>
      <c r="F10" s="785">
        <f ca="1">INDIRECT("'数据-取费表'!ai"&amp;$G$1)</f>
        <v>0</v>
      </c>
      <c r="G10" s="1593"/>
      <c r="H10" s="2515"/>
      <c r="I10" s="3481"/>
      <c r="J10" s="788"/>
      <c r="K10" s="789"/>
      <c r="L10" s="784" t="s">
        <v>1738</v>
      </c>
      <c r="M10" s="785">
        <f ca="1">INDIRECT("'数据-取费表'!ai"&amp;$G$1)</f>
        <v>0</v>
      </c>
    </row>
    <row r="11" spans="1:25" ht="18" customHeight="1">
      <c r="A11" s="786"/>
      <c r="B11" s="3482"/>
      <c r="C11" s="1828"/>
      <c r="D11" s="1825"/>
      <c r="E11" s="61" t="s">
        <v>640</v>
      </c>
      <c r="F11" s="794">
        <f ca="1">INDIRECT("'数据-取费表'!w"&amp;$G$1)</f>
        <v>0</v>
      </c>
      <c r="G11" s="1593"/>
      <c r="H11" s="2531"/>
      <c r="I11" s="3481"/>
      <c r="J11" s="788"/>
      <c r="K11" s="789"/>
      <c r="L11" s="795" t="s">
        <v>1739</v>
      </c>
      <c r="M11" s="796">
        <f ca="1">INDIRECT("'数据-取费表'!ab"&amp;$G$1)</f>
        <v>0</v>
      </c>
    </row>
    <row r="12" spans="1:25" ht="18" customHeight="1">
      <c r="A12" s="1832" t="s">
        <v>1823</v>
      </c>
      <c r="B12" s="2520" t="s">
        <v>2459</v>
      </c>
      <c r="C12" s="799">
        <f ca="1">ROUND(IF(F12="押一",C8/12*F13,IF(F12="押二",C8/12*2*F13,IF(F12="押三",C8/12*3*F13,C13*F13))),0)</f>
        <v>0</v>
      </c>
      <c r="D12" s="2527" t="s">
        <v>2974</v>
      </c>
      <c r="E12" s="2524" t="s">
        <v>2464</v>
      </c>
      <c r="F12" s="2647"/>
      <c r="G12" s="1593"/>
      <c r="H12" s="2587" t="s">
        <v>1823</v>
      </c>
      <c r="I12" s="2592" t="s">
        <v>2459</v>
      </c>
      <c r="J12" s="783">
        <f ca="1">ROUND(IF(M12="押一",J8/12*M13,IF(M12="押二",J8/12*2*M13,IF(M12="押三",J8/12*3*M13,J13*M13))),0)</f>
        <v>0</v>
      </c>
      <c r="K12" s="2527" t="s">
        <v>2974</v>
      </c>
      <c r="L12" s="2524" t="s">
        <v>2464</v>
      </c>
      <c r="M12" s="2647"/>
    </row>
    <row r="13" spans="1:25" ht="18" customHeight="1">
      <c r="A13" s="790"/>
      <c r="B13" s="2521" t="s">
        <v>2573</v>
      </c>
      <c r="C13" s="2525"/>
      <c r="D13" s="789"/>
      <c r="E13" s="2524" t="s">
        <v>2456</v>
      </c>
      <c r="F13" s="796">
        <f ca="1">'数据-取费表'!B39</f>
        <v>1.4999999999999999E-2</v>
      </c>
      <c r="G13" s="1593"/>
      <c r="H13" s="2588"/>
      <c r="I13" s="2521" t="s">
        <v>2573</v>
      </c>
      <c r="J13" s="2525"/>
      <c r="K13" s="2589"/>
      <c r="L13" s="2524" t="s">
        <v>2456</v>
      </c>
      <c r="M13" s="2518">
        <f ca="1">'数据-取费表'!B39</f>
        <v>1.4999999999999999E-2</v>
      </c>
    </row>
    <row r="14" spans="1:25" ht="18" customHeight="1" thickBot="1">
      <c r="A14" s="2563" t="s">
        <v>2467</v>
      </c>
      <c r="B14" s="2564" t="s">
        <v>2460</v>
      </c>
      <c r="C14" s="2565"/>
      <c r="D14" s="2566"/>
      <c r="E14" s="2567"/>
      <c r="F14" s="2568"/>
      <c r="G14" s="1593"/>
      <c r="H14" s="2577" t="s">
        <v>2467</v>
      </c>
      <c r="I14" s="2590" t="s">
        <v>2460</v>
      </c>
      <c r="J14" s="2591"/>
      <c r="K14" s="2566"/>
      <c r="L14" s="2567"/>
      <c r="M14" s="2580"/>
    </row>
    <row r="15" spans="1:25" ht="18" customHeight="1" thickTop="1">
      <c r="A15" s="1831" t="s">
        <v>1872</v>
      </c>
      <c r="B15" s="1829" t="s">
        <v>641</v>
      </c>
      <c r="C15" s="792">
        <f ca="1">ROUND(C31*F15,0)</f>
        <v>0</v>
      </c>
      <c r="D15" s="1836" t="s">
        <v>642</v>
      </c>
      <c r="E15" s="795" t="s">
        <v>643</v>
      </c>
      <c r="F15" s="800">
        <f ca="1">INDIRECT("'数据-取费表'!y"&amp;$G$1)</f>
        <v>0</v>
      </c>
      <c r="G15" s="1593"/>
      <c r="H15" s="1831" t="s">
        <v>1824</v>
      </c>
      <c r="I15" s="1829" t="s">
        <v>644</v>
      </c>
      <c r="J15" s="1821">
        <f ca="1">ROUND(J16*J17,0)</f>
        <v>0</v>
      </c>
      <c r="K15" s="1823" t="s">
        <v>642</v>
      </c>
      <c r="L15" s="801"/>
      <c r="M15" s="802"/>
    </row>
    <row r="16" spans="1:25" ht="18" customHeight="1">
      <c r="A16" s="803" t="s">
        <v>1873</v>
      </c>
      <c r="B16" s="784" t="s">
        <v>645</v>
      </c>
      <c r="C16" s="804">
        <f ca="1">INDIRECT("'数据-取费表'!m"&amp;$G$1)+INDIRECT("'数据-取费表'!t"&amp;$G$1)</f>
        <v>0</v>
      </c>
      <c r="D16" s="1981" t="s">
        <v>646</v>
      </c>
      <c r="E16" s="1982"/>
      <c r="F16" s="805"/>
      <c r="G16" s="1593"/>
      <c r="H16" s="803" t="s">
        <v>2068</v>
      </c>
      <c r="I16" s="2233" t="s">
        <v>2825</v>
      </c>
      <c r="J16" s="53">
        <f ca="1">C31</f>
        <v>0</v>
      </c>
      <c r="K16" s="26"/>
      <c r="L16" s="801"/>
      <c r="M16" s="802"/>
    </row>
    <row r="17" spans="1:25" s="2066" customFormat="1" ht="18" customHeight="1">
      <c r="A17" s="803" t="s">
        <v>1847</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93"/>
      <c r="H18" s="797" t="s">
        <v>1825</v>
      </c>
      <c r="I18" s="798" t="s">
        <v>651</v>
      </c>
      <c r="J18" s="799">
        <f ca="1">ROUND(J19+J24+J25+J26,0)</f>
        <v>0</v>
      </c>
      <c r="K18" s="26" t="s">
        <v>652</v>
      </c>
      <c r="L18" s="1984"/>
      <c r="M18" s="56"/>
    </row>
    <row r="19" spans="1:25" s="2066" customFormat="1" ht="18" customHeight="1">
      <c r="A19" s="803" t="s">
        <v>1849</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1850</v>
      </c>
      <c r="B20" s="784" t="s">
        <v>659</v>
      </c>
      <c r="C20" s="53">
        <f ca="1">ROUND(C16*F20,0)</f>
        <v>0</v>
      </c>
      <c r="D20" s="784" t="s">
        <v>648</v>
      </c>
      <c r="E20" s="784" t="s">
        <v>649</v>
      </c>
      <c r="F20" s="809">
        <f>'数据-取费表'!B36</f>
        <v>1.4999999999999999E-2</v>
      </c>
      <c r="G20" s="1594"/>
      <c r="H20" s="803" t="s">
        <v>1829</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1874</v>
      </c>
      <c r="B21" s="784" t="s">
        <v>662</v>
      </c>
      <c r="C21" s="53">
        <f ca="1">SUM(C16:C20)</f>
        <v>0</v>
      </c>
      <c r="D21" s="261" t="s">
        <v>663</v>
      </c>
      <c r="E21" s="1984"/>
      <c r="F21" s="56"/>
      <c r="G21" s="1593"/>
      <c r="H21" s="1832" t="s">
        <v>1847</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1875</v>
      </c>
      <c r="B22" s="784" t="s">
        <v>666</v>
      </c>
      <c r="C22" s="53">
        <f ca="1">ROUND(C21*F22,0)</f>
        <v>0</v>
      </c>
      <c r="D22" s="812" t="s">
        <v>667</v>
      </c>
      <c r="E22" s="784" t="s">
        <v>649</v>
      </c>
      <c r="F22" s="809">
        <f>'数据-取费表'!B37</f>
        <v>0.02</v>
      </c>
      <c r="G22" s="1594"/>
      <c r="H22" s="1834" t="s">
        <v>1848</v>
      </c>
      <c r="I22" s="1824" t="s">
        <v>668</v>
      </c>
      <c r="J22" s="54">
        <f ca="1">ROUND(M22*M23/10000,0)</f>
        <v>0</v>
      </c>
      <c r="K22" s="814" t="s">
        <v>669</v>
      </c>
      <c r="L22" s="784" t="s">
        <v>670</v>
      </c>
      <c r="M22" s="640">
        <f>'数据-取费表'!B52</f>
        <v>30</v>
      </c>
      <c r="N22" s="2065"/>
      <c r="O22" s="2065"/>
      <c r="P22" s="2065"/>
      <c r="Q22" s="2065"/>
      <c r="R22" s="2065"/>
      <c r="S22" s="2065"/>
      <c r="T22" s="2065"/>
      <c r="U22" s="2065"/>
      <c r="V22" s="2065"/>
      <c r="W22" s="2065"/>
      <c r="X22" s="2065"/>
      <c r="Y22" s="2065"/>
    </row>
    <row r="23" spans="1:25" s="2066" customFormat="1" ht="18" customHeight="1">
      <c r="A23" s="803" t="s">
        <v>1876</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1877</v>
      </c>
      <c r="B24" s="784" t="s">
        <v>675</v>
      </c>
      <c r="C24" s="53"/>
      <c r="D24" s="2598" t="str">
        <f>IF(F25&lt;=1,"单利计息。","复利计息。")&amp;"建造成本、管理费用、销售费用产生的利息。"</f>
        <v>复利计息。建造成本、管理费用、销售费用产生的利息。</v>
      </c>
      <c r="E24" s="1984"/>
      <c r="F24" s="56"/>
      <c r="G24" s="1593"/>
      <c r="H24" s="1833" t="s">
        <v>2069</v>
      </c>
      <c r="I24" s="784" t="s">
        <v>676</v>
      </c>
      <c r="J24" s="53">
        <f ca="1">ROUND(J16*M24,0)</f>
        <v>0</v>
      </c>
      <c r="K24" s="1979" t="s">
        <v>677</v>
      </c>
      <c r="L24" s="784" t="s">
        <v>649</v>
      </c>
      <c r="M24" s="817">
        <f ca="1">INDIRECT("'数据-取费表'!Ak"&amp;$G$1)</f>
        <v>0</v>
      </c>
    </row>
    <row r="25" spans="1:25" s="2066" customFormat="1" ht="18" customHeight="1">
      <c r="A25" s="803" t="s">
        <v>1873</v>
      </c>
      <c r="B25" s="784" t="s">
        <v>2437</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1876</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1847</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1877</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1879</v>
      </c>
      <c r="B27" s="784" t="s">
        <v>684</v>
      </c>
      <c r="C27" s="53"/>
      <c r="D27" s="261" t="s">
        <v>685</v>
      </c>
      <c r="E27" s="1984"/>
      <c r="F27" s="56"/>
      <c r="G27" s="1593"/>
      <c r="H27" s="797" t="s">
        <v>1826</v>
      </c>
      <c r="I27" s="3037" t="s">
        <v>2822</v>
      </c>
      <c r="J27" s="799">
        <f ca="1">J7-J18</f>
        <v>0</v>
      </c>
      <c r="K27" s="1981" t="s">
        <v>700</v>
      </c>
      <c r="L27" s="1983"/>
      <c r="M27" s="820"/>
    </row>
    <row r="28" spans="1:25" ht="18" customHeight="1">
      <c r="A28" s="803" t="s">
        <v>1873</v>
      </c>
      <c r="B28" s="784" t="s">
        <v>2438</v>
      </c>
      <c r="C28" s="53">
        <f ca="1">ROUND((C21+C22)*F28,0)</f>
        <v>0</v>
      </c>
      <c r="D28" s="812" t="s">
        <v>701</v>
      </c>
      <c r="E28" s="795" t="s">
        <v>702</v>
      </c>
      <c r="F28" s="794">
        <f ca="1">INDIRECT("'数据-取费表'!q"&amp;$G$1)</f>
        <v>0</v>
      </c>
      <c r="G28" s="1593"/>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1880</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1881</v>
      </c>
      <c r="B31" s="2567" t="s">
        <v>2823</v>
      </c>
      <c r="C31" s="2570">
        <f ca="1">ROUND((C21+C22+C25+C28)/(1-F23-C26-C29-C30),0)</f>
        <v>0</v>
      </c>
      <c r="D31" s="2571"/>
      <c r="E31" s="2572"/>
      <c r="F31" s="2573"/>
      <c r="G31" s="1594"/>
      <c r="H31" s="823" t="s">
        <v>1870</v>
      </c>
      <c r="I31" s="3038"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1874</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1873</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1847</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1878</v>
      </c>
      <c r="B36" s="341" t="s">
        <v>668</v>
      </c>
      <c r="C36" s="54">
        <f ca="1">ROUND(F36*F37/10000,1)</f>
        <v>0</v>
      </c>
      <c r="D36" s="814" t="s">
        <v>669</v>
      </c>
      <c r="E36" s="784" t="s">
        <v>670</v>
      </c>
      <c r="F36" s="640">
        <f>'数据-取费表'!B52</f>
        <v>30</v>
      </c>
      <c r="G36" s="2064"/>
      <c r="H36" s="2067"/>
      <c r="I36" s="3478"/>
      <c r="J36" s="2081"/>
      <c r="K36" s="2082"/>
      <c r="L36" s="2081"/>
      <c r="M36" s="2081"/>
    </row>
    <row r="37" spans="1:18" ht="18" customHeight="1">
      <c r="A37" s="815"/>
      <c r="B37" s="793"/>
      <c r="C37" s="69"/>
      <c r="D37" s="816"/>
      <c r="E37" s="784" t="s">
        <v>674</v>
      </c>
      <c r="F37" s="785">
        <f ca="1">INDIRECT("'数据-取费表'!r"&amp;$G$1)</f>
        <v>0</v>
      </c>
      <c r="G37" s="2064"/>
      <c r="H37" s="2067"/>
      <c r="I37" s="3478"/>
      <c r="J37" s="2079"/>
      <c r="K37" s="2080"/>
      <c r="L37" s="2079"/>
      <c r="M37" s="2079"/>
    </row>
    <row r="38" spans="1:18" ht="18" customHeight="1">
      <c r="A38" s="803" t="s">
        <v>1875</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1876</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1877</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1874</v>
      </c>
      <c r="B42" s="835" t="s">
        <v>693</v>
      </c>
      <c r="C42" s="829">
        <f ca="1">C7-C32</f>
        <v>0</v>
      </c>
      <c r="D42" s="1981" t="s">
        <v>694</v>
      </c>
      <c r="E42" s="1983"/>
      <c r="F42" s="820"/>
      <c r="G42" s="2064"/>
      <c r="H42" s="2064"/>
      <c r="I42" s="2064"/>
      <c r="J42" s="2064"/>
      <c r="K42" s="2085"/>
      <c r="L42" s="2064"/>
      <c r="M42" s="2064"/>
    </row>
    <row r="43" spans="1:18" ht="18" customHeight="1">
      <c r="A43" s="803" t="s">
        <v>1875</v>
      </c>
      <c r="B43" s="835" t="s">
        <v>711</v>
      </c>
      <c r="C43" s="836">
        <f ca="1">ROUND(C15*F43,0)</f>
        <v>0</v>
      </c>
      <c r="D43" s="1356" t="s">
        <v>712</v>
      </c>
      <c r="E43" s="3152" t="s">
        <v>2962</v>
      </c>
      <c r="F43" s="3153">
        <f ca="1">INDIRECT("'数据-取费表'!j"&amp;$G$1)</f>
        <v>0</v>
      </c>
      <c r="G43" s="2064"/>
      <c r="H43" s="2064"/>
      <c r="I43" s="2064"/>
      <c r="J43" s="2064"/>
      <c r="K43" s="2085"/>
      <c r="L43" s="2064"/>
      <c r="M43" s="2064"/>
    </row>
    <row r="44" spans="1:18" ht="18" customHeight="1">
      <c r="A44" s="803" t="s">
        <v>1876</v>
      </c>
      <c r="B44" s="835" t="s">
        <v>713</v>
      </c>
      <c r="C44" s="1357">
        <f ca="1">C42-C43</f>
        <v>0</v>
      </c>
      <c r="D44" s="463" t="s">
        <v>714</v>
      </c>
      <c r="E44" s="464"/>
      <c r="F44" s="465"/>
      <c r="G44" s="2064"/>
      <c r="H44" s="2064"/>
      <c r="I44" s="2064"/>
      <c r="J44" s="2064"/>
      <c r="K44" s="2085"/>
      <c r="L44" s="2064"/>
      <c r="M44" s="2064"/>
    </row>
    <row r="45" spans="1:18" ht="18" customHeight="1">
      <c r="A45" s="803" t="s">
        <v>1877</v>
      </c>
      <c r="B45" s="1356" t="s">
        <v>715</v>
      </c>
      <c r="C45" s="3062">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4"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2342</v>
      </c>
      <c r="J47" s="2381"/>
      <c r="K47" s="2382"/>
      <c r="L47" s="2383" t="str">
        <f ca="1">IF(M48="住宅",0,IF(L49&gt;J52,L61,J61))</f>
        <v>0</v>
      </c>
      <c r="O47" s="2420" t="s">
        <v>2410</v>
      </c>
      <c r="P47" s="1593"/>
      <c r="Q47" s="1605"/>
      <c r="R47" s="1593"/>
    </row>
    <row r="48" spans="1:18" s="2061" customFormat="1" ht="18" customHeight="1" thickBot="1">
      <c r="A48" s="2086"/>
      <c r="C48" s="2089"/>
      <c r="D48" s="2090"/>
      <c r="E48" s="2090"/>
      <c r="F48" s="2091"/>
      <c r="G48" s="2092"/>
      <c r="I48" s="2384" t="s">
        <v>2343</v>
      </c>
      <c r="J48" s="2389"/>
      <c r="K48" s="2390" t="s">
        <v>2349</v>
      </c>
      <c r="L48" s="2391">
        <f ca="1">INDIRECT("'数据-取费表'!d"&amp;$G$1)</f>
        <v>0</v>
      </c>
      <c r="M48" s="3149" t="str">
        <f>IF(ISNUMBER(FIND("住宅",C1)),"住宅","非住宅")</f>
        <v>非住宅</v>
      </c>
      <c r="O48" s="2421" t="s">
        <v>2375</v>
      </c>
      <c r="P48" s="2422" t="s">
        <v>2376</v>
      </c>
      <c r="Q48" s="2423" t="s">
        <v>2377</v>
      </c>
      <c r="R48" s="2422" t="s">
        <v>2378</v>
      </c>
    </row>
    <row r="49" spans="1:18" s="2061" customFormat="1" ht="18" customHeight="1" thickBot="1">
      <c r="A49" s="2086"/>
      <c r="D49" s="2093"/>
      <c r="E49" s="2094"/>
      <c r="F49" s="2091"/>
      <c r="G49" s="2092"/>
      <c r="H49" s="2095"/>
      <c r="I49" s="2385" t="s">
        <v>2344</v>
      </c>
      <c r="J49" s="2392"/>
      <c r="K49" s="2393" t="s">
        <v>2351</v>
      </c>
      <c r="L49" s="2394">
        <f ca="1">INDIRECT("'数据-取费表'!f"&amp;$G$1)</f>
        <v>0</v>
      </c>
      <c r="O49" s="2424" t="s">
        <v>2379</v>
      </c>
      <c r="P49" s="2425" t="s">
        <v>2405</v>
      </c>
      <c r="Q49" s="2426">
        <f ca="1">C41+J31</f>
        <v>0</v>
      </c>
      <c r="R49" s="2425" t="s">
        <v>2380</v>
      </c>
    </row>
    <row r="50" spans="1:18" s="2061" customFormat="1" ht="18" customHeight="1" thickBot="1">
      <c r="A50" s="2086"/>
      <c r="D50" s="2096"/>
      <c r="E50" s="2096"/>
      <c r="F50" s="2090"/>
      <c r="G50" s="2097"/>
      <c r="H50" s="2095"/>
      <c r="I50" s="2385" t="s">
        <v>2345</v>
      </c>
      <c r="J50" s="2395"/>
      <c r="K50" s="2396" t="s">
        <v>2352</v>
      </c>
      <c r="L50" s="2397"/>
      <c r="O50" s="2424" t="s">
        <v>2381</v>
      </c>
      <c r="P50" s="2425" t="s">
        <v>2406</v>
      </c>
      <c r="Q50" s="2426" t="str">
        <f ca="1">J61</f>
        <v>0</v>
      </c>
      <c r="R50" s="2425" t="s">
        <v>2382</v>
      </c>
    </row>
    <row r="51" spans="1:18" s="2061" customFormat="1" ht="18" customHeight="1" thickBot="1">
      <c r="A51" s="2098"/>
      <c r="D51" s="2096"/>
      <c r="E51" s="2096"/>
      <c r="F51" s="2087"/>
      <c r="H51" s="2095"/>
      <c r="I51" s="2385" t="s">
        <v>2346</v>
      </c>
      <c r="J51" s="2398">
        <f>SUMPRODUCT((I64:I66=J48)*(J63:L63=J49)*(J64:L66))</f>
        <v>0</v>
      </c>
      <c r="K51" s="2396" t="s">
        <v>2353</v>
      </c>
      <c r="L51" s="2397"/>
      <c r="O51" s="2427" t="s">
        <v>2383</v>
      </c>
      <c r="P51" s="2425" t="s">
        <v>2407</v>
      </c>
      <c r="Q51" s="2426">
        <f ca="1">C31</f>
        <v>0</v>
      </c>
      <c r="R51" s="2425" t="s">
        <v>2380</v>
      </c>
    </row>
    <row r="52" spans="1:18" s="2061" customFormat="1" ht="18" customHeight="1" thickBot="1">
      <c r="A52" s="2098"/>
      <c r="F52" s="2087"/>
      <c r="I52" s="2386" t="s">
        <v>2347</v>
      </c>
      <c r="J52" s="2399">
        <f>IF(J50="",J51,J50+J51-YEAR('数据-取费表'!B3))</f>
        <v>0</v>
      </c>
      <c r="K52" s="2385" t="s">
        <v>2354</v>
      </c>
      <c r="L52" s="2400">
        <f ca="1">ROUND(-PV(INDIRECT("'数据-取费表'!h"&amp;$G$1),L49,(C40-C14*J36),0),0)</f>
        <v>0</v>
      </c>
      <c r="O52" s="2427" t="s">
        <v>2384</v>
      </c>
      <c r="P52" s="2425" t="s">
        <v>2385</v>
      </c>
      <c r="Q52" s="2428" t="e">
        <f ca="1">J59</f>
        <v>#VALUE!</v>
      </c>
      <c r="R52" s="2429"/>
    </row>
    <row r="53" spans="1:18" s="2061" customFormat="1" ht="18" customHeight="1" thickBot="1">
      <c r="A53" s="2098"/>
      <c r="F53" s="2087"/>
      <c r="I53" s="2387" t="s">
        <v>2421</v>
      </c>
      <c r="J53" s="2401"/>
      <c r="K53" s="2387" t="s">
        <v>2420</v>
      </c>
      <c r="L53" s="2401"/>
      <c r="O53" s="2427" t="s">
        <v>2386</v>
      </c>
      <c r="P53" s="2425" t="s">
        <v>2387</v>
      </c>
      <c r="Q53" s="2428">
        <f>J53</f>
        <v>0</v>
      </c>
      <c r="R53" s="2429"/>
    </row>
    <row r="54" spans="1:18" s="2061" customFormat="1" ht="43.5" thickBot="1">
      <c r="A54" s="2098"/>
      <c r="I54" s="2388" t="s">
        <v>2348</v>
      </c>
      <c r="J54" s="2402">
        <f ca="1">IF(M48="住宅",J52,IF(J52&gt;L49,L49-'数据-取费表'!B25,J52))</f>
        <v>0</v>
      </c>
      <c r="K54" s="3483"/>
      <c r="L54" s="3484"/>
      <c r="O54" s="2427" t="s">
        <v>2388</v>
      </c>
      <c r="P54" s="2425" t="s">
        <v>2389</v>
      </c>
      <c r="Q54" s="2426">
        <f ca="1">J54</f>
        <v>0</v>
      </c>
      <c r="R54" s="2425" t="s">
        <v>2390</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2391</v>
      </c>
      <c r="P55" s="2425" t="s">
        <v>2408</v>
      </c>
      <c r="Q55" s="2426">
        <f ca="1">Q49+Q50</f>
        <v>0</v>
      </c>
      <c r="R55" s="2429" t="s">
        <v>2392</v>
      </c>
    </row>
    <row r="56" spans="1:18" s="2061" customFormat="1" ht="16.5" thickBot="1">
      <c r="A56" s="2098"/>
      <c r="B56" s="2099"/>
      <c r="C56" s="2099"/>
      <c r="I56" s="3126" t="s">
        <v>2355</v>
      </c>
      <c r="J56" s="3150" t="e">
        <f ca="1">ROUND(IF(J48="钢混",J58/J51,1-(1-2%)*(J51-J58)/J51),3)</f>
        <v>#VALUE!</v>
      </c>
      <c r="K56" s="2403" t="s">
        <v>2356</v>
      </c>
      <c r="L56" s="2404"/>
      <c r="O56" s="2430" t="s">
        <v>2411</v>
      </c>
      <c r="P56" s="1593"/>
      <c r="Q56" s="1605"/>
      <c r="R56" s="1593"/>
    </row>
    <row r="57" spans="1:18" s="2061" customFormat="1" ht="43.5" thickBot="1">
      <c r="A57" s="2098"/>
      <c r="B57" s="2099"/>
      <c r="C57" s="2099"/>
      <c r="I57" s="2405" t="s">
        <v>2357</v>
      </c>
      <c r="J57" s="3149" t="s">
        <v>1679</v>
      </c>
      <c r="K57" s="2385" t="s">
        <v>2362</v>
      </c>
      <c r="L57" s="2394">
        <f ca="1">IF(L49&lt;J52,"——",L49-J52)</f>
        <v>0</v>
      </c>
      <c r="O57" s="2421" t="s">
        <v>2375</v>
      </c>
      <c r="P57" s="2422" t="s">
        <v>2376</v>
      </c>
      <c r="Q57" s="2423" t="s">
        <v>2377</v>
      </c>
      <c r="R57" s="2422" t="s">
        <v>2378</v>
      </c>
    </row>
    <row r="58" spans="1:18" s="2061" customFormat="1" ht="29.25" thickBot="1">
      <c r="A58" s="2098"/>
      <c r="B58" s="2099"/>
      <c r="C58" s="2099"/>
      <c r="I58" s="2406" t="s">
        <v>2358</v>
      </c>
      <c r="J58" s="2408" t="str">
        <f ca="1">IF(OR(M48="住宅",J52&lt;L49,J57="是"),"——",J52-L49)</f>
        <v>——</v>
      </c>
      <c r="K58" s="2385" t="s">
        <v>2363</v>
      </c>
      <c r="L58" s="2394">
        <f ca="1">IF(L49&lt;J52,"——",IF(L56="比较法",L50,IF(L56="基准地价",L51,L52)))</f>
        <v>0</v>
      </c>
      <c r="O58" s="2424" t="s">
        <v>2379</v>
      </c>
      <c r="P58" s="2425" t="s">
        <v>2405</v>
      </c>
      <c r="Q58" s="2426">
        <f ca="1">C41+J31</f>
        <v>0</v>
      </c>
      <c r="R58" s="2425" t="s">
        <v>2380</v>
      </c>
    </row>
    <row r="59" spans="1:18" s="2061" customFormat="1" ht="29.25" thickBot="1">
      <c r="A59" s="2098"/>
      <c r="B59" s="2099"/>
      <c r="C59" s="2099"/>
      <c r="I59" s="2406" t="s">
        <v>2359</v>
      </c>
      <c r="J59" s="3151" t="e">
        <f ca="1">IF(J56&lt;0.4,0.4,J56)</f>
        <v>#VALUE!</v>
      </c>
      <c r="K59" s="2385" t="s">
        <v>2364</v>
      </c>
      <c r="L59" s="2394">
        <f ca="1">IF(ISERROR(POWER(1+L53,L48-L49)*(POWER(1+L53,L49)-1)/(POWER(1+L53,L48)-1)),0,POWER(1+L53,L48-L49)*(POWER(1+L53,L49)-1)/(POWER(1+L53,L48)-1))</f>
        <v>0</v>
      </c>
      <c r="O59" s="2424" t="s">
        <v>2381</v>
      </c>
      <c r="P59" s="2425" t="s">
        <v>2412</v>
      </c>
      <c r="Q59" s="2426" t="e">
        <f ca="1">L61</f>
        <v>#DIV/0!</v>
      </c>
      <c r="R59" s="2429" t="s">
        <v>2414</v>
      </c>
    </row>
    <row r="60" spans="1:18" s="2061" customFormat="1" ht="29.25" thickBot="1">
      <c r="A60" s="2098"/>
      <c r="B60" s="2099"/>
      <c r="C60" s="2099"/>
      <c r="I60" s="2406" t="s">
        <v>2360</v>
      </c>
      <c r="J60" s="2408" t="str">
        <f ca="1">IF(OR(M48="住宅",J52&lt;L49,J57="是"),"——",ROUND(C30*J59,0))</f>
        <v>——</v>
      </c>
      <c r="K60" s="2385" t="s">
        <v>2365</v>
      </c>
      <c r="L60" s="2394">
        <f ca="1">IF(ISERROR(POWER(1+L53,L48-J52)*(POWER(1+L53,J52)-1)/(POWER(1+L53,L48)-1)),0,POWER(1+L53,L48-J52)*(POWER(1+L53,J52)-1)/(POWER(1+L53,L48)-1))</f>
        <v>0</v>
      </c>
      <c r="O60" s="2427" t="s">
        <v>2383</v>
      </c>
      <c r="P60" s="2425" t="s">
        <v>2413</v>
      </c>
      <c r="Q60" s="2426">
        <f>IF(L56="比较法",L50,IF(L56="基准地价",L51,0))</f>
        <v>0</v>
      </c>
      <c r="R60" s="2425" t="s">
        <v>2380</v>
      </c>
    </row>
    <row r="61" spans="1:18" s="2061" customFormat="1" ht="15.75" thickBot="1">
      <c r="A61" s="2098"/>
      <c r="B61" s="2099"/>
      <c r="C61" s="2099"/>
      <c r="I61" s="2407" t="s">
        <v>2361</v>
      </c>
      <c r="J61" s="2409" t="str">
        <f ca="1">IF(OR(M48="住宅",J52&lt;L49,J57="是"),"0",ROUND(J60/(1+J53)^J54,0))</f>
        <v>0</v>
      </c>
      <c r="K61" s="2410" t="s">
        <v>2366</v>
      </c>
      <c r="L61" s="2409" t="e">
        <f ca="1">IF(OR(M48="住宅",L49&lt;J52),0,ROUND(L58*(L59/L60-1),0))</f>
        <v>#DIV/0!</v>
      </c>
      <c r="O61" s="2427" t="s">
        <v>2384</v>
      </c>
      <c r="P61" s="2425" t="s">
        <v>2393</v>
      </c>
      <c r="Q61" s="2428">
        <f>L53</f>
        <v>0</v>
      </c>
      <c r="R61" s="2429"/>
    </row>
    <row r="62" spans="1:18" s="2061" customFormat="1" ht="20.25" thickBot="1">
      <c r="A62" s="2098"/>
      <c r="B62" s="2099"/>
      <c r="C62" s="2099"/>
      <c r="K62" s="2088"/>
      <c r="O62" s="2427" t="s">
        <v>2386</v>
      </c>
      <c r="P62" s="2425" t="s">
        <v>2394</v>
      </c>
      <c r="Q62" s="2426">
        <f ca="1">L59</f>
        <v>0</v>
      </c>
      <c r="R62" s="2429" t="s">
        <v>2395</v>
      </c>
    </row>
    <row r="63" spans="1:18" s="2061" customFormat="1" ht="20.25" thickBot="1">
      <c r="A63" s="2098"/>
      <c r="B63" s="2099"/>
      <c r="C63" s="2099"/>
      <c r="I63" s="2411" t="s">
        <v>2367</v>
      </c>
      <c r="J63" s="2412" t="s">
        <v>2368</v>
      </c>
      <c r="K63" s="2412" t="s">
        <v>2369</v>
      </c>
      <c r="L63" s="2412" t="s">
        <v>2350</v>
      </c>
      <c r="M63" s="3128" t="s">
        <v>2942</v>
      </c>
      <c r="O63" s="2427" t="s">
        <v>2388</v>
      </c>
      <c r="P63" s="2425" t="s">
        <v>2396</v>
      </c>
      <c r="Q63" s="2426">
        <f ca="1">L60</f>
        <v>0</v>
      </c>
      <c r="R63" s="2429" t="s">
        <v>2397</v>
      </c>
    </row>
    <row r="64" spans="1:18" s="2061" customFormat="1" ht="15.75" thickBot="1">
      <c r="A64" s="2098"/>
      <c r="B64" s="2099"/>
      <c r="C64" s="2099"/>
      <c r="I64" s="2411" t="s">
        <v>2370</v>
      </c>
      <c r="J64" s="2412">
        <v>70</v>
      </c>
      <c r="K64" s="2412">
        <v>50</v>
      </c>
      <c r="L64" s="2412">
        <v>80</v>
      </c>
      <c r="M64" s="3129">
        <v>0.02</v>
      </c>
      <c r="O64" s="2424" t="s">
        <v>2391</v>
      </c>
      <c r="P64" s="2425" t="s">
        <v>2408</v>
      </c>
      <c r="Q64" s="2426" t="e">
        <f ca="1">Q58+Q59</f>
        <v>#DIV/0!</v>
      </c>
      <c r="R64" s="2429" t="s">
        <v>2392</v>
      </c>
    </row>
    <row r="65" spans="1:18" s="2061" customFormat="1" ht="16.5" thickBot="1">
      <c r="A65" s="2098"/>
      <c r="B65" s="2099"/>
      <c r="C65" s="2099"/>
      <c r="I65" s="2411" t="s">
        <v>2371</v>
      </c>
      <c r="J65" s="2412">
        <v>50</v>
      </c>
      <c r="K65" s="2412">
        <v>35</v>
      </c>
      <c r="L65" s="2412">
        <v>60</v>
      </c>
      <c r="M65" s="3130">
        <v>0</v>
      </c>
      <c r="O65" s="2430" t="s">
        <v>2415</v>
      </c>
      <c r="P65" s="1593"/>
      <c r="Q65" s="1605"/>
      <c r="R65" s="1593"/>
    </row>
    <row r="66" spans="1:18" s="2061" customFormat="1" ht="15.75" thickBot="1">
      <c r="A66" s="2098"/>
      <c r="B66" s="2099"/>
      <c r="C66" s="2099"/>
      <c r="I66" s="2411" t="s">
        <v>2372</v>
      </c>
      <c r="J66" s="2412">
        <v>40</v>
      </c>
      <c r="K66" s="2412">
        <v>30</v>
      </c>
      <c r="L66" s="2412">
        <v>50</v>
      </c>
      <c r="M66" s="3129">
        <v>0.02</v>
      </c>
      <c r="O66" s="2421" t="s">
        <v>2375</v>
      </c>
      <c r="P66" s="2422" t="s">
        <v>2376</v>
      </c>
      <c r="Q66" s="2423" t="s">
        <v>2377</v>
      </c>
      <c r="R66" s="2422" t="s">
        <v>2378</v>
      </c>
    </row>
    <row r="67" spans="1:18" s="2061" customFormat="1" ht="15.75" thickBot="1">
      <c r="A67" s="2098"/>
      <c r="B67" s="2099"/>
      <c r="C67" s="2099"/>
      <c r="K67" s="2088"/>
      <c r="O67" s="2424" t="s">
        <v>2379</v>
      </c>
      <c r="P67" s="2425" t="s">
        <v>2405</v>
      </c>
      <c r="Q67" s="2426">
        <f ca="1">C41+J31</f>
        <v>0</v>
      </c>
      <c r="R67" s="2425" t="s">
        <v>2380</v>
      </c>
    </row>
    <row r="68" spans="1:18" s="2061" customFormat="1" ht="20.25" thickBot="1">
      <c r="A68" s="2098"/>
      <c r="B68" s="2099"/>
      <c r="C68" s="2099"/>
      <c r="K68" s="2088"/>
      <c r="O68" s="2424" t="s">
        <v>2381</v>
      </c>
      <c r="P68" s="2425" t="s">
        <v>2412</v>
      </c>
      <c r="Q68" s="2426" t="e">
        <f ca="1">L61</f>
        <v>#DIV/0!</v>
      </c>
      <c r="R68" s="2429" t="s">
        <v>2414</v>
      </c>
    </row>
    <row r="69" spans="1:18" s="2061" customFormat="1" ht="21.75" thickBot="1">
      <c r="A69" s="2098"/>
      <c r="B69" s="2099"/>
      <c r="C69" s="2099"/>
      <c r="K69" s="2088"/>
      <c r="O69" s="2427" t="s">
        <v>2383</v>
      </c>
      <c r="P69" s="2425" t="s">
        <v>2413</v>
      </c>
      <c r="Q69" s="2431">
        <f ca="1">L52</f>
        <v>0</v>
      </c>
      <c r="R69" s="2432" t="s">
        <v>2416</v>
      </c>
    </row>
    <row r="70" spans="1:18" s="2061" customFormat="1" ht="20.25" thickBot="1">
      <c r="A70" s="2098"/>
      <c r="B70" s="2099"/>
      <c r="C70" s="2099"/>
      <c r="K70" s="2088"/>
      <c r="O70" s="2427" t="s">
        <v>2384</v>
      </c>
      <c r="P70" s="2433" t="s">
        <v>2398</v>
      </c>
      <c r="Q70" s="2426">
        <f ca="1">ROUND(Q71-Q72*Q73,0)</f>
        <v>0</v>
      </c>
      <c r="R70" s="2429"/>
    </row>
    <row r="71" spans="1:18" s="2061" customFormat="1" ht="15.75" thickBot="1">
      <c r="A71" s="2098"/>
      <c r="B71" s="2099"/>
      <c r="C71" s="2099"/>
      <c r="K71" s="2088"/>
      <c r="O71" s="2427" t="s">
        <v>2399</v>
      </c>
      <c r="P71" s="2433" t="s">
        <v>2400</v>
      </c>
      <c r="Q71" s="2426">
        <f ca="1">C42</f>
        <v>0</v>
      </c>
      <c r="R71" s="2425" t="s">
        <v>2380</v>
      </c>
    </row>
    <row r="72" spans="1:18" s="2061" customFormat="1" ht="15.75" thickBot="1">
      <c r="A72" s="2098"/>
      <c r="B72" s="2099"/>
      <c r="C72" s="2099"/>
      <c r="K72" s="2088"/>
      <c r="O72" s="2427" t="s">
        <v>2401</v>
      </c>
      <c r="P72" s="2433" t="s">
        <v>2402</v>
      </c>
      <c r="Q72" s="2426">
        <f ca="1">C15</f>
        <v>0</v>
      </c>
      <c r="R72" s="2425" t="s">
        <v>2380</v>
      </c>
    </row>
    <row r="73" spans="1:18" s="2061" customFormat="1" ht="15.75" thickBot="1">
      <c r="A73" s="2098"/>
      <c r="B73" s="2099"/>
      <c r="C73" s="2099"/>
      <c r="K73" s="2088"/>
      <c r="O73" s="2427" t="s">
        <v>2403</v>
      </c>
      <c r="P73" s="2433" t="s">
        <v>2404</v>
      </c>
      <c r="Q73" s="2428">
        <f ca="1">F43</f>
        <v>0</v>
      </c>
      <c r="R73" s="2429"/>
    </row>
    <row r="74" spans="1:18" s="2061" customFormat="1" ht="15.75" thickBot="1">
      <c r="A74" s="2098"/>
      <c r="B74" s="2099"/>
      <c r="C74" s="2099"/>
      <c r="K74" s="2088"/>
      <c r="O74" s="2427" t="s">
        <v>2386</v>
      </c>
      <c r="P74" s="2425" t="s">
        <v>2393</v>
      </c>
      <c r="Q74" s="2428">
        <f>L53</f>
        <v>0</v>
      </c>
      <c r="R74" s="2429"/>
    </row>
    <row r="75" spans="1:18" s="2061" customFormat="1" ht="20.25" thickBot="1">
      <c r="A75" s="2098"/>
      <c r="B75" s="2099"/>
      <c r="C75" s="2099"/>
      <c r="K75" s="2088"/>
      <c r="O75" s="2427" t="s">
        <v>2388</v>
      </c>
      <c r="P75" s="2425" t="s">
        <v>2394</v>
      </c>
      <c r="Q75" s="2426">
        <f ca="1">L59</f>
        <v>0</v>
      </c>
      <c r="R75" s="2429" t="s">
        <v>2395</v>
      </c>
    </row>
    <row r="76" spans="1:18" s="2061" customFormat="1" ht="20.25" thickBot="1">
      <c r="A76" s="2098"/>
      <c r="B76" s="2099"/>
      <c r="C76" s="2099"/>
      <c r="K76" s="2088"/>
      <c r="O76" s="2427" t="s">
        <v>2417</v>
      </c>
      <c r="P76" s="2425" t="s">
        <v>2396</v>
      </c>
      <c r="Q76" s="2426">
        <f ca="1">L60</f>
        <v>0</v>
      </c>
      <c r="R76" s="2429" t="s">
        <v>2397</v>
      </c>
    </row>
    <row r="77" spans="1:18" s="2061" customFormat="1" ht="15.75" thickBot="1">
      <c r="A77" s="2098"/>
      <c r="B77" s="2099"/>
      <c r="C77" s="2099"/>
      <c r="K77" s="2088"/>
      <c r="O77" s="2424" t="s">
        <v>2391</v>
      </c>
      <c r="P77" s="2425" t="s">
        <v>2408</v>
      </c>
      <c r="Q77" s="2426" t="e">
        <f ca="1">Q67+Q68</f>
        <v>#DIV/0!</v>
      </c>
      <c r="R77" s="2429"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7" spans="1:4" ht="56.25">
      <c r="A7" s="1797" t="s">
        <v>2747</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根据《国有土地使用证》[]，估价对象（分摊）出让国有建设用地使用权面积为19651.2平方米。根据《建设工程规划许可证》[]、《出让合同》[]，估价对象规划建筑面积为88257.98平方米。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本次估价对象为出让国有建设用地使用权，《国有土地使用证》[]证载土地终止日期为住宅2086年11月14日、商业2056年11月14日地下车库2066年11月14日。截至估价期日，出让国有建设用地使用权剩余土地使用年限为。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87" t="s">
        <v>2576</v>
      </c>
      <c r="C1" s="3487"/>
      <c r="D1" s="3487"/>
      <c r="E1" s="3487"/>
      <c r="F1" s="3487"/>
      <c r="G1" s="3486" t="s">
        <v>2577</v>
      </c>
      <c r="H1" s="3486"/>
      <c r="I1" s="3486"/>
      <c r="J1" s="3486"/>
      <c r="K1" s="3486"/>
      <c r="L1" s="3486"/>
      <c r="N1" s="3486" t="s">
        <v>2578</v>
      </c>
      <c r="O1" s="3486"/>
      <c r="P1" s="3486"/>
      <c r="Q1" s="3486"/>
      <c r="R1" s="2680"/>
      <c r="S1" s="3486" t="s">
        <v>2579</v>
      </c>
      <c r="T1" s="3486"/>
      <c r="U1" s="3486"/>
      <c r="V1" s="3486"/>
      <c r="X1" s="3485" t="s">
        <v>2639</v>
      </c>
      <c r="Y1" s="3486"/>
      <c r="Z1" s="3486"/>
      <c r="AA1" s="3486"/>
      <c r="AB1" s="3486"/>
      <c r="AD1" s="3485" t="s">
        <v>2643</v>
      </c>
      <c r="AE1" s="3486"/>
      <c r="AF1" s="3486"/>
      <c r="AG1" s="3486"/>
      <c r="AH1" s="3486"/>
    </row>
    <row r="2" spans="1:34" s="2782" customFormat="1" ht="14.25" thickBot="1">
      <c r="B2" s="2790" t="s">
        <v>2580</v>
      </c>
      <c r="C2" s="2790" t="s">
        <v>2641</v>
      </c>
      <c r="D2" s="2783" t="s">
        <v>1645</v>
      </c>
      <c r="E2" s="2783" t="s">
        <v>1949</v>
      </c>
      <c r="F2" s="2790" t="s">
        <v>2642</v>
      </c>
      <c r="G2" s="2786"/>
      <c r="H2" s="2785"/>
      <c r="I2" s="2790" t="s">
        <v>2956</v>
      </c>
      <c r="J2" s="2783" t="s">
        <v>2958</v>
      </c>
      <c r="K2" s="2783" t="s">
        <v>2959</v>
      </c>
      <c r="L2" s="2790" t="s">
        <v>2960</v>
      </c>
      <c r="N2" s="2790" t="s">
        <v>2580</v>
      </c>
      <c r="O2" s="2783" t="s">
        <v>2957</v>
      </c>
      <c r="P2" s="2783" t="s">
        <v>1949</v>
      </c>
      <c r="Q2" s="2790" t="s">
        <v>2642</v>
      </c>
      <c r="R2" s="2784"/>
      <c r="S2" s="2790" t="s">
        <v>2580</v>
      </c>
      <c r="T2" s="2783" t="s">
        <v>2957</v>
      </c>
      <c r="U2" s="2783" t="s">
        <v>1949</v>
      </c>
      <c r="V2" s="2790" t="s">
        <v>2642</v>
      </c>
      <c r="X2" s="2790" t="s">
        <v>2580</v>
      </c>
      <c r="Y2" s="2790" t="s">
        <v>2641</v>
      </c>
      <c r="Z2" s="2783" t="s">
        <v>1645</v>
      </c>
      <c r="AA2" s="2783" t="s">
        <v>1949</v>
      </c>
      <c r="AB2" s="2790" t="s">
        <v>2642</v>
      </c>
      <c r="AD2" s="2790" t="s">
        <v>2580</v>
      </c>
      <c r="AE2" s="2790" t="s">
        <v>2641</v>
      </c>
      <c r="AF2" s="2783" t="s">
        <v>1645</v>
      </c>
      <c r="AG2" s="2783" t="s">
        <v>1949</v>
      </c>
      <c r="AH2" s="2790" t="s">
        <v>2642</v>
      </c>
    </row>
    <row r="3" spans="1:34" s="3164" customFormat="1" ht="14.25">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5" customFormat="1" ht="14.25">
      <c r="B4" s="2776"/>
      <c r="C4" s="2776"/>
      <c r="D4" s="2777"/>
      <c r="E4" s="2777"/>
      <c r="F4" s="2776"/>
      <c r="G4" s="2781"/>
      <c r="H4" s="2778"/>
      <c r="I4" s="3157"/>
      <c r="J4" s="3157"/>
      <c r="K4" s="3157"/>
      <c r="L4" s="3157"/>
      <c r="N4" s="2781"/>
      <c r="O4" s="2779"/>
      <c r="P4" s="2779"/>
      <c r="Q4" s="2779"/>
      <c r="R4" s="2779"/>
      <c r="S4" s="2781"/>
      <c r="T4" s="2779"/>
      <c r="U4" s="2779"/>
      <c r="V4" s="2779"/>
      <c r="W4" s="3173"/>
      <c r="X4" s="2780"/>
      <c r="Y4" s="2780"/>
      <c r="Z4" s="2780"/>
      <c r="AA4" s="2780"/>
      <c r="AB4" s="2780"/>
      <c r="AD4" s="2700"/>
      <c r="AE4" s="2700"/>
      <c r="AF4" s="2700"/>
      <c r="AG4" s="2700"/>
      <c r="AH4" s="2700"/>
    </row>
    <row r="5" spans="1:34" s="3143" customFormat="1">
      <c r="A5" s="3141" t="s">
        <v>2976</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2">
        <v>2</v>
      </c>
      <c r="I5" s="3158">
        <v>0</v>
      </c>
      <c r="J5" s="3158">
        <v>0</v>
      </c>
      <c r="K5" s="3158">
        <v>0</v>
      </c>
      <c r="L5" s="3158">
        <v>0</v>
      </c>
      <c r="N5" s="2788">
        <f t="shared" ref="N5" si="6">I5/100</f>
        <v>0</v>
      </c>
      <c r="O5" s="2788">
        <f t="shared" ref="O5" si="7">J5/100</f>
        <v>0</v>
      </c>
      <c r="P5" s="2788">
        <f t="shared" ref="P5" si="8">K5/100</f>
        <v>0</v>
      </c>
      <c r="Q5" s="2788">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7" customFormat="1" ht="13.5" thickBot="1">
      <c r="A6" s="2681" t="s">
        <v>2977</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3">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2967</v>
      </c>
      <c r="B7" s="3178">
        <v>439</v>
      </c>
      <c r="C7" s="3178">
        <v>327</v>
      </c>
      <c r="D7" s="3178">
        <f t="shared" si="13"/>
        <v>327</v>
      </c>
      <c r="E7" s="3178">
        <v>627</v>
      </c>
      <c r="F7" s="3179">
        <v>283</v>
      </c>
      <c r="G7" s="3161">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3"/>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2581</v>
      </c>
      <c r="B9" s="2695">
        <f t="shared" si="25"/>
        <v>419.31181600000002</v>
      </c>
      <c r="C9" s="2695">
        <f t="shared" si="25"/>
        <v>313.95436800000004</v>
      </c>
      <c r="D9" s="2695">
        <f t="shared" si="13"/>
        <v>313.95436800000004</v>
      </c>
      <c r="E9" s="2695">
        <f t="shared" si="26"/>
        <v>596.63028431999999</v>
      </c>
      <c r="F9" s="2695">
        <f t="shared" si="26"/>
        <v>274.74220703999998</v>
      </c>
      <c r="G9" s="3162"/>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2582</v>
      </c>
      <c r="B10" s="2695">
        <f t="shared" si="25"/>
        <v>405.524</v>
      </c>
      <c r="C10" s="2695">
        <f t="shared" si="25"/>
        <v>307.79840000000002</v>
      </c>
      <c r="D10" s="2695">
        <f t="shared" si="13"/>
        <v>307.79840000000002</v>
      </c>
      <c r="E10" s="2695">
        <f t="shared" si="26"/>
        <v>574.67759999999998</v>
      </c>
      <c r="F10" s="2695">
        <f t="shared" si="26"/>
        <v>270.20280000000002</v>
      </c>
      <c r="G10" s="3163"/>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94">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89"/>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4"/>
        <v>360.06949782209392</v>
      </c>
      <c r="C13" s="2695">
        <f t="shared" si="34"/>
        <v>289.84672674747821</v>
      </c>
      <c r="D13" s="2695">
        <f t="shared" si="35"/>
        <v>289.84672674747821</v>
      </c>
      <c r="E13" s="2695">
        <f t="shared" si="36"/>
        <v>501.06543001181495</v>
      </c>
      <c r="F13" s="2695">
        <f t="shared" si="36"/>
        <v>256.82882500744967</v>
      </c>
      <c r="G13" s="3489"/>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4"/>
        <v>346.720748986128</v>
      </c>
      <c r="C14" s="2695">
        <f t="shared" si="34"/>
        <v>284.30282172386285</v>
      </c>
      <c r="D14" s="2695">
        <f t="shared" si="35"/>
        <v>284.30282172386285</v>
      </c>
      <c r="E14" s="2695">
        <f t="shared" si="36"/>
        <v>479.58023546306947</v>
      </c>
      <c r="F14" s="2695">
        <f t="shared" si="36"/>
        <v>253.25788877571213</v>
      </c>
      <c r="G14" s="3490"/>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5"/>
        <v>277</v>
      </c>
      <c r="E15" s="2687">
        <v>459</v>
      </c>
      <c r="F15" s="2688">
        <v>249</v>
      </c>
      <c r="G15" s="3488">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89"/>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38"/>
        <v>322.34053690220776</v>
      </c>
      <c r="C17" s="2695">
        <f t="shared" si="38"/>
        <v>271.46160770422546</v>
      </c>
      <c r="D17" s="2695">
        <f t="shared" si="35"/>
        <v>271.46160770422546</v>
      </c>
      <c r="E17" s="2695">
        <f t="shared" si="39"/>
        <v>442.69434542172456</v>
      </c>
      <c r="F17" s="2695">
        <f t="shared" si="39"/>
        <v>241.34030753190925</v>
      </c>
      <c r="G17" s="3489"/>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38"/>
        <v>319.87748030386797</v>
      </c>
      <c r="C18" s="2695">
        <f t="shared" si="38"/>
        <v>269.60135833173649</v>
      </c>
      <c r="D18" s="2695">
        <f t="shared" si="35"/>
        <v>269.60135833173649</v>
      </c>
      <c r="E18" s="2695">
        <f t="shared" si="39"/>
        <v>439.18089823583784</v>
      </c>
      <c r="F18" s="2695">
        <f t="shared" si="39"/>
        <v>239.23503918706311</v>
      </c>
      <c r="G18" s="3490"/>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5"/>
        <v>268</v>
      </c>
      <c r="E19" s="2709">
        <v>437</v>
      </c>
      <c r="F19" s="2710">
        <v>237</v>
      </c>
      <c r="G19" s="3488">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89"/>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0"/>
        <v>314.72141172386546</v>
      </c>
      <c r="C21" s="2695">
        <f t="shared" si="40"/>
        <v>263.03901319069001</v>
      </c>
      <c r="D21" s="2695">
        <f t="shared" si="35"/>
        <v>263.03901319069001</v>
      </c>
      <c r="E21" s="2695">
        <f t="shared" si="41"/>
        <v>433.65745506782821</v>
      </c>
      <c r="F21" s="2695">
        <f t="shared" si="41"/>
        <v>233.23005080045735</v>
      </c>
      <c r="G21" s="3489"/>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961</v>
      </c>
      <c r="B22" s="2714">
        <f t="shared" si="40"/>
        <v>307.34512863658733</v>
      </c>
      <c r="C22" s="2714">
        <f t="shared" si="40"/>
        <v>257.80556031626975</v>
      </c>
      <c r="D22" s="2714">
        <f t="shared" si="35"/>
        <v>257.80556031626975</v>
      </c>
      <c r="E22" s="2714">
        <f t="shared" si="41"/>
        <v>422.70928459677179</v>
      </c>
      <c r="F22" s="2714">
        <f t="shared" si="41"/>
        <v>229.73803270336617</v>
      </c>
      <c r="G22" s="3490"/>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2640</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2583</v>
      </c>
      <c r="B23" s="2687">
        <v>299</v>
      </c>
      <c r="C23" s="2687">
        <v>252</v>
      </c>
      <c r="D23" s="2687">
        <f t="shared" si="35"/>
        <v>252</v>
      </c>
      <c r="E23" s="2687">
        <v>409</v>
      </c>
      <c r="F23" s="2688">
        <v>227</v>
      </c>
      <c r="G23" s="3491">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2584</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92"/>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2585</v>
      </c>
      <c r="B25" s="2695">
        <f t="shared" si="44"/>
        <v>288.2649053828776</v>
      </c>
      <c r="C25" s="2695">
        <f t="shared" si="44"/>
        <v>243.64564425013293</v>
      </c>
      <c r="D25" s="2695">
        <f t="shared" si="35"/>
        <v>243.64564425013293</v>
      </c>
      <c r="E25" s="2695">
        <f t="shared" si="45"/>
        <v>393.31080825986544</v>
      </c>
      <c r="F25" s="2695">
        <f t="shared" si="45"/>
        <v>223.07903790551154</v>
      </c>
      <c r="G25" s="3492"/>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2586</v>
      </c>
      <c r="B26" s="2695">
        <f t="shared" si="44"/>
        <v>282.50186729015837</v>
      </c>
      <c r="C26" s="2695">
        <f t="shared" si="44"/>
        <v>238.09796174155468</v>
      </c>
      <c r="D26" s="2695">
        <f t="shared" si="35"/>
        <v>238.09796174155468</v>
      </c>
      <c r="E26" s="2695">
        <f t="shared" si="45"/>
        <v>385.33438646014054</v>
      </c>
      <c r="F26" s="2695">
        <f t="shared" si="45"/>
        <v>221.55034055567739</v>
      </c>
      <c r="G26" s="3493"/>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2587</v>
      </c>
      <c r="B27" s="2725">
        <v>278</v>
      </c>
      <c r="C27" s="2725">
        <v>234</v>
      </c>
      <c r="D27" s="2725">
        <f t="shared" si="35"/>
        <v>234</v>
      </c>
      <c r="E27" s="2725">
        <v>379</v>
      </c>
      <c r="F27" s="2726">
        <v>220</v>
      </c>
      <c r="G27" s="3488">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2588</v>
      </c>
      <c r="B28" s="2695">
        <f>B27/(1+N27)</f>
        <v>275.49301357645425</v>
      </c>
      <c r="C28" s="2695">
        <f>C27/(1+O27)</f>
        <v>232.41954707985698</v>
      </c>
      <c r="D28" s="2695">
        <f t="shared" si="35"/>
        <v>232.41954707985698</v>
      </c>
      <c r="E28" s="2695">
        <f t="shared" ref="E28:F30" si="46">E27/(1+P27)</f>
        <v>375.32184591008121</v>
      </c>
      <c r="F28" s="2695">
        <f t="shared" si="46"/>
        <v>218.03766105054513</v>
      </c>
      <c r="G28" s="3489"/>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2589</v>
      </c>
      <c r="B29" s="2695">
        <f>B28/(1+N28)</f>
        <v>275.24529281292263</v>
      </c>
      <c r="C29" s="2695">
        <f>C28/(1+O28)</f>
        <v>231.74747938962707</v>
      </c>
      <c r="D29" s="2695">
        <f t="shared" si="35"/>
        <v>231.74747938962707</v>
      </c>
      <c r="E29" s="2695">
        <f t="shared" si="46"/>
        <v>375.35938184826603</v>
      </c>
      <c r="F29" s="2695">
        <f t="shared" si="46"/>
        <v>216.78033510692495</v>
      </c>
      <c r="G29" s="3489"/>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2590</v>
      </c>
      <c r="B30" s="2695">
        <f>B29/(1+N29)</f>
        <v>275.19025476197027</v>
      </c>
      <c r="C30" s="2727">
        <v>232</v>
      </c>
      <c r="D30" s="2727">
        <f t="shared" si="35"/>
        <v>232</v>
      </c>
      <c r="E30" s="2695">
        <f t="shared" si="46"/>
        <v>375.65990977608692</v>
      </c>
      <c r="F30" s="2695">
        <f t="shared" si="46"/>
        <v>214.12518283971252</v>
      </c>
      <c r="G30" s="3490"/>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2591</v>
      </c>
      <c r="B31" s="2687">
        <v>275</v>
      </c>
      <c r="C31" s="2687">
        <v>232</v>
      </c>
      <c r="D31" s="2687">
        <f t="shared" si="35"/>
        <v>232</v>
      </c>
      <c r="E31" s="2687">
        <v>376</v>
      </c>
      <c r="F31" s="2688">
        <v>213</v>
      </c>
      <c r="G31" s="3488">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2592</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89">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2593</v>
      </c>
      <c r="B33" s="2695">
        <f t="shared" si="47"/>
        <v>275.19335084830601</v>
      </c>
      <c r="C33" s="2695">
        <f t="shared" si="47"/>
        <v>230.18088050139744</v>
      </c>
      <c r="D33" s="2695">
        <f t="shared" si="35"/>
        <v>230.18088050139744</v>
      </c>
      <c r="E33" s="2695">
        <f t="shared" si="48"/>
        <v>377.58482925212331</v>
      </c>
      <c r="F33" s="2695">
        <f t="shared" si="48"/>
        <v>210.90687997847917</v>
      </c>
      <c r="G33" s="3489">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2594</v>
      </c>
      <c r="B34" s="2695">
        <f t="shared" si="47"/>
        <v>276.29854502841971</v>
      </c>
      <c r="C34" s="2695">
        <f t="shared" si="47"/>
        <v>229.79023709833027</v>
      </c>
      <c r="D34" s="2695">
        <f t="shared" si="35"/>
        <v>229.79023709833027</v>
      </c>
      <c r="E34" s="2695">
        <f t="shared" si="48"/>
        <v>379.78759731655936</v>
      </c>
      <c r="F34" s="2695">
        <f t="shared" si="48"/>
        <v>211.32953905659235</v>
      </c>
      <c r="G34" s="3490">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2595</v>
      </c>
      <c r="B35" s="2687">
        <v>269</v>
      </c>
      <c r="C35" s="2687">
        <v>221</v>
      </c>
      <c r="D35" s="2687">
        <f t="shared" si="35"/>
        <v>221</v>
      </c>
      <c r="E35" s="2687">
        <v>373</v>
      </c>
      <c r="F35" s="2688">
        <v>196</v>
      </c>
      <c r="G35" s="3488">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2596</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89">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2597</v>
      </c>
      <c r="B37" s="2695">
        <f t="shared" si="49"/>
        <v>242.95398227588385</v>
      </c>
      <c r="C37" s="2695">
        <f t="shared" si="49"/>
        <v>199.59137053614126</v>
      </c>
      <c r="D37" s="2695">
        <f t="shared" si="35"/>
        <v>199.59137053614126</v>
      </c>
      <c r="E37" s="2695">
        <f t="shared" si="50"/>
        <v>335.92189522342125</v>
      </c>
      <c r="F37" s="2695">
        <f t="shared" si="50"/>
        <v>183.10139991109489</v>
      </c>
      <c r="G37" s="3489">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2598</v>
      </c>
      <c r="B38" s="2695">
        <f t="shared" si="49"/>
        <v>232.06990378821649</v>
      </c>
      <c r="C38" s="2695">
        <f t="shared" si="49"/>
        <v>192.74878854286936</v>
      </c>
      <c r="D38" s="2695">
        <f t="shared" si="35"/>
        <v>192.74878854286936</v>
      </c>
      <c r="E38" s="2695">
        <f t="shared" si="50"/>
        <v>319.71247284992984</v>
      </c>
      <c r="F38" s="2695">
        <f t="shared" si="50"/>
        <v>175.67053622862409</v>
      </c>
      <c r="G38" s="3490">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2599</v>
      </c>
      <c r="B39" s="2687">
        <v>220</v>
      </c>
      <c r="C39" s="2687">
        <v>187</v>
      </c>
      <c r="D39" s="2687">
        <f t="shared" si="35"/>
        <v>187</v>
      </c>
      <c r="E39" s="2687">
        <v>301</v>
      </c>
      <c r="F39" s="2688">
        <v>168</v>
      </c>
      <c r="G39" s="3488">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2600</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89">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2601</v>
      </c>
      <c r="B41" s="2695">
        <f t="shared" si="51"/>
        <v>210.630522469011</v>
      </c>
      <c r="C41" s="2695">
        <f t="shared" si="51"/>
        <v>181.69567812247232</v>
      </c>
      <c r="D41" s="2695">
        <f t="shared" si="35"/>
        <v>181.69567812247232</v>
      </c>
      <c r="E41" s="2695">
        <f t="shared" si="52"/>
        <v>286.13517466736738</v>
      </c>
      <c r="F41" s="2695">
        <f t="shared" si="52"/>
        <v>165.47535084591149</v>
      </c>
      <c r="G41" s="3489">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2602</v>
      </c>
      <c r="B42" s="2695">
        <f t="shared" si="51"/>
        <v>208.83454537875372</v>
      </c>
      <c r="C42" s="2695">
        <f t="shared" si="51"/>
        <v>183.77230517090351</v>
      </c>
      <c r="D42" s="2695">
        <f t="shared" si="35"/>
        <v>183.77230517090351</v>
      </c>
      <c r="E42" s="2695">
        <f t="shared" si="52"/>
        <v>281.10342338870947</v>
      </c>
      <c r="F42" s="2695">
        <f t="shared" si="52"/>
        <v>168.97309388942256</v>
      </c>
      <c r="G42" s="3490">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2603</v>
      </c>
      <c r="B43" s="2725">
        <v>214</v>
      </c>
      <c r="C43" s="2725">
        <v>188</v>
      </c>
      <c r="D43" s="2725">
        <f t="shared" si="35"/>
        <v>188</v>
      </c>
      <c r="E43" s="2725">
        <v>289</v>
      </c>
      <c r="F43" s="2726">
        <v>166</v>
      </c>
      <c r="G43" s="3488">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2604</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89">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2605</v>
      </c>
      <c r="B45" s="2695">
        <f t="shared" si="53"/>
        <v>206.31694671589116</v>
      </c>
      <c r="C45" s="2695">
        <f t="shared" si="53"/>
        <v>183.61041121036101</v>
      </c>
      <c r="D45" s="2695">
        <f t="shared" si="35"/>
        <v>183.61041121036101</v>
      </c>
      <c r="E45" s="2695">
        <f t="shared" si="54"/>
        <v>276.66850301795557</v>
      </c>
      <c r="F45" s="2695">
        <f t="shared" si="54"/>
        <v>165.1360938278614</v>
      </c>
      <c r="G45" s="3489">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2606</v>
      </c>
      <c r="B46" s="2728">
        <f t="shared" si="53"/>
        <v>196.62341248059772</v>
      </c>
      <c r="C46" s="2728">
        <f t="shared" si="53"/>
        <v>170.99125648199012</v>
      </c>
      <c r="D46" s="2728">
        <f t="shared" si="35"/>
        <v>170.99125648199012</v>
      </c>
      <c r="E46" s="2728">
        <f t="shared" si="54"/>
        <v>266.07857570490052</v>
      </c>
      <c r="F46" s="2728">
        <f t="shared" si="54"/>
        <v>154.53499328828505</v>
      </c>
      <c r="G46" s="3490">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2607</v>
      </c>
      <c r="B47" s="2687">
        <v>188</v>
      </c>
      <c r="C47" s="2687">
        <v>165</v>
      </c>
      <c r="D47" s="2687">
        <f t="shared" si="35"/>
        <v>165</v>
      </c>
      <c r="E47" s="2687">
        <v>254</v>
      </c>
      <c r="F47" s="2688">
        <v>148</v>
      </c>
      <c r="G47" s="3488">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2608</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89">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2609</v>
      </c>
      <c r="B49" s="2695">
        <f t="shared" si="57"/>
        <v>168.82017748715555</v>
      </c>
      <c r="C49" s="2695">
        <f t="shared" si="57"/>
        <v>148.06267029972753</v>
      </c>
      <c r="D49" s="2695">
        <f t="shared" si="35"/>
        <v>148.06267029972753</v>
      </c>
      <c r="E49" s="2695">
        <f t="shared" si="58"/>
        <v>216.46288379323747</v>
      </c>
      <c r="F49" s="2695">
        <f t="shared" si="58"/>
        <v>134.23529411764704</v>
      </c>
      <c r="G49" s="3489">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2610</v>
      </c>
      <c r="B50" s="2695">
        <f t="shared" si="57"/>
        <v>163.84913591779542</v>
      </c>
      <c r="C50" s="2695">
        <f t="shared" si="57"/>
        <v>145.0283378746594</v>
      </c>
      <c r="D50" s="2695">
        <f t="shared" si="35"/>
        <v>145.0283378746594</v>
      </c>
      <c r="E50" s="2695">
        <f t="shared" si="58"/>
        <v>204.95180722891567</v>
      </c>
      <c r="F50" s="2695">
        <f t="shared" si="58"/>
        <v>125.95920303605313</v>
      </c>
      <c r="G50" s="3490">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2611</v>
      </c>
      <c r="B51" s="2709">
        <v>159</v>
      </c>
      <c r="C51" s="2709">
        <v>141</v>
      </c>
      <c r="D51" s="2709">
        <f t="shared" si="35"/>
        <v>141</v>
      </c>
      <c r="E51" s="2709">
        <v>195</v>
      </c>
      <c r="F51" s="2710">
        <v>122</v>
      </c>
      <c r="G51" s="3488">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2612</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89">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2613</v>
      </c>
      <c r="B53" s="2695">
        <f t="shared" si="61"/>
        <v>146.57412060301507</v>
      </c>
      <c r="C53" s="2695">
        <f t="shared" si="61"/>
        <v>136.46831955922866</v>
      </c>
      <c r="D53" s="2695">
        <f t="shared" si="35"/>
        <v>136.46831955922866</v>
      </c>
      <c r="E53" s="2695">
        <f t="shared" si="62"/>
        <v>166.73864894795128</v>
      </c>
      <c r="F53" s="2695">
        <f t="shared" si="62"/>
        <v>115.05882352941177</v>
      </c>
      <c r="G53" s="3489">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2614</v>
      </c>
      <c r="B54" s="2695">
        <f t="shared" si="61"/>
        <v>144.04145728643215</v>
      </c>
      <c r="C54" s="2695">
        <f t="shared" si="61"/>
        <v>136.12396694214877</v>
      </c>
      <c r="D54" s="2695">
        <f t="shared" si="35"/>
        <v>136.12396694214877</v>
      </c>
      <c r="E54" s="2695">
        <f t="shared" si="62"/>
        <v>158.32225913621264</v>
      </c>
      <c r="F54" s="2695">
        <f t="shared" si="62"/>
        <v>114.04278074866311</v>
      </c>
      <c r="G54" s="3490">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2615</v>
      </c>
      <c r="B55" s="2709">
        <v>138</v>
      </c>
      <c r="C55" s="2709">
        <v>131</v>
      </c>
      <c r="D55" s="2709">
        <f t="shared" si="35"/>
        <v>131</v>
      </c>
      <c r="E55" s="2709">
        <v>155</v>
      </c>
      <c r="F55" s="2710">
        <v>114</v>
      </c>
      <c r="G55" s="3488">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2616</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89">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2617</v>
      </c>
      <c r="B57" s="2695">
        <f t="shared" si="65"/>
        <v>124.29032258064517</v>
      </c>
      <c r="C57" s="2695">
        <f t="shared" si="65"/>
        <v>123.8968609865471</v>
      </c>
      <c r="D57" s="2695">
        <f t="shared" si="35"/>
        <v>123.8968609865471</v>
      </c>
      <c r="E57" s="2695">
        <f t="shared" si="66"/>
        <v>138.00507614213197</v>
      </c>
      <c r="F57" s="2695">
        <f t="shared" si="66"/>
        <v>107.96106557377048</v>
      </c>
      <c r="G57" s="3489">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2618</v>
      </c>
      <c r="B58" s="2695">
        <f t="shared" si="65"/>
        <v>122.57204301075269</v>
      </c>
      <c r="C58" s="2695">
        <f t="shared" si="65"/>
        <v>123.4932735426009</v>
      </c>
      <c r="D58" s="2695">
        <f t="shared" si="35"/>
        <v>123.4932735426009</v>
      </c>
      <c r="E58" s="2695">
        <f t="shared" si="66"/>
        <v>129.82233502538071</v>
      </c>
      <c r="F58" s="2695">
        <f t="shared" si="66"/>
        <v>107.39446721311475</v>
      </c>
      <c r="G58" s="3490">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2619</v>
      </c>
      <c r="B59" s="2725">
        <v>121</v>
      </c>
      <c r="C59" s="2725">
        <v>122</v>
      </c>
      <c r="D59" s="2725">
        <f t="shared" si="35"/>
        <v>122</v>
      </c>
      <c r="E59" s="2725">
        <v>124</v>
      </c>
      <c r="F59" s="2726">
        <v>107</v>
      </c>
      <c r="G59" s="3488">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2620</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89">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2621</v>
      </c>
      <c r="B61" s="2695">
        <f t="shared" si="69"/>
        <v>116.99099099099099</v>
      </c>
      <c r="C61" s="2695">
        <f t="shared" si="69"/>
        <v>118.84848484848486</v>
      </c>
      <c r="D61" s="2695">
        <f t="shared" si="35"/>
        <v>118.84848484848486</v>
      </c>
      <c r="E61" s="2695">
        <f t="shared" si="70"/>
        <v>117.60960960960961</v>
      </c>
      <c r="F61" s="2695">
        <f t="shared" si="70"/>
        <v>104</v>
      </c>
      <c r="G61" s="3489">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2622</v>
      </c>
      <c r="B62" s="2728">
        <f t="shared" si="69"/>
        <v>112.48648648648648</v>
      </c>
      <c r="C62" s="2728">
        <f t="shared" si="69"/>
        <v>115.21212121212122</v>
      </c>
      <c r="D62" s="2728">
        <f t="shared" si="35"/>
        <v>115.21212121212122</v>
      </c>
      <c r="E62" s="2728">
        <f t="shared" si="70"/>
        <v>110.4024024024024</v>
      </c>
      <c r="F62" s="2728">
        <f t="shared" si="70"/>
        <v>104</v>
      </c>
      <c r="G62" s="3490">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2623</v>
      </c>
      <c r="B63" s="2746">
        <v>111</v>
      </c>
      <c r="C63" s="2746">
        <v>114</v>
      </c>
      <c r="D63" s="2746">
        <f t="shared" si="35"/>
        <v>114</v>
      </c>
      <c r="E63" s="2746">
        <v>108</v>
      </c>
      <c r="F63" s="2747">
        <v>104</v>
      </c>
      <c r="G63" s="3488">
        <v>2003</v>
      </c>
      <c r="H63" s="2736">
        <v>4</v>
      </c>
      <c r="I63" s="2748"/>
      <c r="J63" s="2748"/>
      <c r="K63" s="2748"/>
      <c r="L63" s="2748"/>
      <c r="N63" s="2749"/>
      <c r="O63" s="2748"/>
      <c r="P63" s="2748"/>
      <c r="Q63" s="2748"/>
      <c r="S63" s="2749"/>
      <c r="T63" s="2748"/>
      <c r="U63" s="2748"/>
      <c r="V63" s="2748"/>
      <c r="X63" s="2740"/>
      <c r="Y63" s="2740"/>
      <c r="Z63" s="2740"/>
    </row>
    <row r="64" spans="1:26">
      <c r="A64" s="2681" t="s">
        <v>2624</v>
      </c>
      <c r="B64" s="2750">
        <f t="shared" ref="B64:C66" si="71">B65+(B$63-B$67)/4</f>
        <v>109.75</v>
      </c>
      <c r="C64" s="2750">
        <f t="shared" si="71"/>
        <v>112.25</v>
      </c>
      <c r="D64" s="2750">
        <f t="shared" si="35"/>
        <v>112.25</v>
      </c>
      <c r="E64" s="2750">
        <f t="shared" ref="E64:F66" si="72">E65+(E$63-E$67)/4</f>
        <v>107.25</v>
      </c>
      <c r="F64" s="2750">
        <f t="shared" si="72"/>
        <v>103.5</v>
      </c>
      <c r="G64" s="3489">
        <v>2003</v>
      </c>
      <c r="H64" s="2706">
        <v>3</v>
      </c>
      <c r="I64" s="2748"/>
      <c r="J64" s="2748"/>
      <c r="K64" s="2748"/>
      <c r="L64" s="2748"/>
      <c r="X64" s="2740"/>
      <c r="Y64" s="2740"/>
      <c r="Z64" s="2740"/>
    </row>
    <row r="65" spans="1:26">
      <c r="A65" s="2681" t="s">
        <v>2625</v>
      </c>
      <c r="B65" s="2750">
        <f t="shared" si="71"/>
        <v>108.5</v>
      </c>
      <c r="C65" s="2750">
        <f t="shared" si="71"/>
        <v>110.5</v>
      </c>
      <c r="D65" s="2750">
        <f t="shared" si="35"/>
        <v>110.5</v>
      </c>
      <c r="E65" s="2750">
        <f t="shared" si="72"/>
        <v>106.5</v>
      </c>
      <c r="F65" s="2750">
        <f t="shared" si="72"/>
        <v>103</v>
      </c>
      <c r="G65" s="3489">
        <v>2003</v>
      </c>
      <c r="H65" s="2686">
        <v>2</v>
      </c>
      <c r="I65" s="2748"/>
      <c r="J65" s="2748"/>
      <c r="K65" s="2748"/>
      <c r="L65" s="2748"/>
      <c r="X65" s="2740"/>
      <c r="Y65" s="2740"/>
      <c r="Z65" s="2740"/>
    </row>
    <row r="66" spans="1:26" ht="13.5" thickBot="1">
      <c r="A66" s="2681" t="s">
        <v>2626</v>
      </c>
      <c r="B66" s="2750">
        <f t="shared" si="71"/>
        <v>107.25</v>
      </c>
      <c r="C66" s="2750">
        <f t="shared" si="71"/>
        <v>108.75</v>
      </c>
      <c r="D66" s="2750">
        <f t="shared" si="35"/>
        <v>108.75</v>
      </c>
      <c r="E66" s="2750">
        <f t="shared" si="72"/>
        <v>105.75</v>
      </c>
      <c r="F66" s="2750">
        <f t="shared" si="72"/>
        <v>102.5</v>
      </c>
      <c r="G66" s="3490">
        <v>2003</v>
      </c>
      <c r="H66" s="2751">
        <v>1</v>
      </c>
      <c r="I66" s="2748"/>
      <c r="J66" s="2748"/>
      <c r="K66" s="2748"/>
      <c r="L66" s="2748"/>
      <c r="S66" s="2690"/>
      <c r="T66" s="2691"/>
      <c r="U66" s="2691"/>
      <c r="X66" s="2740"/>
      <c r="Y66" s="2740"/>
      <c r="Z66" s="2740"/>
    </row>
    <row r="67" spans="1:26" ht="13.5" thickBot="1">
      <c r="A67" s="2681" t="s">
        <v>2627</v>
      </c>
      <c r="B67" s="2752">
        <v>106</v>
      </c>
      <c r="C67" s="2752">
        <v>107</v>
      </c>
      <c r="D67" s="2752">
        <f t="shared" si="35"/>
        <v>107</v>
      </c>
      <c r="E67" s="2752">
        <v>105</v>
      </c>
      <c r="F67" s="2753">
        <v>102</v>
      </c>
      <c r="G67" s="3488">
        <v>2002</v>
      </c>
      <c r="H67" s="2701">
        <v>4</v>
      </c>
      <c r="I67" s="2748"/>
      <c r="J67" s="2748"/>
      <c r="K67" s="2748"/>
      <c r="L67" s="2748"/>
      <c r="N67" s="2749"/>
      <c r="O67" s="2748"/>
      <c r="P67" s="2748"/>
      <c r="Q67" s="2748"/>
      <c r="S67" s="2749"/>
      <c r="T67" s="2748"/>
      <c r="U67" s="2748"/>
      <c r="V67" s="2748"/>
      <c r="X67" s="2740"/>
      <c r="Y67" s="2740"/>
      <c r="Z67" s="2740"/>
    </row>
    <row r="68" spans="1:26">
      <c r="A68" s="2681" t="s">
        <v>2628</v>
      </c>
      <c r="B68" s="2750">
        <f t="shared" ref="B68:C70" si="73">B69+(B$67-B$71)/4</f>
        <v>105</v>
      </c>
      <c r="C68" s="2750">
        <f t="shared" si="73"/>
        <v>106</v>
      </c>
      <c r="D68" s="2750">
        <f t="shared" si="35"/>
        <v>106</v>
      </c>
      <c r="E68" s="2750">
        <f t="shared" ref="E68:F70" si="74">E69+(E$67-E$71)/4</f>
        <v>104.5</v>
      </c>
      <c r="F68" s="2750">
        <f t="shared" si="74"/>
        <v>101.5</v>
      </c>
      <c r="G68" s="3489">
        <v>2002</v>
      </c>
      <c r="H68" s="2706">
        <v>3</v>
      </c>
      <c r="I68" s="2748"/>
      <c r="J68" s="2748"/>
      <c r="K68" s="2748"/>
      <c r="L68" s="2748"/>
      <c r="X68" s="2740"/>
      <c r="Y68" s="2740"/>
      <c r="Z68" s="2740"/>
    </row>
    <row r="69" spans="1:26">
      <c r="A69" s="2681" t="s">
        <v>2629</v>
      </c>
      <c r="B69" s="2750">
        <f t="shared" si="73"/>
        <v>104</v>
      </c>
      <c r="C69" s="2750">
        <f t="shared" si="73"/>
        <v>105</v>
      </c>
      <c r="D69" s="2750">
        <f t="shared" si="35"/>
        <v>105</v>
      </c>
      <c r="E69" s="2750">
        <f t="shared" si="74"/>
        <v>104</v>
      </c>
      <c r="F69" s="2750">
        <f t="shared" si="74"/>
        <v>101</v>
      </c>
      <c r="G69" s="3489">
        <v>2002</v>
      </c>
      <c r="H69" s="2686">
        <v>2</v>
      </c>
      <c r="I69" s="2748"/>
      <c r="J69" s="2748"/>
      <c r="K69" s="2748"/>
      <c r="L69" s="2748"/>
      <c r="X69" s="2740"/>
      <c r="Y69" s="2740"/>
      <c r="Z69" s="2740"/>
    </row>
    <row r="70" spans="1:26" s="2717" customFormat="1" ht="13.5" thickBot="1">
      <c r="A70" s="2713" t="s">
        <v>2630</v>
      </c>
      <c r="B70" s="2754">
        <f t="shared" si="73"/>
        <v>103</v>
      </c>
      <c r="C70" s="2754">
        <f t="shared" si="73"/>
        <v>104</v>
      </c>
      <c r="D70" s="2754">
        <f t="shared" si="35"/>
        <v>104</v>
      </c>
      <c r="E70" s="2754">
        <f t="shared" si="74"/>
        <v>103.5</v>
      </c>
      <c r="F70" s="2754">
        <f t="shared" si="74"/>
        <v>100.5</v>
      </c>
      <c r="G70" s="3490">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2631</v>
      </c>
      <c r="G73" s="2764"/>
      <c r="N73" s="2764"/>
      <c r="S73" s="2764"/>
    </row>
    <row r="74" spans="1:26" s="2763" customFormat="1">
      <c r="A74" s="2763" t="s">
        <v>2632</v>
      </c>
      <c r="G74" s="2764"/>
      <c r="N74" s="2764"/>
      <c r="S74" s="2764"/>
    </row>
    <row r="75" spans="1:26" s="2763" customFormat="1">
      <c r="A75" s="2763" t="s">
        <v>2633</v>
      </c>
      <c r="G75" s="2764"/>
      <c r="I75" s="2765"/>
      <c r="J75" s="2765"/>
      <c r="K75" s="2765"/>
      <c r="L75" s="2765"/>
      <c r="N75" s="2766"/>
      <c r="O75" s="2765"/>
      <c r="P75" s="2765"/>
      <c r="Q75" s="2765"/>
      <c r="S75" s="2766"/>
      <c r="T75" s="2765"/>
      <c r="U75" s="2765"/>
      <c r="V75" s="2765"/>
    </row>
    <row r="76" spans="1:26" s="2763" customFormat="1">
      <c r="A76" s="2763" t="s">
        <v>2634</v>
      </c>
      <c r="G76" s="2764"/>
      <c r="N76" s="2764"/>
      <c r="S76" s="2764"/>
    </row>
    <row r="83" spans="7:22" ht="13.5" thickBot="1"/>
    <row r="84" spans="7:22">
      <c r="G84" s="2689"/>
      <c r="S84" s="2767" t="s">
        <v>2635</v>
      </c>
      <c r="T84" s="2768" t="s">
        <v>2636</v>
      </c>
      <c r="U84" s="2768" t="s">
        <v>2637</v>
      </c>
      <c r="V84" s="2768" t="s">
        <v>2638</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K16" sqref="K16"/>
    </sheetView>
  </sheetViews>
  <sheetFormatPr defaultRowHeight="14.25"/>
  <cols>
    <col min="1" max="1" width="10.5" style="1337" customWidth="1"/>
    <col min="2" max="2" width="15.75" style="1337" customWidth="1"/>
    <col min="3" max="3" width="22" style="1337" customWidth="1"/>
    <col min="4" max="4" width="12.25" style="1337" customWidth="1"/>
    <col min="5" max="5" width="16.125" style="1337" customWidth="1"/>
    <col min="6" max="6" width="12.25" style="1337" customWidth="1"/>
    <col min="7" max="7" width="16.75" style="1337" customWidth="1"/>
    <col min="8" max="8" width="12.25" style="1337" customWidth="1"/>
    <col min="9" max="9" width="16.3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t="s">
        <v>923</v>
      </c>
      <c r="E1" s="2652"/>
      <c r="F1" s="2833" t="s">
        <v>3052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815367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140835</v>
      </c>
      <c r="C3" s="852" t="s">
        <v>722</v>
      </c>
      <c r="D3" s="851">
        <f>SUMIF('数据-汇总表'!$C19:$C33,D1,'数据-汇总表'!$E19:$E33)</f>
        <v>57895.21</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25" t="s">
        <v>522</v>
      </c>
      <c r="D4" s="3426"/>
      <c r="E4" s="3449" t="s">
        <v>523</v>
      </c>
      <c r="F4" s="3450"/>
      <c r="G4" s="3425" t="s">
        <v>524</v>
      </c>
      <c r="H4" s="3426"/>
      <c r="I4" s="3425" t="s">
        <v>525</v>
      </c>
      <c r="J4" s="3426"/>
      <c r="K4" s="853" t="s">
        <v>526</v>
      </c>
      <c r="L4" s="2135"/>
      <c r="M4" s="2136"/>
      <c r="N4" s="2136"/>
      <c r="O4" s="2136"/>
      <c r="P4" s="3427" t="s">
        <v>527</v>
      </c>
      <c r="Q4" s="3428"/>
      <c r="R4" s="3413" t="s">
        <v>523</v>
      </c>
      <c r="S4" s="3414"/>
      <c r="T4" s="3413" t="s">
        <v>524</v>
      </c>
      <c r="U4" s="3414"/>
      <c r="V4" s="3433" t="s">
        <v>525</v>
      </c>
      <c r="W4" s="3433"/>
      <c r="X4" s="1568"/>
      <c r="Y4" s="3413" t="s">
        <v>527</v>
      </c>
      <c r="Z4" s="3414"/>
      <c r="AA4" s="3408" t="s">
        <v>523</v>
      </c>
      <c r="AB4" s="3408" t="s">
        <v>524</v>
      </c>
      <c r="AC4" s="3408" t="s">
        <v>525</v>
      </c>
    </row>
    <row r="5" spans="1:29" ht="15">
      <c r="A5" s="515"/>
      <c r="B5" s="516"/>
      <c r="C5" s="3436" t="s">
        <v>2927</v>
      </c>
      <c r="D5" s="3437"/>
      <c r="E5" s="3495" t="s">
        <v>3084</v>
      </c>
      <c r="F5" s="3452"/>
      <c r="G5" s="3496" t="s">
        <v>3112</v>
      </c>
      <c r="H5" s="3437"/>
      <c r="I5" s="3496" t="s">
        <v>3105</v>
      </c>
      <c r="J5" s="3437"/>
      <c r="K5" s="854"/>
      <c r="L5" s="2135"/>
      <c r="M5" s="2136"/>
      <c r="N5" s="2136"/>
      <c r="O5" s="2136"/>
      <c r="P5" s="3429"/>
      <c r="Q5" s="3430"/>
      <c r="R5" s="3415"/>
      <c r="S5" s="3416"/>
      <c r="T5" s="3415"/>
      <c r="U5" s="3416"/>
      <c r="V5" s="3433"/>
      <c r="W5" s="3433"/>
      <c r="X5" s="1568"/>
      <c r="Y5" s="3415"/>
      <c r="Z5" s="3416"/>
      <c r="AA5" s="3409"/>
      <c r="AB5" s="3409"/>
      <c r="AC5" s="3409"/>
    </row>
    <row r="6" spans="1:29" ht="15.75" thickBot="1">
      <c r="A6" s="517"/>
      <c r="B6" s="518"/>
      <c r="C6" s="3434" t="s">
        <v>2931</v>
      </c>
      <c r="D6" s="3435"/>
      <c r="E6" s="3453" t="s">
        <v>2931</v>
      </c>
      <c r="F6" s="3454"/>
      <c r="G6" s="3434" t="s">
        <v>2931</v>
      </c>
      <c r="H6" s="3435"/>
      <c r="I6" s="3434" t="s">
        <v>2931</v>
      </c>
      <c r="J6" s="3435"/>
      <c r="K6" s="854" t="s">
        <v>528</v>
      </c>
      <c r="L6" s="2135"/>
      <c r="M6" s="2136"/>
      <c r="N6" s="2136"/>
      <c r="O6" s="2136"/>
      <c r="P6" s="3431"/>
      <c r="Q6" s="3432"/>
      <c r="R6" s="3415"/>
      <c r="S6" s="3416"/>
      <c r="T6" s="3417"/>
      <c r="U6" s="3418"/>
      <c r="V6" s="3433"/>
      <c r="W6" s="3433"/>
      <c r="X6" s="1568"/>
      <c r="Y6" s="3417"/>
      <c r="Z6" s="3418"/>
      <c r="AA6" s="3410"/>
      <c r="AB6" s="3410"/>
      <c r="AC6" s="3410"/>
    </row>
    <row r="7" spans="1:29" s="1220" customFormat="1" ht="15.75" thickBot="1">
      <c r="A7" s="2938"/>
      <c r="B7" s="2945" t="s">
        <v>529</v>
      </c>
      <c r="C7" s="519">
        <f>'数据-取费表'!B2</f>
        <v>43248</v>
      </c>
      <c r="D7" s="520">
        <v>100</v>
      </c>
      <c r="E7" s="521">
        <v>43221</v>
      </c>
      <c r="F7" s="522">
        <f>SUMIF(58:58,YEAR(E7)&amp;"-"&amp;MONTH(E7),59:59)</f>
        <v>100</v>
      </c>
      <c r="G7" s="521">
        <v>43221</v>
      </c>
      <c r="H7" s="520">
        <f>SUMIF(58:58,YEAR(G7)&amp;"-"&amp;MONTH(G7),59:59)</f>
        <v>100</v>
      </c>
      <c r="I7" s="521">
        <v>43221</v>
      </c>
      <c r="J7" s="520">
        <f>SUMIF(58:58,YEAR(I7)&amp;"-"&amp;MONTH(I7),59:59)</f>
        <v>100</v>
      </c>
      <c r="K7" s="855"/>
      <c r="L7" s="2137"/>
      <c r="M7" s="2138"/>
      <c r="N7" s="2138"/>
      <c r="O7" s="2138"/>
      <c r="P7" s="3411" t="s">
        <v>530</v>
      </c>
      <c r="Q7" s="3420"/>
      <c r="R7" s="1569" t="s">
        <v>13</v>
      </c>
      <c r="S7" s="1570">
        <f t="shared" ref="S7:S15" si="0">F7</f>
        <v>100</v>
      </c>
      <c r="T7" s="1569" t="s">
        <v>13</v>
      </c>
      <c r="U7" s="1570">
        <f t="shared" ref="U7:U15" si="1">H7</f>
        <v>100</v>
      </c>
      <c r="V7" s="1569" t="s">
        <v>13</v>
      </c>
      <c r="W7" s="1570">
        <f t="shared" ref="W7:W15" si="2">J7</f>
        <v>100</v>
      </c>
      <c r="X7" s="1571"/>
      <c r="Y7" s="3411" t="s">
        <v>530</v>
      </c>
      <c r="Z7" s="3412"/>
      <c r="AA7" s="1572">
        <f>D7/F7</f>
        <v>1</v>
      </c>
      <c r="AB7" s="1572">
        <f>D7/H7</f>
        <v>1</v>
      </c>
      <c r="AC7" s="1572">
        <f>D7/J7</f>
        <v>1</v>
      </c>
    </row>
    <row r="8" spans="1:29" s="1220" customFormat="1" ht="15.75" thickBot="1">
      <c r="A8" s="2939"/>
      <c r="B8" s="294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7"/>
      <c r="M8" s="2138"/>
      <c r="N8" s="2138"/>
      <c r="O8" s="2138"/>
      <c r="P8" s="3411" t="s">
        <v>533</v>
      </c>
      <c r="Q8" s="3412"/>
      <c r="R8" s="1569" t="s">
        <v>13</v>
      </c>
      <c r="S8" s="1570">
        <f t="shared" si="0"/>
        <v>100</v>
      </c>
      <c r="T8" s="1569" t="s">
        <v>13</v>
      </c>
      <c r="U8" s="1570">
        <f t="shared" si="1"/>
        <v>100</v>
      </c>
      <c r="V8" s="1569" t="s">
        <v>13</v>
      </c>
      <c r="W8" s="1570">
        <f t="shared" si="2"/>
        <v>100</v>
      </c>
      <c r="X8" s="1571"/>
      <c r="Y8" s="3411" t="s">
        <v>533</v>
      </c>
      <c r="Z8" s="3412"/>
      <c r="AA8" s="1572">
        <f t="shared" ref="AA8:AA46" si="3">D8/F8</f>
        <v>1</v>
      </c>
      <c r="AB8" s="1572">
        <f t="shared" ref="AB8:AB46" si="4">D8/H8</f>
        <v>1</v>
      </c>
      <c r="AC8" s="1572">
        <f t="shared" ref="AC8:AC46" si="5">D8/J8</f>
        <v>1</v>
      </c>
    </row>
    <row r="9" spans="1:29" s="1220" customFormat="1" ht="15">
      <c r="A9" s="2940"/>
      <c r="B9" s="2947" t="s">
        <v>2756</v>
      </c>
      <c r="C9" s="3202" t="s">
        <v>3053</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419" t="s">
        <v>535</v>
      </c>
      <c r="Q9" s="1151" t="str">
        <f t="shared" ref="Q9:Q15" si="6">B9</f>
        <v>用途</v>
      </c>
      <c r="R9" s="1569" t="s">
        <v>8</v>
      </c>
      <c r="S9" s="1570">
        <f t="shared" si="0"/>
        <v>100</v>
      </c>
      <c r="T9" s="1569" t="s">
        <v>8</v>
      </c>
      <c r="U9" s="1570">
        <f t="shared" si="1"/>
        <v>100</v>
      </c>
      <c r="V9" s="1569" t="s">
        <v>8</v>
      </c>
      <c r="W9" s="1570">
        <f t="shared" si="2"/>
        <v>100</v>
      </c>
      <c r="X9" s="1571"/>
      <c r="Y9" s="3376" t="s">
        <v>536</v>
      </c>
      <c r="Z9" s="1150" t="str">
        <f t="shared" ref="Z9:Z15" si="7">Q9</f>
        <v>用途</v>
      </c>
      <c r="AA9" s="1572">
        <f t="shared" si="3"/>
        <v>1</v>
      </c>
      <c r="AB9" s="1572">
        <f t="shared" si="4"/>
        <v>1</v>
      </c>
      <c r="AC9" s="1572">
        <f t="shared" si="5"/>
        <v>1</v>
      </c>
    </row>
    <row r="10" spans="1:29" s="1338" customFormat="1" ht="27">
      <c r="A10" s="2941"/>
      <c r="B10" s="2946" t="s">
        <v>2757</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v>1</v>
      </c>
      <c r="L10" s="2140"/>
      <c r="M10" s="2180"/>
      <c r="N10" s="2180"/>
      <c r="O10" s="2141"/>
      <c r="P10" s="3419"/>
      <c r="Q10" s="1151" t="str">
        <f t="shared" si="6"/>
        <v>土地使用年限（年）</v>
      </c>
      <c r="R10" s="1569" t="s">
        <v>8</v>
      </c>
      <c r="S10" s="1570">
        <f t="shared" si="0"/>
        <v>100</v>
      </c>
      <c r="T10" s="1569" t="s">
        <v>8</v>
      </c>
      <c r="U10" s="1570">
        <f t="shared" si="1"/>
        <v>100</v>
      </c>
      <c r="V10" s="1569" t="s">
        <v>8</v>
      </c>
      <c r="W10" s="1570">
        <f t="shared" si="2"/>
        <v>100</v>
      </c>
      <c r="X10" s="1571"/>
      <c r="Y10" s="3376"/>
      <c r="Z10" s="1150" t="str">
        <f t="shared" si="7"/>
        <v>土地使用年限（年）</v>
      </c>
      <c r="AA10" s="1572">
        <f t="shared" si="3"/>
        <v>1</v>
      </c>
      <c r="AB10" s="1572">
        <f t="shared" si="4"/>
        <v>1</v>
      </c>
      <c r="AC10" s="1572">
        <f t="shared" si="5"/>
        <v>1</v>
      </c>
    </row>
    <row r="11" spans="1:29" ht="15">
      <c r="A11" s="2942"/>
      <c r="B11" s="2946" t="s">
        <v>2758</v>
      </c>
      <c r="C11" s="533">
        <f>'数据-汇总表'!I7</f>
        <v>3.36</v>
      </c>
      <c r="D11" s="255">
        <v>100</v>
      </c>
      <c r="E11" s="534">
        <v>3</v>
      </c>
      <c r="F11" s="863">
        <f>LOOKUP(E11,68:68,69:69)-LOOKUP(C11,68:68,69:69)+100</f>
        <v>100</v>
      </c>
      <c r="G11" s="533">
        <v>2.2000000000000002</v>
      </c>
      <c r="H11" s="255">
        <f>LOOKUP(G11,68:68,69:69)-LOOKUP(C11,68:68,69:69)+100</f>
        <v>101</v>
      </c>
      <c r="I11" s="533">
        <v>3</v>
      </c>
      <c r="J11" s="255">
        <f>LOOKUP(I11,68:68,69:69)-LOOKUP(C11,68:68,69:69)+100</f>
        <v>100</v>
      </c>
      <c r="K11" s="864">
        <v>1</v>
      </c>
      <c r="L11" s="2142"/>
      <c r="M11" s="2136"/>
      <c r="N11" s="2136"/>
      <c r="O11" s="2143"/>
      <c r="P11" s="3419"/>
      <c r="Q11" s="1151" t="str">
        <f t="shared" si="6"/>
        <v>容积率</v>
      </c>
      <c r="R11" s="1569" t="s">
        <v>11</v>
      </c>
      <c r="S11" s="1570">
        <f t="shared" si="0"/>
        <v>100</v>
      </c>
      <c r="T11" s="1569" t="s">
        <v>11</v>
      </c>
      <c r="U11" s="1570">
        <f t="shared" si="1"/>
        <v>101</v>
      </c>
      <c r="V11" s="1569" t="s">
        <v>11</v>
      </c>
      <c r="W11" s="1570">
        <f t="shared" si="2"/>
        <v>100</v>
      </c>
      <c r="X11" s="1571"/>
      <c r="Y11" s="3376"/>
      <c r="Z11" s="1150" t="str">
        <f t="shared" si="7"/>
        <v>容积率</v>
      </c>
      <c r="AA11" s="1572">
        <f t="shared" si="3"/>
        <v>1</v>
      </c>
      <c r="AB11" s="1572">
        <f t="shared" si="4"/>
        <v>0.99009900990099009</v>
      </c>
      <c r="AC11" s="1572">
        <f t="shared" si="5"/>
        <v>1</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19"/>
      <c r="Q12" s="1151">
        <f t="shared" si="6"/>
        <v>111</v>
      </c>
      <c r="R12" s="1569" t="s">
        <v>11</v>
      </c>
      <c r="S12" s="1570">
        <f t="shared" si="0"/>
        <v>100</v>
      </c>
      <c r="T12" s="1569" t="s">
        <v>11</v>
      </c>
      <c r="U12" s="1570">
        <f t="shared" si="1"/>
        <v>100</v>
      </c>
      <c r="V12" s="1569" t="s">
        <v>11</v>
      </c>
      <c r="W12" s="1570">
        <f t="shared" si="2"/>
        <v>100</v>
      </c>
      <c r="X12" s="1571"/>
      <c r="Y12" s="3376"/>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19"/>
      <c r="Q13" s="1151">
        <f t="shared" si="6"/>
        <v>111</v>
      </c>
      <c r="R13" s="1569" t="s">
        <v>11</v>
      </c>
      <c r="S13" s="1570">
        <f t="shared" si="0"/>
        <v>100</v>
      </c>
      <c r="T13" s="1569" t="s">
        <v>11</v>
      </c>
      <c r="U13" s="1570">
        <f t="shared" si="1"/>
        <v>100</v>
      </c>
      <c r="V13" s="1569" t="s">
        <v>11</v>
      </c>
      <c r="W13" s="1570">
        <f t="shared" si="2"/>
        <v>100</v>
      </c>
      <c r="X13" s="1571"/>
      <c r="Y13" s="3376"/>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19"/>
      <c r="Q14" s="1151">
        <f t="shared" si="6"/>
        <v>111</v>
      </c>
      <c r="R14" s="1569" t="s">
        <v>11</v>
      </c>
      <c r="S14" s="1570">
        <f t="shared" si="0"/>
        <v>100</v>
      </c>
      <c r="T14" s="1569" t="s">
        <v>11</v>
      </c>
      <c r="U14" s="1570">
        <f t="shared" si="1"/>
        <v>100</v>
      </c>
      <c r="V14" s="1569" t="s">
        <v>11</v>
      </c>
      <c r="W14" s="1570">
        <f t="shared" si="2"/>
        <v>100</v>
      </c>
      <c r="X14" s="1571"/>
      <c r="Y14" s="3376"/>
      <c r="Z14" s="1150">
        <f t="shared" si="7"/>
        <v>111</v>
      </c>
      <c r="AA14" s="1572">
        <f t="shared" si="3"/>
        <v>1</v>
      </c>
      <c r="AB14" s="1572">
        <f t="shared" si="4"/>
        <v>1</v>
      </c>
      <c r="AC14" s="1572">
        <f t="shared" si="5"/>
        <v>1</v>
      </c>
    </row>
    <row r="15" spans="1:29" ht="108" customHeight="1">
      <c r="A15" s="2936" t="s">
        <v>2754</v>
      </c>
      <c r="B15" s="166" t="s">
        <v>295</v>
      </c>
      <c r="C15" s="867" t="str">
        <f>估价对象房地状况!C3</f>
        <v>估价对象周边居住用地比例高、居住小区规模较大，社区发展完善程度较好，有万科翡翠雅宾利、绿洲雅宾利花园等多个项目，综合评价居住社区成熟度较好</v>
      </c>
      <c r="D15" s="549">
        <v>100</v>
      </c>
      <c r="E15" s="3210" t="s">
        <v>3085</v>
      </c>
      <c r="F15" s="551">
        <f>SUMIF(76:76,E16,77:77)-SUMIF(76:76,C16,77:77)+100</f>
        <v>100</v>
      </c>
      <c r="G15" s="3214" t="s">
        <v>3104</v>
      </c>
      <c r="H15" s="549">
        <f>SUMIF(76:76,G16,77:77)-SUMIF(76:76,C16,77:77)+100</f>
        <v>100</v>
      </c>
      <c r="I15" s="3214" t="s">
        <v>3111</v>
      </c>
      <c r="J15" s="549">
        <f>SUMIF(76:76,I16,77:77)-SUMIF(76:76,C16,77:77)+100</f>
        <v>100</v>
      </c>
      <c r="K15" s="868">
        <f>'比较法-住宅、综合'!K17</f>
        <v>3</v>
      </c>
      <c r="L15" s="2144"/>
      <c r="M15" s="2136"/>
      <c r="N15" s="2136"/>
      <c r="O15" s="2143"/>
      <c r="P15" s="3421" t="s">
        <v>540</v>
      </c>
      <c r="Q15" s="1573" t="str">
        <f t="shared" si="6"/>
        <v>居住社区成熟度</v>
      </c>
      <c r="R15" s="1574" t="s">
        <v>11</v>
      </c>
      <c r="S15" s="1575">
        <f t="shared" si="0"/>
        <v>100</v>
      </c>
      <c r="T15" s="1574" t="s">
        <v>11</v>
      </c>
      <c r="U15" s="1575">
        <f t="shared" si="1"/>
        <v>100</v>
      </c>
      <c r="V15" s="1574" t="s">
        <v>11</v>
      </c>
      <c r="W15" s="1575">
        <f t="shared" si="2"/>
        <v>100</v>
      </c>
      <c r="X15" s="1568"/>
      <c r="Y15" s="3421" t="s">
        <v>540</v>
      </c>
      <c r="Z15" s="1576" t="str">
        <f t="shared" si="7"/>
        <v>居住社区成熟度</v>
      </c>
      <c r="AA15" s="1577">
        <f t="shared" si="3"/>
        <v>1</v>
      </c>
      <c r="AB15" s="1577">
        <f t="shared" si="4"/>
        <v>1</v>
      </c>
      <c r="AC15" s="1577">
        <f t="shared" si="5"/>
        <v>1</v>
      </c>
    </row>
    <row r="16" spans="1:29" ht="15">
      <c r="A16" s="532"/>
      <c r="B16" s="869"/>
      <c r="C16" s="576" t="s">
        <v>3062</v>
      </c>
      <c r="D16" s="555"/>
      <c r="E16" s="556" t="s">
        <v>3062</v>
      </c>
      <c r="F16" s="557"/>
      <c r="G16" s="556" t="s">
        <v>3062</v>
      </c>
      <c r="H16" s="559"/>
      <c r="I16" s="556" t="s">
        <v>3062</v>
      </c>
      <c r="J16" s="555"/>
      <c r="K16" s="870"/>
      <c r="L16" s="2144"/>
      <c r="M16" s="2136"/>
      <c r="N16" s="2136"/>
      <c r="O16" s="2143"/>
      <c r="P16" s="3422"/>
      <c r="Q16" s="1573"/>
      <c r="R16" s="1574"/>
      <c r="S16" s="1575"/>
      <c r="T16" s="1574"/>
      <c r="U16" s="1575"/>
      <c r="V16" s="1574"/>
      <c r="W16" s="1575"/>
      <c r="X16" s="1568"/>
      <c r="Y16" s="3422"/>
      <c r="Z16" s="1576"/>
      <c r="AA16" s="1577">
        <v>1</v>
      </c>
      <c r="AB16" s="1577">
        <v>1</v>
      </c>
      <c r="AC16" s="1577">
        <v>1</v>
      </c>
    </row>
    <row r="17" spans="1:29" ht="85.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t="s">
        <v>3086</v>
      </c>
      <c r="F17" s="563">
        <f>SUMIF(78:78,E18,79:79)-SUMIF(78:78,C18,79:79)+100</f>
        <v>100</v>
      </c>
      <c r="G17" s="562" t="s">
        <v>3090</v>
      </c>
      <c r="H17" s="565">
        <f>SUMIF(78:78,G18,79:79)-SUMIF(78:78,C18,79:79)+100</f>
        <v>100</v>
      </c>
      <c r="I17" s="562" t="s">
        <v>3090</v>
      </c>
      <c r="J17" s="565">
        <f>SUMIF(78:78,I18,79:79)-SUMIF(78:78,C18,79:79)+100</f>
        <v>100</v>
      </c>
      <c r="K17" s="868">
        <v>2</v>
      </c>
      <c r="L17" s="2144"/>
      <c r="M17" s="2136"/>
      <c r="N17" s="2136"/>
      <c r="O17" s="2143"/>
      <c r="P17" s="3422"/>
      <c r="Q17" s="1573" t="str">
        <f>B17</f>
        <v>交通便捷度</v>
      </c>
      <c r="R17" s="1574" t="s">
        <v>11</v>
      </c>
      <c r="S17" s="1575">
        <f>F17</f>
        <v>100</v>
      </c>
      <c r="T17" s="1574" t="s">
        <v>11</v>
      </c>
      <c r="U17" s="1575">
        <f>H17</f>
        <v>100</v>
      </c>
      <c r="V17" s="1574" t="s">
        <v>11</v>
      </c>
      <c r="W17" s="1575">
        <f>J17</f>
        <v>100</v>
      </c>
      <c r="X17" s="1568"/>
      <c r="Y17" s="3422"/>
      <c r="Z17" s="1576" t="str">
        <f>Q17</f>
        <v>交通便捷度</v>
      </c>
      <c r="AA17" s="1577">
        <f t="shared" si="3"/>
        <v>1</v>
      </c>
      <c r="AB17" s="1577">
        <f t="shared" si="4"/>
        <v>1</v>
      </c>
      <c r="AC17" s="1577">
        <f t="shared" si="5"/>
        <v>1</v>
      </c>
    </row>
    <row r="18" spans="1:29" ht="15">
      <c r="A18" s="532"/>
      <c r="B18" s="595"/>
      <c r="C18" s="873" t="s">
        <v>3063</v>
      </c>
      <c r="D18" s="559"/>
      <c r="E18" s="873" t="s">
        <v>3063</v>
      </c>
      <c r="F18" s="563"/>
      <c r="G18" s="873" t="s">
        <v>3063</v>
      </c>
      <c r="H18" s="555"/>
      <c r="I18" s="873" t="s">
        <v>3063</v>
      </c>
      <c r="J18" s="555"/>
      <c r="K18" s="870"/>
      <c r="L18" s="2144"/>
      <c r="M18" s="2136"/>
      <c r="N18" s="2136"/>
      <c r="O18" s="2143"/>
      <c r="P18" s="3422"/>
      <c r="Q18" s="1573"/>
      <c r="R18" s="1574"/>
      <c r="S18" s="1575"/>
      <c r="T18" s="1574"/>
      <c r="U18" s="1575"/>
      <c r="V18" s="1574"/>
      <c r="W18" s="1575"/>
      <c r="X18" s="1568"/>
      <c r="Y18" s="3422"/>
      <c r="Z18" s="1576"/>
      <c r="AA18" s="1577">
        <v>1</v>
      </c>
      <c r="AB18" s="1577">
        <v>1</v>
      </c>
      <c r="AC18" s="1577">
        <v>1</v>
      </c>
    </row>
    <row r="19" spans="1:29" ht="28.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22"/>
      <c r="Q19" s="1573" t="str">
        <f>B19</f>
        <v>公共配套设施</v>
      </c>
      <c r="R19" s="1574" t="s">
        <v>11</v>
      </c>
      <c r="S19" s="1575">
        <f>F19</f>
        <v>100</v>
      </c>
      <c r="T19" s="1574" t="s">
        <v>11</v>
      </c>
      <c r="U19" s="1575">
        <f>H19</f>
        <v>100</v>
      </c>
      <c r="V19" s="1574" t="s">
        <v>11</v>
      </c>
      <c r="W19" s="1575">
        <f>J19</f>
        <v>100</v>
      </c>
      <c r="X19" s="1568"/>
      <c r="Y19" s="3422"/>
      <c r="Z19" s="1576" t="str">
        <f>Q19</f>
        <v>公共配套设施</v>
      </c>
      <c r="AA19" s="1577">
        <f t="shared" si="3"/>
        <v>1</v>
      </c>
      <c r="AB19" s="1577">
        <f t="shared" si="4"/>
        <v>1</v>
      </c>
      <c r="AC19" s="1577">
        <f t="shared" si="5"/>
        <v>1</v>
      </c>
    </row>
    <row r="20" spans="1:29" ht="15">
      <c r="A20" s="532"/>
      <c r="B20" s="595"/>
      <c r="C20" s="576" t="s">
        <v>3063</v>
      </c>
      <c r="D20" s="555"/>
      <c r="E20" s="556" t="s">
        <v>3063</v>
      </c>
      <c r="F20" s="557"/>
      <c r="G20" s="873" t="s">
        <v>3063</v>
      </c>
      <c r="H20" s="555"/>
      <c r="I20" s="873" t="s">
        <v>3063</v>
      </c>
      <c r="J20" s="555"/>
      <c r="K20" s="870"/>
      <c r="L20" s="2144"/>
      <c r="M20" s="2136"/>
      <c r="N20" s="2136"/>
      <c r="O20" s="2143"/>
      <c r="P20" s="3422"/>
      <c r="Q20" s="1573"/>
      <c r="R20" s="1574"/>
      <c r="S20" s="1575"/>
      <c r="T20" s="1574"/>
      <c r="U20" s="1575"/>
      <c r="V20" s="1574"/>
      <c r="W20" s="1575"/>
      <c r="X20" s="1568"/>
      <c r="Y20" s="3422"/>
      <c r="Z20" s="1576"/>
      <c r="AA20" s="1577">
        <v>1</v>
      </c>
      <c r="AB20" s="1577">
        <v>1</v>
      </c>
      <c r="AC20" s="1577">
        <v>1</v>
      </c>
    </row>
    <row r="21" spans="1:29" ht="28.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22"/>
      <c r="Q21" s="2605" t="str">
        <f>B21</f>
        <v>基础设施水平</v>
      </c>
      <c r="R21" s="1574" t="s">
        <v>11</v>
      </c>
      <c r="S21" s="1575">
        <f>F21</f>
        <v>100</v>
      </c>
      <c r="T21" s="1574" t="s">
        <v>11</v>
      </c>
      <c r="U21" s="1575">
        <f>H21</f>
        <v>100</v>
      </c>
      <c r="V21" s="1574" t="s">
        <v>11</v>
      </c>
      <c r="W21" s="1575">
        <f>J21</f>
        <v>100</v>
      </c>
      <c r="X21" s="2607"/>
      <c r="Y21" s="3422"/>
      <c r="Z21" s="2606" t="str">
        <f>Q21</f>
        <v>基础设施水平</v>
      </c>
      <c r="AA21" s="1577">
        <f t="shared" ref="AA21" si="8">D21/F21</f>
        <v>1</v>
      </c>
      <c r="AB21" s="1577">
        <f t="shared" ref="AB21" si="9">D21/H21</f>
        <v>1</v>
      </c>
      <c r="AC21" s="15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422"/>
      <c r="Q22" s="2605"/>
      <c r="R22" s="1574"/>
      <c r="S22" s="1575"/>
      <c r="T22" s="1574"/>
      <c r="U22" s="1575"/>
      <c r="V22" s="1574"/>
      <c r="W22" s="1575"/>
      <c r="X22" s="2607"/>
      <c r="Y22" s="3422"/>
      <c r="Z22" s="2606"/>
      <c r="AA22" s="1577">
        <v>1</v>
      </c>
      <c r="AB22" s="1577">
        <v>1</v>
      </c>
      <c r="AC22" s="1577">
        <v>1</v>
      </c>
    </row>
    <row r="23" spans="1:29" ht="73.5" customHeight="1">
      <c r="A23" s="532"/>
      <c r="B23" s="871" t="s">
        <v>297</v>
      </c>
      <c r="C23" s="872" t="str">
        <f>估价对象房地状况!C9</f>
        <v>区域自然环境：四川北路公园、交通公园；人文环境：上海城建职业学院、上海铁路博物馆；综合评价环境状况较好</v>
      </c>
      <c r="D23" s="559">
        <v>100</v>
      </c>
      <c r="E23" s="3211" t="s">
        <v>3087</v>
      </c>
      <c r="F23" s="563">
        <f>SUMIF(84:84,E24,85:85)-SUMIF(84:84,C24,85:85)+100</f>
        <v>100</v>
      </c>
      <c r="G23" s="3211" t="s">
        <v>3087</v>
      </c>
      <c r="H23" s="559">
        <f>SUMIF(84:84,G24,85:85)-SUMIF(84:84,C24,85:85)+100</f>
        <v>100</v>
      </c>
      <c r="I23" s="3211" t="s">
        <v>3087</v>
      </c>
      <c r="J23" s="559">
        <f>SUMIF(84:84,I24,85:85)-SUMIF(84:84,C24,85:85)+100</f>
        <v>100</v>
      </c>
      <c r="K23" s="868">
        <v>2</v>
      </c>
      <c r="L23" s="2144"/>
      <c r="M23" s="2136"/>
      <c r="N23" s="2136"/>
      <c r="O23" s="2143"/>
      <c r="P23" s="3422"/>
      <c r="Q23" s="1573" t="str">
        <f>B23</f>
        <v>自然及人文环境</v>
      </c>
      <c r="R23" s="1574" t="s">
        <v>11</v>
      </c>
      <c r="S23" s="1575">
        <f>F23</f>
        <v>100</v>
      </c>
      <c r="T23" s="1574" t="s">
        <v>11</v>
      </c>
      <c r="U23" s="1575">
        <f>H23</f>
        <v>100</v>
      </c>
      <c r="V23" s="1574" t="s">
        <v>11</v>
      </c>
      <c r="W23" s="1575">
        <f>J23</f>
        <v>100</v>
      </c>
      <c r="X23" s="1568"/>
      <c r="Y23" s="3422"/>
      <c r="Z23" s="1576" t="str">
        <f>Q23</f>
        <v>自然及人文环境</v>
      </c>
      <c r="AA23" s="1577">
        <f t="shared" si="3"/>
        <v>1</v>
      </c>
      <c r="AB23" s="1577">
        <f t="shared" si="4"/>
        <v>1</v>
      </c>
      <c r="AC23" s="1577">
        <f t="shared" si="5"/>
        <v>1</v>
      </c>
    </row>
    <row r="24" spans="1:29" ht="15">
      <c r="A24" s="532"/>
      <c r="B24" s="595"/>
      <c r="C24" s="576" t="s">
        <v>3062</v>
      </c>
      <c r="D24" s="555"/>
      <c r="E24" s="556" t="s">
        <v>3062</v>
      </c>
      <c r="F24" s="557"/>
      <c r="G24" s="558" t="s">
        <v>3062</v>
      </c>
      <c r="H24" s="555"/>
      <c r="I24" s="558" t="s">
        <v>3062</v>
      </c>
      <c r="J24" s="555"/>
      <c r="K24" s="870"/>
      <c r="L24" s="2144"/>
      <c r="M24" s="2136"/>
      <c r="N24" s="2136"/>
      <c r="O24" s="2143"/>
      <c r="P24" s="3422"/>
      <c r="Q24" s="1573"/>
      <c r="R24" s="1574"/>
      <c r="S24" s="1575"/>
      <c r="T24" s="1574"/>
      <c r="U24" s="1575"/>
      <c r="V24" s="1574"/>
      <c r="W24" s="1575"/>
      <c r="X24" s="1568"/>
      <c r="Y24" s="3422"/>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22"/>
      <c r="Q25" s="1573" t="str">
        <f t="shared" ref="Q25:Q46" si="11">B25</f>
        <v>楼层-1</v>
      </c>
      <c r="R25" s="1574" t="s">
        <v>11</v>
      </c>
      <c r="S25" s="1575">
        <f>F25</f>
        <v>100</v>
      </c>
      <c r="T25" s="1574" t="s">
        <v>11</v>
      </c>
      <c r="U25" s="1575">
        <f>H25</f>
        <v>100</v>
      </c>
      <c r="V25" s="1574" t="s">
        <v>11</v>
      </c>
      <c r="W25" s="1575">
        <f>J25</f>
        <v>100</v>
      </c>
      <c r="X25" s="1568"/>
      <c r="Y25" s="342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22"/>
      <c r="Q26" s="1573" t="str">
        <f t="shared" si="11"/>
        <v>朝向</v>
      </c>
      <c r="R26" s="1574" t="s">
        <v>11</v>
      </c>
      <c r="S26" s="1575">
        <f>F26</f>
        <v>100</v>
      </c>
      <c r="T26" s="1574" t="s">
        <v>11</v>
      </c>
      <c r="U26" s="1575">
        <f>H26</f>
        <v>100</v>
      </c>
      <c r="V26" s="1574" t="s">
        <v>11</v>
      </c>
      <c r="W26" s="1575">
        <f>J26</f>
        <v>100</v>
      </c>
      <c r="X26" s="1568"/>
      <c r="Y26" s="3422"/>
      <c r="Z26" s="1576" t="str">
        <f>Q26</f>
        <v>朝向</v>
      </c>
      <c r="AA26" s="1577">
        <f t="shared" si="3"/>
        <v>1</v>
      </c>
      <c r="AB26" s="1577">
        <f t="shared" si="4"/>
        <v>1</v>
      </c>
      <c r="AC26" s="1577">
        <f t="shared" si="5"/>
        <v>1</v>
      </c>
    </row>
    <row r="27" spans="1:29" s="1220" customFormat="1" ht="15">
      <c r="A27" s="536"/>
      <c r="B27" s="537" t="s">
        <v>724</v>
      </c>
      <c r="C27" s="3206" t="s">
        <v>3065</v>
      </c>
      <c r="D27" s="875">
        <v>100</v>
      </c>
      <c r="E27" s="3206" t="s">
        <v>3065</v>
      </c>
      <c r="F27" s="876">
        <f>SUMIF(90:90,E27,91:91)-SUMIF(90:90,C27,91:91)+100</f>
        <v>100</v>
      </c>
      <c r="G27" s="3206" t="s">
        <v>3065</v>
      </c>
      <c r="H27" s="875">
        <f>SUMIF(90:90,G27,91:91)-SUMIF(90:90,C27,91:91)+100</f>
        <v>100</v>
      </c>
      <c r="I27" s="3206" t="s">
        <v>3065</v>
      </c>
      <c r="J27" s="875">
        <f>SUMIF(90:90,I27,91:91)-SUMIF(90:90,C27,91:91)+100</f>
        <v>100</v>
      </c>
      <c r="K27" s="865"/>
      <c r="L27" s="2137"/>
      <c r="M27" s="2138"/>
      <c r="N27" s="2138"/>
      <c r="O27" s="2139"/>
      <c r="P27" s="3422"/>
      <c r="Q27" s="1151" t="str">
        <f t="shared" si="11"/>
        <v>道路级别</v>
      </c>
      <c r="R27" s="1569" t="s">
        <v>11</v>
      </c>
      <c r="S27" s="1570">
        <f>F27</f>
        <v>100</v>
      </c>
      <c r="T27" s="1569" t="s">
        <v>11</v>
      </c>
      <c r="U27" s="1570">
        <f>H27</f>
        <v>100</v>
      </c>
      <c r="V27" s="1569" t="s">
        <v>11</v>
      </c>
      <c r="W27" s="1570">
        <f>J27</f>
        <v>100</v>
      </c>
      <c r="X27" s="1571"/>
      <c r="Y27" s="3422"/>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2"/>
      <c r="Q28" s="1573">
        <f t="shared" si="11"/>
        <v>0</v>
      </c>
      <c r="R28" s="1574" t="s">
        <v>11</v>
      </c>
      <c r="S28" s="1575">
        <f t="shared" ref="S28:S46" si="12">F28</f>
        <v>100</v>
      </c>
      <c r="T28" s="1574" t="s">
        <v>11</v>
      </c>
      <c r="U28" s="1575">
        <f t="shared" ref="U28:U46" si="13">H28</f>
        <v>100</v>
      </c>
      <c r="V28" s="1574" t="s">
        <v>11</v>
      </c>
      <c r="W28" s="1575">
        <f t="shared" ref="W28:W46" si="14">J28</f>
        <v>100</v>
      </c>
      <c r="X28" s="1568"/>
      <c r="Y28" s="3422"/>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2"/>
      <c r="Q29" s="1573">
        <f t="shared" si="11"/>
        <v>0</v>
      </c>
      <c r="R29" s="1574" t="s">
        <v>11</v>
      </c>
      <c r="S29" s="1575">
        <f t="shared" si="12"/>
        <v>100</v>
      </c>
      <c r="T29" s="1574" t="s">
        <v>11</v>
      </c>
      <c r="U29" s="1575">
        <f t="shared" si="13"/>
        <v>100</v>
      </c>
      <c r="V29" s="1574" t="s">
        <v>11</v>
      </c>
      <c r="W29" s="1575">
        <f t="shared" si="14"/>
        <v>100</v>
      </c>
      <c r="X29" s="1568"/>
      <c r="Y29" s="3422"/>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2"/>
      <c r="Q30" s="1573">
        <f t="shared" si="11"/>
        <v>0</v>
      </c>
      <c r="R30" s="1574" t="s">
        <v>11</v>
      </c>
      <c r="S30" s="1575">
        <f t="shared" si="12"/>
        <v>100</v>
      </c>
      <c r="T30" s="1574" t="s">
        <v>11</v>
      </c>
      <c r="U30" s="1575">
        <f t="shared" si="13"/>
        <v>100</v>
      </c>
      <c r="V30" s="1574" t="s">
        <v>11</v>
      </c>
      <c r="W30" s="1575">
        <f t="shared" si="14"/>
        <v>100</v>
      </c>
      <c r="X30" s="1568"/>
      <c r="Y30" s="3422"/>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2"/>
      <c r="Q31" s="1573">
        <f t="shared" si="11"/>
        <v>0</v>
      </c>
      <c r="R31" s="1574" t="s">
        <v>11</v>
      </c>
      <c r="S31" s="1575">
        <f t="shared" si="12"/>
        <v>100</v>
      </c>
      <c r="T31" s="1574" t="s">
        <v>11</v>
      </c>
      <c r="U31" s="1575">
        <f t="shared" si="13"/>
        <v>100</v>
      </c>
      <c r="V31" s="1574" t="s">
        <v>11</v>
      </c>
      <c r="W31" s="1575">
        <f t="shared" si="14"/>
        <v>100</v>
      </c>
      <c r="X31" s="1568"/>
      <c r="Y31" s="3422"/>
      <c r="Z31" s="1576">
        <f t="shared" si="15"/>
        <v>0</v>
      </c>
      <c r="AA31" s="1577">
        <f t="shared" si="3"/>
        <v>1</v>
      </c>
      <c r="AB31" s="1577">
        <f t="shared" si="4"/>
        <v>1</v>
      </c>
      <c r="AC31" s="1577">
        <f t="shared" si="5"/>
        <v>1</v>
      </c>
    </row>
    <row r="32" spans="1:29" ht="15">
      <c r="A32" s="2933" t="s">
        <v>2755</v>
      </c>
      <c r="B32" s="172" t="s">
        <v>725</v>
      </c>
      <c r="C32" s="878" t="s">
        <v>3079</v>
      </c>
      <c r="D32" s="597">
        <v>100</v>
      </c>
      <c r="E32" s="879" t="s">
        <v>3079</v>
      </c>
      <c r="F32" s="575">
        <f>SUMIF(100:100,E32,101:101)-SUMIF(100:100,C32,101:101)+100</f>
        <v>100</v>
      </c>
      <c r="G32" s="878" t="s">
        <v>3079</v>
      </c>
      <c r="H32" s="597">
        <f>SUMIF(100:100,G32,101:101)-SUMIF(100:100,C32,101:101)+100</f>
        <v>100</v>
      </c>
      <c r="I32" s="878" t="s">
        <v>3109</v>
      </c>
      <c r="J32" s="540">
        <f>SUMIF(100:100,I32,101:101)-SUMIF(100:100,C32,101:101)+100</f>
        <v>95</v>
      </c>
      <c r="K32" s="864">
        <v>5</v>
      </c>
      <c r="L32" s="2144"/>
      <c r="M32" s="2136"/>
      <c r="N32" s="2136"/>
      <c r="O32" s="2143"/>
      <c r="P32" s="3423" t="s">
        <v>550</v>
      </c>
      <c r="Q32" s="1573" t="str">
        <f t="shared" si="11"/>
        <v>建筑类型</v>
      </c>
      <c r="R32" s="1574" t="s">
        <v>11</v>
      </c>
      <c r="S32" s="1575">
        <f t="shared" si="12"/>
        <v>100</v>
      </c>
      <c r="T32" s="1574" t="s">
        <v>11</v>
      </c>
      <c r="U32" s="1575">
        <f t="shared" si="13"/>
        <v>100</v>
      </c>
      <c r="V32" s="1574" t="s">
        <v>11</v>
      </c>
      <c r="W32" s="1575">
        <f t="shared" si="14"/>
        <v>95</v>
      </c>
      <c r="X32" s="1568"/>
      <c r="Y32" s="3424" t="s">
        <v>550</v>
      </c>
      <c r="Z32" s="1576" t="str">
        <f t="shared" si="15"/>
        <v>建筑类型</v>
      </c>
      <c r="AA32" s="1577">
        <f t="shared" si="3"/>
        <v>1</v>
      </c>
      <c r="AB32" s="1577">
        <f t="shared" si="4"/>
        <v>1</v>
      </c>
      <c r="AC32" s="1577">
        <f t="shared" si="5"/>
        <v>1.0526315789473684</v>
      </c>
    </row>
    <row r="33" spans="1:29" s="1339" customFormat="1" ht="15">
      <c r="A33" s="603"/>
      <c r="B33" s="527" t="s">
        <v>726</v>
      </c>
      <c r="C33" s="880">
        <f>面积表!E11</f>
        <v>109754</v>
      </c>
      <c r="D33" s="255">
        <v>100</v>
      </c>
      <c r="E33" s="534">
        <v>218500</v>
      </c>
      <c r="F33" s="863">
        <f>LOOKUP(E33,103:103,104:104)-LOOKUP(C33,103:103,104:104)+100</f>
        <v>101</v>
      </c>
      <c r="G33" s="533">
        <v>55655</v>
      </c>
      <c r="H33" s="255">
        <f>LOOKUP(G33,103:103,104:104)-LOOKUP(C33,103:103,104:104)+100</f>
        <v>99</v>
      </c>
      <c r="I33" s="533">
        <v>450000</v>
      </c>
      <c r="J33" s="255">
        <f>LOOKUP(I33,103:103,104:104)-LOOKUP(C33,103:103,104:104)+100</f>
        <v>102</v>
      </c>
      <c r="K33" s="865"/>
      <c r="L33" s="2142"/>
      <c r="M33" s="2173"/>
      <c r="N33" s="2173"/>
      <c r="O33" s="2145"/>
      <c r="P33" s="3424"/>
      <c r="Q33" s="1606" t="str">
        <f t="shared" si="11"/>
        <v>项目建筑规模</v>
      </c>
      <c r="R33" s="1578" t="s">
        <v>11</v>
      </c>
      <c r="S33" s="1579">
        <f t="shared" si="12"/>
        <v>101</v>
      </c>
      <c r="T33" s="1578" t="s">
        <v>11</v>
      </c>
      <c r="U33" s="1579">
        <f t="shared" si="13"/>
        <v>99</v>
      </c>
      <c r="V33" s="1578" t="s">
        <v>11</v>
      </c>
      <c r="W33" s="1579">
        <f t="shared" si="14"/>
        <v>102</v>
      </c>
      <c r="X33" s="1580"/>
      <c r="Y33" s="3424"/>
      <c r="Z33" s="1581" t="str">
        <f t="shared" si="15"/>
        <v>项目建筑规模</v>
      </c>
      <c r="AA33" s="1577">
        <f t="shared" si="3"/>
        <v>0.99009900990099009</v>
      </c>
      <c r="AB33" s="1577">
        <f t="shared" si="4"/>
        <v>1.0101010101010102</v>
      </c>
      <c r="AC33" s="1577">
        <f t="shared" si="5"/>
        <v>0.98039215686274506</v>
      </c>
    </row>
    <row r="34" spans="1:29" ht="15">
      <c r="A34" s="594"/>
      <c r="B34" s="527" t="s">
        <v>727</v>
      </c>
      <c r="C34" s="881" t="s">
        <v>3080</v>
      </c>
      <c r="D34" s="540">
        <v>100</v>
      </c>
      <c r="E34" s="881" t="s">
        <v>3080</v>
      </c>
      <c r="F34" s="575">
        <f>SUMIF(105:105,E34,106:106)-SUMIF(105:105,C34,106:106)+100</f>
        <v>100</v>
      </c>
      <c r="G34" s="881" t="s">
        <v>3080</v>
      </c>
      <c r="H34" s="540">
        <f>SUMIF(105:105,G34,106:106)-SUMIF(105:105,C34,106:106)+100</f>
        <v>100</v>
      </c>
      <c r="I34" s="881" t="s">
        <v>3080</v>
      </c>
      <c r="J34" s="540">
        <f>SUMIF(105:105,I34,106:106)-SUMIF(105:105,C34,106:106)+100</f>
        <v>100</v>
      </c>
      <c r="K34" s="864">
        <v>2</v>
      </c>
      <c r="L34" s="2144"/>
      <c r="M34" s="2136"/>
      <c r="N34" s="2136"/>
      <c r="O34" s="2143"/>
      <c r="P34" s="3424"/>
      <c r="Q34" s="1573" t="str">
        <f t="shared" si="11"/>
        <v>建筑结构</v>
      </c>
      <c r="R34" s="1574" t="s">
        <v>11</v>
      </c>
      <c r="S34" s="1575">
        <f t="shared" si="12"/>
        <v>100</v>
      </c>
      <c r="T34" s="1574" t="s">
        <v>11</v>
      </c>
      <c r="U34" s="1575">
        <f t="shared" si="13"/>
        <v>100</v>
      </c>
      <c r="V34" s="1574" t="s">
        <v>11</v>
      </c>
      <c r="W34" s="1575">
        <f t="shared" si="14"/>
        <v>100</v>
      </c>
      <c r="X34" s="1568"/>
      <c r="Y34" s="3424"/>
      <c r="Z34" s="1576" t="str">
        <f t="shared" si="15"/>
        <v>建筑结构</v>
      </c>
      <c r="AA34" s="1577">
        <f t="shared" si="3"/>
        <v>1</v>
      </c>
      <c r="AB34" s="1577">
        <f t="shared" si="4"/>
        <v>1</v>
      </c>
      <c r="AC34" s="1577">
        <f t="shared" si="5"/>
        <v>1</v>
      </c>
    </row>
    <row r="35" spans="1:29" ht="15">
      <c r="A35" s="594"/>
      <c r="B35" s="527" t="s">
        <v>728</v>
      </c>
      <c r="C35" s="599" t="s">
        <v>3081</v>
      </c>
      <c r="D35" s="540">
        <v>100</v>
      </c>
      <c r="E35" s="599" t="s">
        <v>3081</v>
      </c>
      <c r="F35" s="575">
        <f>SUMIF(107:107,E35,108:108)-SUMIF(107:107,C35,108:108)+100</f>
        <v>100</v>
      </c>
      <c r="G35" s="599" t="s">
        <v>3081</v>
      </c>
      <c r="H35" s="540">
        <f>SUMIF(107:107,G35,108:108)-SUMIF(107:107,C35,108:108)+100</f>
        <v>100</v>
      </c>
      <c r="I35" s="599" t="s">
        <v>3081</v>
      </c>
      <c r="J35" s="540">
        <f>SUMIF(107:107,I35,108:108)-SUMIF(107:107,C35,108:108)+100</f>
        <v>100</v>
      </c>
      <c r="K35" s="864">
        <v>2</v>
      </c>
      <c r="L35" s="2144"/>
      <c r="M35" s="2136"/>
      <c r="N35" s="2136"/>
      <c r="O35" s="2143"/>
      <c r="P35" s="3424"/>
      <c r="Q35" s="1573" t="str">
        <f t="shared" si="11"/>
        <v>建筑品质</v>
      </c>
      <c r="R35" s="1574" t="s">
        <v>11</v>
      </c>
      <c r="S35" s="1575">
        <f t="shared" si="12"/>
        <v>100</v>
      </c>
      <c r="T35" s="1574" t="s">
        <v>11</v>
      </c>
      <c r="U35" s="1575">
        <f t="shared" si="13"/>
        <v>100</v>
      </c>
      <c r="V35" s="1574" t="s">
        <v>11</v>
      </c>
      <c r="W35" s="1575">
        <f t="shared" si="14"/>
        <v>100</v>
      </c>
      <c r="X35" s="1568"/>
      <c r="Y35" s="3424"/>
      <c r="Z35" s="1576" t="str">
        <f t="shared" si="15"/>
        <v>建筑品质</v>
      </c>
      <c r="AA35" s="1577">
        <f t="shared" si="3"/>
        <v>1</v>
      </c>
      <c r="AB35" s="1577">
        <f t="shared" si="4"/>
        <v>1</v>
      </c>
      <c r="AC35" s="1577">
        <f t="shared" si="5"/>
        <v>1</v>
      </c>
    </row>
    <row r="36" spans="1:29" ht="15">
      <c r="A36" s="594"/>
      <c r="B36" s="527" t="s">
        <v>729</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v>2</v>
      </c>
      <c r="L36" s="2144"/>
      <c r="M36" s="2136"/>
      <c r="N36" s="2136"/>
      <c r="O36" s="2143"/>
      <c r="P36" s="3424"/>
      <c r="Q36" s="1573" t="str">
        <f t="shared" si="11"/>
        <v>公共部分装修</v>
      </c>
      <c r="R36" s="1574" t="s">
        <v>11</v>
      </c>
      <c r="S36" s="1575">
        <f t="shared" si="12"/>
        <v>100</v>
      </c>
      <c r="T36" s="1574" t="s">
        <v>11</v>
      </c>
      <c r="U36" s="1575">
        <f t="shared" si="13"/>
        <v>100</v>
      </c>
      <c r="V36" s="1574" t="s">
        <v>11</v>
      </c>
      <c r="W36" s="1575">
        <f t="shared" si="14"/>
        <v>100</v>
      </c>
      <c r="X36" s="1568"/>
      <c r="Y36" s="3424"/>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f>1-(2018-2016)/60</f>
        <v>0.96666666666666667</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424"/>
      <c r="Q37" s="1151" t="str">
        <f t="shared" si="11"/>
        <v>成新度</v>
      </c>
      <c r="R37" s="1569" t="s">
        <v>11</v>
      </c>
      <c r="S37" s="1570">
        <f t="shared" si="12"/>
        <v>100</v>
      </c>
      <c r="T37" s="1569" t="s">
        <v>11</v>
      </c>
      <c r="U37" s="1570">
        <f t="shared" si="13"/>
        <v>100</v>
      </c>
      <c r="V37" s="1569" t="s">
        <v>11</v>
      </c>
      <c r="W37" s="1570">
        <f t="shared" si="14"/>
        <v>100</v>
      </c>
      <c r="X37" s="1571"/>
      <c r="Y37" s="3424"/>
      <c r="Z37" s="1150" t="str">
        <f t="shared" si="15"/>
        <v>成新度</v>
      </c>
      <c r="AA37" s="1572">
        <f t="shared" si="3"/>
        <v>1</v>
      </c>
      <c r="AB37" s="1572">
        <f t="shared" si="4"/>
        <v>1</v>
      </c>
      <c r="AC37" s="1572">
        <f t="shared" si="5"/>
        <v>1</v>
      </c>
    </row>
    <row r="38" spans="1:29" ht="15">
      <c r="A38" s="594"/>
      <c r="B38" s="527" t="s">
        <v>731</v>
      </c>
      <c r="C38" s="599" t="s">
        <v>3083</v>
      </c>
      <c r="D38" s="540">
        <v>100</v>
      </c>
      <c r="E38" s="599" t="s">
        <v>3083</v>
      </c>
      <c r="F38" s="575">
        <f>SUMIF(114:114,E38,115:115)-SUMIF(114:114,C38,115:115)+100</f>
        <v>100</v>
      </c>
      <c r="G38" s="599" t="s">
        <v>3083</v>
      </c>
      <c r="H38" s="540">
        <f>SUMIF(114:114,G38,115:115)-SUMIF(114:114,C38,115:115)+100</f>
        <v>100</v>
      </c>
      <c r="I38" s="599" t="s">
        <v>3083</v>
      </c>
      <c r="J38" s="540">
        <f>SUMIF(114:114,I38,115:115)-SUMIF(114:114,C38,115:115)+100</f>
        <v>100</v>
      </c>
      <c r="K38" s="864">
        <v>2</v>
      </c>
      <c r="L38" s="2144"/>
      <c r="M38" s="2136"/>
      <c r="N38" s="2136"/>
      <c r="O38" s="2143"/>
      <c r="P38" s="3424" t="s">
        <v>550</v>
      </c>
      <c r="Q38" s="1573" t="str">
        <f t="shared" si="11"/>
        <v>物业管理</v>
      </c>
      <c r="R38" s="1574" t="s">
        <v>11</v>
      </c>
      <c r="S38" s="1575">
        <f t="shared" si="12"/>
        <v>100</v>
      </c>
      <c r="T38" s="1574" t="s">
        <v>11</v>
      </c>
      <c r="U38" s="1575">
        <f t="shared" si="13"/>
        <v>100</v>
      </c>
      <c r="V38" s="1574" t="s">
        <v>11</v>
      </c>
      <c r="W38" s="1575">
        <f t="shared" si="14"/>
        <v>100</v>
      </c>
      <c r="X38" s="1568"/>
      <c r="Y38" s="3424" t="s">
        <v>550</v>
      </c>
      <c r="Z38" s="1576" t="str">
        <f t="shared" si="15"/>
        <v>物业管理</v>
      </c>
      <c r="AA38" s="1577">
        <f t="shared" si="3"/>
        <v>1</v>
      </c>
      <c r="AB38" s="1577">
        <f t="shared" si="4"/>
        <v>1</v>
      </c>
      <c r="AC38" s="1577">
        <f t="shared" si="5"/>
        <v>1</v>
      </c>
    </row>
    <row r="39" spans="1:29" ht="15">
      <c r="A39" s="594"/>
      <c r="B39" s="1897" t="s">
        <v>2564</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24"/>
      <c r="Q39" s="1573" t="str">
        <f t="shared" si="11"/>
        <v>市政基础设施</v>
      </c>
      <c r="R39" s="1574" t="s">
        <v>11</v>
      </c>
      <c r="S39" s="1575">
        <f t="shared" si="12"/>
        <v>100</v>
      </c>
      <c r="T39" s="1574" t="s">
        <v>11</v>
      </c>
      <c r="U39" s="1575">
        <f t="shared" si="13"/>
        <v>100</v>
      </c>
      <c r="V39" s="1574" t="s">
        <v>11</v>
      </c>
      <c r="W39" s="1575">
        <f t="shared" si="14"/>
        <v>100</v>
      </c>
      <c r="X39" s="1568"/>
      <c r="Y39" s="342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4"/>
      <c r="M40" s="2136"/>
      <c r="N40" s="2136"/>
      <c r="O40" s="2143"/>
      <c r="P40" s="3424"/>
      <c r="Q40" s="1573" t="str">
        <f t="shared" si="11"/>
        <v>房型</v>
      </c>
      <c r="R40" s="1574" t="s">
        <v>11</v>
      </c>
      <c r="S40" s="1575">
        <f t="shared" si="12"/>
        <v>100</v>
      </c>
      <c r="T40" s="1574" t="s">
        <v>11</v>
      </c>
      <c r="U40" s="1575">
        <f t="shared" si="13"/>
        <v>100</v>
      </c>
      <c r="V40" s="1574" t="s">
        <v>11</v>
      </c>
      <c r="W40" s="1575">
        <f t="shared" si="14"/>
        <v>100</v>
      </c>
      <c r="X40" s="1568"/>
      <c r="Y40" s="3424"/>
      <c r="Z40" s="1576" t="str">
        <f t="shared" si="15"/>
        <v>房型</v>
      </c>
      <c r="AA40" s="1577">
        <f t="shared" si="3"/>
        <v>1</v>
      </c>
      <c r="AB40" s="1577">
        <f t="shared" si="4"/>
        <v>1</v>
      </c>
      <c r="AC40" s="1577">
        <f t="shared" si="5"/>
        <v>1</v>
      </c>
    </row>
    <row r="41" spans="1:29" s="1339" customFormat="1" ht="28.5">
      <c r="A41" s="603"/>
      <c r="B41" s="527" t="s">
        <v>733</v>
      </c>
      <c r="C41" s="880" t="s">
        <v>3088</v>
      </c>
      <c r="D41" s="255">
        <v>100</v>
      </c>
      <c r="E41" s="534"/>
      <c r="F41" s="863">
        <f>SUMIF(120:120,E41,121:121)-SUMIF(120:120,C41,121:121)+100</f>
        <v>100</v>
      </c>
      <c r="G41" s="533"/>
      <c r="H41" s="255">
        <f>SUMIF(120:120,G41,121:121)-SUMIF(120:120,C41,121:121)+100</f>
        <v>100</v>
      </c>
      <c r="I41" s="533"/>
      <c r="J41" s="540">
        <f>SUMIF(120:120,I41,121:121)-SUMIF(120:120,C41,121:121)+100</f>
        <v>100</v>
      </c>
      <c r="K41" s="865"/>
      <c r="L41" s="2142"/>
      <c r="M41" s="2173"/>
      <c r="N41" s="2173"/>
      <c r="O41" s="2145"/>
      <c r="P41" s="3424"/>
      <c r="Q41" s="1606" t="str">
        <f t="shared" si="11"/>
        <v>单套/主力户型建筑面积</v>
      </c>
      <c r="R41" s="1578" t="s">
        <v>11</v>
      </c>
      <c r="S41" s="1579">
        <f t="shared" si="12"/>
        <v>100</v>
      </c>
      <c r="T41" s="1578" t="s">
        <v>11</v>
      </c>
      <c r="U41" s="1579">
        <f t="shared" si="13"/>
        <v>100</v>
      </c>
      <c r="V41" s="1578" t="s">
        <v>11</v>
      </c>
      <c r="W41" s="1579">
        <f t="shared" si="14"/>
        <v>100</v>
      </c>
      <c r="X41" s="1580"/>
      <c r="Y41" s="3424"/>
      <c r="Z41" s="1581" t="str">
        <f t="shared" si="15"/>
        <v>单套/主力户型建筑面积</v>
      </c>
      <c r="AA41" s="1577">
        <f t="shared" si="3"/>
        <v>1</v>
      </c>
      <c r="AB41" s="1577">
        <f t="shared" si="4"/>
        <v>1</v>
      </c>
      <c r="AC41" s="1577">
        <f t="shared" si="5"/>
        <v>1</v>
      </c>
    </row>
    <row r="42" spans="1:29" ht="15">
      <c r="A42" s="594"/>
      <c r="B42" s="527" t="s">
        <v>734</v>
      </c>
      <c r="C42" s="599" t="s">
        <v>3082</v>
      </c>
      <c r="D42" s="540">
        <v>100</v>
      </c>
      <c r="E42" s="599" t="s">
        <v>3082</v>
      </c>
      <c r="F42" s="575">
        <f>SUMIF(122:122,E42,123:123)-SUMIF(122:122,C42,123:123)+100</f>
        <v>100</v>
      </c>
      <c r="G42" s="599" t="s">
        <v>3089</v>
      </c>
      <c r="H42" s="540">
        <f>SUMIF(122:122,G42,123:123)-SUMIF(122:122,C42,123:123)+100</f>
        <v>94</v>
      </c>
      <c r="I42" s="599" t="s">
        <v>3082</v>
      </c>
      <c r="J42" s="540">
        <f>SUMIF(122:122,I42,123:123)-SUMIF(122:122,C42,123:123)+100</f>
        <v>100</v>
      </c>
      <c r="K42" s="864">
        <v>2</v>
      </c>
      <c r="L42" s="2144"/>
      <c r="M42" s="2136"/>
      <c r="N42" s="2136"/>
      <c r="O42" s="2143"/>
      <c r="P42" s="3424"/>
      <c r="Q42" s="1573" t="str">
        <f t="shared" si="11"/>
        <v>内部装修</v>
      </c>
      <c r="R42" s="1574" t="s">
        <v>11</v>
      </c>
      <c r="S42" s="1575">
        <f t="shared" si="12"/>
        <v>100</v>
      </c>
      <c r="T42" s="1574" t="s">
        <v>11</v>
      </c>
      <c r="U42" s="1575">
        <f t="shared" si="13"/>
        <v>94</v>
      </c>
      <c r="V42" s="1574" t="s">
        <v>11</v>
      </c>
      <c r="W42" s="1575">
        <f t="shared" si="14"/>
        <v>100</v>
      </c>
      <c r="X42" s="1568"/>
      <c r="Y42" s="3424"/>
      <c r="Z42" s="1576" t="str">
        <f t="shared" si="15"/>
        <v>内部装修</v>
      </c>
      <c r="AA42" s="1577">
        <f t="shared" si="3"/>
        <v>1</v>
      </c>
      <c r="AB42" s="1577">
        <f t="shared" si="4"/>
        <v>1.0638297872340425</v>
      </c>
      <c r="AC42" s="1577">
        <f t="shared" si="5"/>
        <v>1</v>
      </c>
    </row>
    <row r="43" spans="1:29" ht="27">
      <c r="A43" s="594"/>
      <c r="B43" s="527" t="s">
        <v>735</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2</v>
      </c>
      <c r="L43" s="2144"/>
      <c r="M43" s="2136"/>
      <c r="N43" s="2136"/>
      <c r="O43" s="2143"/>
      <c r="P43" s="3424"/>
      <c r="Q43" s="1573" t="str">
        <f t="shared" si="11"/>
        <v>内部装修维护情况</v>
      </c>
      <c r="R43" s="1574" t="s">
        <v>11</v>
      </c>
      <c r="S43" s="1575">
        <f t="shared" si="12"/>
        <v>100</v>
      </c>
      <c r="T43" s="1574" t="s">
        <v>11</v>
      </c>
      <c r="U43" s="1575">
        <f t="shared" si="13"/>
        <v>100</v>
      </c>
      <c r="V43" s="1574" t="s">
        <v>11</v>
      </c>
      <c r="W43" s="1575">
        <f t="shared" si="14"/>
        <v>100</v>
      </c>
      <c r="X43" s="1568"/>
      <c r="Y43" s="3424"/>
      <c r="Z43" s="1576" t="str">
        <f t="shared" si="15"/>
        <v>内部装修维护情况</v>
      </c>
      <c r="AA43" s="1577">
        <f t="shared" si="3"/>
        <v>1</v>
      </c>
      <c r="AB43" s="1577">
        <f t="shared" si="4"/>
        <v>1</v>
      </c>
      <c r="AC43" s="1577">
        <f t="shared" si="5"/>
        <v>1</v>
      </c>
    </row>
    <row r="44" spans="1:29" s="1220" customFormat="1" ht="15">
      <c r="A44" s="600"/>
      <c r="B44" s="3215" t="s">
        <v>3106</v>
      </c>
      <c r="C44" s="3216" t="s">
        <v>3107</v>
      </c>
      <c r="D44" s="255">
        <v>100</v>
      </c>
      <c r="E44" s="3216" t="s">
        <v>3107</v>
      </c>
      <c r="F44" s="863">
        <f>SUMIF(126:126,E44,127:127)-SUMIF(126:126,C44,127:127)+100</f>
        <v>100</v>
      </c>
      <c r="G44" s="3216" t="s">
        <v>3107</v>
      </c>
      <c r="H44" s="255">
        <f>SUMIF(126:126,G44,127:127)-SUMIF(126:126,C44,127:127)+100</f>
        <v>100</v>
      </c>
      <c r="I44" s="3216" t="s">
        <v>3108</v>
      </c>
      <c r="J44" s="255">
        <f>SUMIF(126:126,I44,127:127)-SUMIF(126:126,C44,127:127)+100</f>
        <v>105</v>
      </c>
      <c r="K44" s="865"/>
      <c r="L44" s="2137"/>
      <c r="M44" s="2138"/>
      <c r="N44" s="2138"/>
      <c r="O44" s="2139"/>
      <c r="P44" s="3424"/>
      <c r="Q44" s="1151" t="str">
        <f t="shared" si="11"/>
        <v>临江</v>
      </c>
      <c r="R44" s="1569" t="s">
        <v>11</v>
      </c>
      <c r="S44" s="1570">
        <f t="shared" si="12"/>
        <v>100</v>
      </c>
      <c r="T44" s="1569" t="s">
        <v>11</v>
      </c>
      <c r="U44" s="1570">
        <f t="shared" si="13"/>
        <v>100</v>
      </c>
      <c r="V44" s="1569" t="s">
        <v>11</v>
      </c>
      <c r="W44" s="1570">
        <f t="shared" si="14"/>
        <v>105</v>
      </c>
      <c r="X44" s="1571"/>
      <c r="Y44" s="3424"/>
      <c r="Z44" s="1150" t="str">
        <f t="shared" si="15"/>
        <v>临江</v>
      </c>
      <c r="AA44" s="1572">
        <f t="shared" si="3"/>
        <v>1</v>
      </c>
      <c r="AB44" s="1572">
        <f t="shared" si="4"/>
        <v>1</v>
      </c>
      <c r="AC44" s="1572">
        <f t="shared" si="5"/>
        <v>0.95238095238095233</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4"/>
      <c r="Q45" s="1573">
        <f t="shared" si="11"/>
        <v>111</v>
      </c>
      <c r="R45" s="1574" t="s">
        <v>11</v>
      </c>
      <c r="S45" s="1575">
        <f t="shared" si="12"/>
        <v>100</v>
      </c>
      <c r="T45" s="1574" t="s">
        <v>11</v>
      </c>
      <c r="U45" s="1575">
        <f t="shared" si="13"/>
        <v>100</v>
      </c>
      <c r="V45" s="1574" t="s">
        <v>11</v>
      </c>
      <c r="W45" s="1575">
        <f t="shared" si="14"/>
        <v>100</v>
      </c>
      <c r="X45" s="1568"/>
      <c r="Y45" s="342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9"/>
      <c r="Q46" s="1573">
        <f t="shared" si="11"/>
        <v>111</v>
      </c>
      <c r="R46" s="1574" t="s">
        <v>10</v>
      </c>
      <c r="S46" s="1575">
        <f t="shared" si="12"/>
        <v>100</v>
      </c>
      <c r="T46" s="1574" t="s">
        <v>10</v>
      </c>
      <c r="U46" s="1575">
        <f t="shared" si="13"/>
        <v>100</v>
      </c>
      <c r="V46" s="1574" t="s">
        <v>10</v>
      </c>
      <c r="W46" s="1575">
        <f t="shared" si="14"/>
        <v>100</v>
      </c>
      <c r="X46" s="1568"/>
      <c r="Y46" s="3499"/>
      <c r="Z46" s="1576">
        <f t="shared" si="15"/>
        <v>111</v>
      </c>
      <c r="AA46" s="1577">
        <f t="shared" si="3"/>
        <v>1</v>
      </c>
      <c r="AB46" s="1577">
        <f t="shared" si="4"/>
        <v>1</v>
      </c>
      <c r="AC46" s="1577">
        <f t="shared" si="5"/>
        <v>1</v>
      </c>
    </row>
    <row r="47" spans="1:29" ht="15">
      <c r="A47" s="607" t="s">
        <v>736</v>
      </c>
      <c r="B47" s="887"/>
      <c r="C47" s="2653" t="s">
        <v>9</v>
      </c>
      <c r="D47" s="2654"/>
      <c r="E47" s="2655">
        <v>136292</v>
      </c>
      <c r="F47" s="2656"/>
      <c r="G47" s="2657">
        <v>130000</v>
      </c>
      <c r="H47" s="2658"/>
      <c r="I47" s="2655">
        <v>151855</v>
      </c>
      <c r="J47" s="2658"/>
      <c r="K47" s="1607"/>
      <c r="L47" s="2146"/>
      <c r="M47" s="2147"/>
      <c r="N47" s="2136"/>
      <c r="O47" s="2147"/>
      <c r="P47" s="3419" t="str">
        <f>A47</f>
        <v>成交单价（元/平方米）</v>
      </c>
      <c r="Q47" s="3419"/>
      <c r="R47" s="3498">
        <f>E47</f>
        <v>136292</v>
      </c>
      <c r="S47" s="3498"/>
      <c r="T47" s="3498">
        <f>G47</f>
        <v>130000</v>
      </c>
      <c r="U47" s="3498"/>
      <c r="V47" s="3498">
        <f>I47</f>
        <v>151855</v>
      </c>
      <c r="W47" s="3498"/>
      <c r="X47" s="1560"/>
      <c r="Y47" s="1582"/>
      <c r="Z47" s="1560"/>
      <c r="AA47" s="1560"/>
      <c r="AB47" s="1560"/>
      <c r="AC47" s="1560"/>
    </row>
    <row r="48" spans="1:29" ht="15.75" thickBot="1">
      <c r="A48" s="615" t="s">
        <v>2760</v>
      </c>
      <c r="B48" s="888"/>
      <c r="C48" s="2659">
        <f>R49</f>
        <v>140835</v>
      </c>
      <c r="D48" s="2660"/>
      <c r="E48" s="2661">
        <f>R48</f>
        <v>134943</v>
      </c>
      <c r="F48" s="2661"/>
      <c r="G48" s="2659">
        <f>T48</f>
        <v>138312</v>
      </c>
      <c r="H48" s="2660"/>
      <c r="I48" s="2661">
        <f>V48</f>
        <v>149251</v>
      </c>
      <c r="J48" s="2660"/>
      <c r="K48" s="1608"/>
      <c r="L48" s="2146"/>
      <c r="M48" s="2147"/>
      <c r="N48" s="2147"/>
      <c r="O48" s="2147"/>
      <c r="P48" s="3419" t="str">
        <f>A48</f>
        <v>比较价格（元/平方米）</v>
      </c>
      <c r="Q48" s="3419"/>
      <c r="R48" s="3498">
        <f>IF(F1="售价",ROUND(PRODUCT(R47,AA7:AA46),0),ROUND(PRODUCT(R47,AA7:AA46),1))</f>
        <v>134943</v>
      </c>
      <c r="S48" s="3498"/>
      <c r="T48" s="3498">
        <f>IF(F1="售价",ROUND(PRODUCT(T47,AB7:AB46),0),ROUND(PRODUCT(T47,AB7:AB46),1))</f>
        <v>138312</v>
      </c>
      <c r="U48" s="3498"/>
      <c r="V48" s="3498">
        <f>IF(F1="售价",ROUND(PRODUCT(V47,AC7:AC46),0),ROUND(PRODUCT(V47,AC7:AC46),1))</f>
        <v>149251</v>
      </c>
      <c r="W48" s="3498"/>
      <c r="X48" s="1560"/>
      <c r="Y48" s="1560"/>
      <c r="Z48" s="1560"/>
      <c r="AA48" s="1560"/>
      <c r="AB48" s="1560"/>
      <c r="AC48" s="1560"/>
    </row>
    <row r="49" spans="1:29" ht="15.75" thickBot="1">
      <c r="A49" s="621" t="s">
        <v>2933</v>
      </c>
      <c r="B49" s="622"/>
      <c r="C49" s="2662">
        <f>R49</f>
        <v>140835</v>
      </c>
      <c r="D49" s="2662"/>
      <c r="E49" s="2662"/>
      <c r="F49" s="2662"/>
      <c r="G49" s="2662"/>
      <c r="H49" s="2662"/>
      <c r="I49" s="2662"/>
      <c r="J49" s="2662"/>
      <c r="K49" s="1609"/>
      <c r="L49" s="2146"/>
      <c r="M49" s="2147"/>
      <c r="N49" s="2147"/>
      <c r="O49" s="2147"/>
      <c r="P49" s="3440" t="str">
        <f>A49</f>
        <v>估价对象XX用房的比较价格（楼面单价，元/平方米）</v>
      </c>
      <c r="Q49" s="3441"/>
      <c r="R49" s="3497">
        <f>IF(F1="售价",ROUND(AVERAGE(R48:V48),0),ROUND(AVERAGE(R48:V48),1))</f>
        <v>140835</v>
      </c>
      <c r="S49" s="3497"/>
      <c r="T49" s="3497"/>
      <c r="U49" s="3497"/>
      <c r="V49" s="3497"/>
      <c r="W49" s="349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9.9968134693908528E-3</v>
      </c>
      <c r="F52" s="627" t="str">
        <f>IF(OR(E52&gt;=0.3,E52&lt;=-0.3),"超过30%","")</f>
        <v/>
      </c>
      <c r="G52" s="626">
        <f>IF(G47&lt;G48,G48/G47-1,G47/G48-1)</f>
        <v>6.39384615384615E-2</v>
      </c>
      <c r="H52" s="627" t="str">
        <f>IF(OR(G52&gt;=0.3,G52&lt;=-0.3),"超过30%","")</f>
        <v/>
      </c>
      <c r="I52" s="626">
        <f>IF(I47&lt;I48,I48/I47-1,I47/I48-1)</f>
        <v>1.744711928228293E-2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2.4966096796425141E-2</v>
      </c>
      <c r="F53" s="627" t="str">
        <f>IF(OR(E53&gt;=0.2,E53&lt;=-0.2),"超过20%","")</f>
        <v/>
      </c>
      <c r="G53" s="626">
        <f>IF(G48&lt;I48,I48/G48-1,G48/I48-1)</f>
        <v>7.9089305338654547E-2</v>
      </c>
      <c r="H53" s="627" t="str">
        <f>IF(OR(G53&gt;=0.2,G53&lt;=-0.2),"超过20%","")</f>
        <v/>
      </c>
      <c r="I53" s="626">
        <f>IF(I48&lt;E48,E48/I48-1,I48/E48-1)</f>
        <v>0.10602995338772669</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4.8399999999999999E-2</v>
      </c>
      <c r="F54" s="627" t="str">
        <f>IF(OR(E54&gt;=0.3,E54&lt;=-0.3),"超过30%","")</f>
        <v/>
      </c>
      <c r="G54" s="626">
        <f>IF(G47&lt;I47,I47/G47-1,G47/I47-1)</f>
        <v>0.16811538461538467</v>
      </c>
      <c r="H54" s="627" t="str">
        <f>IF(OR(G54&gt;=0.3,G54&lt;=-0.3),"超过30%","")</f>
        <v/>
      </c>
      <c r="I54" s="626">
        <f>IF(I47&lt;E47,E47/I47-1,I47/E47-1)</f>
        <v>0.11418865377278187</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v>6</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207" t="s">
        <v>3066</v>
      </c>
      <c r="D90" s="3207" t="s">
        <v>3067</v>
      </c>
      <c r="E90" s="3207" t="s">
        <v>3068</v>
      </c>
      <c r="F90" s="3207" t="s">
        <v>3069</v>
      </c>
      <c r="G90" s="3207" t="s">
        <v>3070</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v>97</v>
      </c>
      <c r="G91" s="692">
        <v>96</v>
      </c>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208" t="s">
        <v>3110</v>
      </c>
      <c r="D100" s="3208" t="s">
        <v>3113</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400000</v>
      </c>
      <c r="G103" s="730">
        <v>600000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207" t="s">
        <v>3071</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209" t="s">
        <v>3072</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207" t="s">
        <v>3073</v>
      </c>
      <c r="D109" s="3207" t="s">
        <v>3074</v>
      </c>
      <c r="E109" s="3207" t="s">
        <v>3075</v>
      </c>
      <c r="F109" s="3209" t="s">
        <v>3076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207" t="s">
        <v>3077</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3207" t="s">
        <v>3078</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207" t="s">
        <v>3073</v>
      </c>
      <c r="D122" s="3207" t="s">
        <v>3074</v>
      </c>
      <c r="E122" s="3207" t="s">
        <v>3075</v>
      </c>
      <c r="F122" s="3209" t="s">
        <v>3076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临江</v>
      </c>
      <c r="C126" s="3207" t="s">
        <v>3108</v>
      </c>
      <c r="D126" s="3207" t="s">
        <v>3107</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H51" sqref="H50:H5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3044</v>
      </c>
      <c r="D1" s="3155" t="s">
        <v>3102</v>
      </c>
      <c r="E1" s="2413" t="s">
        <v>2374</v>
      </c>
      <c r="F1" s="2414">
        <f ca="1">J53</f>
        <v>68.510000000000005</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14566</v>
      </c>
      <c r="C2" s="2059"/>
      <c r="D2" s="2057"/>
      <c r="E2" s="2058"/>
      <c r="F2" s="2058"/>
      <c r="G2" s="1591"/>
      <c r="H2" s="2059"/>
      <c r="I2" s="2059"/>
      <c r="J2" s="2059"/>
      <c r="K2" s="2060"/>
      <c r="L2" s="2059"/>
      <c r="M2" s="2059"/>
    </row>
    <row r="3" spans="1:33" ht="18" customHeight="1" thickBot="1">
      <c r="A3" s="833" t="s">
        <v>519</v>
      </c>
      <c r="B3" s="834">
        <f ca="1">IF(ISERROR(B2*10000/F43),0,ROUND(B2*10000/F43,0))</f>
        <v>99995</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303</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303</v>
      </c>
      <c r="D6" s="2523" t="s">
        <v>2462</v>
      </c>
      <c r="E6" s="784" t="s">
        <v>1736</v>
      </c>
      <c r="F6" s="785">
        <f ca="1">INDIRECT("'数据-取费表'!u"&amp;$G$1)</f>
        <v>6</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1456.67</v>
      </c>
      <c r="G7" s="1593"/>
      <c r="H7" s="2515"/>
      <c r="I7" s="3480"/>
      <c r="J7" s="788"/>
      <c r="K7" s="789"/>
      <c r="L7" s="784" t="s">
        <v>1737</v>
      </c>
      <c r="M7" s="785">
        <f ca="1">F7</f>
        <v>1456.67</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953</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672</v>
      </c>
      <c r="D14" s="3181" t="s">
        <v>1743</v>
      </c>
      <c r="E14" s="3182"/>
      <c r="F14" s="805"/>
      <c r="G14" s="1593"/>
      <c r="H14" s="1650" t="s">
        <v>1822</v>
      </c>
      <c r="I14" s="2233" t="s">
        <v>2826</v>
      </c>
      <c r="J14" s="53">
        <f ca="1">C29</f>
        <v>953</v>
      </c>
      <c r="K14" s="26"/>
      <c r="L14" s="801"/>
      <c r="M14" s="802"/>
    </row>
    <row r="15" spans="1:33" s="2066" customFormat="1" ht="18" customHeight="1" thickBot="1">
      <c r="A15" s="1649" t="s">
        <v>1830</v>
      </c>
      <c r="B15" s="784" t="s">
        <v>647</v>
      </c>
      <c r="C15" s="53">
        <f ca="1">ROUND(C14*F15,0)</f>
        <v>20</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20</v>
      </c>
      <c r="D16" s="784" t="s">
        <v>1744</v>
      </c>
      <c r="E16" s="784" t="s">
        <v>1745</v>
      </c>
      <c r="F16" s="809">
        <f ca="1">IF(INDIRECT("'数据-取费表'!c"&amp;$G$1)="住宅",'数据-取费表'!B34,0)</f>
        <v>0.03</v>
      </c>
      <c r="G16" s="1593"/>
      <c r="H16" s="1831" t="s">
        <v>1746</v>
      </c>
      <c r="I16" s="1829" t="s">
        <v>1747</v>
      </c>
      <c r="J16" s="792">
        <f ca="1">ROUND(J17+J22+J23+J24,0)</f>
        <v>23</v>
      </c>
      <c r="K16" s="1823" t="s">
        <v>1748</v>
      </c>
      <c r="L16" s="3183"/>
      <c r="M16" s="2517"/>
    </row>
    <row r="17" spans="1:33" s="2066" customFormat="1" ht="18" customHeight="1">
      <c r="A17" s="1649" t="s">
        <v>1885</v>
      </c>
      <c r="B17" s="784" t="s">
        <v>653</v>
      </c>
      <c r="C17" s="53">
        <f ca="1">ROUND(F17*(F43+INDIRECT("'数据-取费表'!S"&amp;$G$1))/10000,0)</f>
        <v>30</v>
      </c>
      <c r="D17" s="784" t="s">
        <v>1749</v>
      </c>
      <c r="E17" s="784" t="s">
        <v>1750</v>
      </c>
      <c r="F17" s="56">
        <f>'数据-取费表'!B35</f>
        <v>200</v>
      </c>
      <c r="G17" s="1594"/>
      <c r="H17" s="1650" t="s">
        <v>1822</v>
      </c>
      <c r="I17" s="784" t="s">
        <v>656</v>
      </c>
      <c r="J17" s="53">
        <f ca="1">ROUND(IF(项目基本情况!B11="自然人",J5*M17,J18+J19+J20),0)</f>
        <v>9</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10</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752</v>
      </c>
      <c r="D19" s="261" t="s">
        <v>1755</v>
      </c>
      <c r="E19" s="3185"/>
      <c r="F19" s="56"/>
      <c r="G19" s="1593"/>
      <c r="H19" s="1649" t="s">
        <v>1830</v>
      </c>
      <c r="I19" s="784" t="s">
        <v>1756</v>
      </c>
      <c r="J19" s="53">
        <f ca="1">IF(K19="按租金收入计税",ROUND(J5*M19,1),ROUND(C29*F33*0.7,1))</f>
        <v>8</v>
      </c>
      <c r="K19" s="811" t="s">
        <v>665</v>
      </c>
      <c r="L19" s="784" t="s">
        <v>1745</v>
      </c>
      <c r="M19" s="809">
        <f>IF(K19="按租金收入计税",'数据-取费表'!B51,'数据-取费表'!B50)</f>
        <v>1.2E-2</v>
      </c>
    </row>
    <row r="20" spans="1:33" s="2066" customFormat="1" ht="18" customHeight="1">
      <c r="A20" s="1650" t="s">
        <v>1887</v>
      </c>
      <c r="B20" s="784" t="s">
        <v>666</v>
      </c>
      <c r="C20" s="53">
        <f ca="1">ROUND(C19*F20,0)</f>
        <v>15</v>
      </c>
      <c r="D20" s="812" t="s">
        <v>1757</v>
      </c>
      <c r="E20" s="784" t="s">
        <v>1745</v>
      </c>
      <c r="F20" s="809">
        <f>'数据-取费表'!B37</f>
        <v>0.02</v>
      </c>
      <c r="G20" s="1594"/>
      <c r="H20" s="1652" t="s">
        <v>1831</v>
      </c>
      <c r="I20" s="341" t="s">
        <v>1758</v>
      </c>
      <c r="J20" s="54">
        <f ca="1">ROUND(M20*M21/10000,0)</f>
        <v>1</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336.21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14</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36</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-23</v>
      </c>
      <c r="K25" s="2574" t="s">
        <v>1775</v>
      </c>
      <c r="L25" s="2575"/>
      <c r="M25" s="2576"/>
    </row>
    <row r="26" spans="1:33" ht="18" customHeight="1">
      <c r="A26" s="1649" t="s">
        <v>1829</v>
      </c>
      <c r="B26" s="784" t="s">
        <v>2438</v>
      </c>
      <c r="C26" s="53">
        <f ca="1">ROUND((C19+C20)*F26,0)</f>
        <v>77</v>
      </c>
      <c r="D26" s="812" t="s">
        <v>1776</v>
      </c>
      <c r="E26" s="795" t="s">
        <v>1777</v>
      </c>
      <c r="F26" s="794">
        <f ca="1">INDIRECT("'数据-取费表'!q"&amp;$G$1)</f>
        <v>0.1</v>
      </c>
      <c r="G26" s="1593"/>
      <c r="H26" s="2528" t="s">
        <v>1778</v>
      </c>
      <c r="I26" s="2234" t="s">
        <v>2827</v>
      </c>
      <c r="J26" s="783">
        <f ca="1">IF(J5&lt;&gt;0,ROUND(J25*(1-((1+M28)/(1+M26))^M27)/(M26-M28),0),0)</f>
        <v>0</v>
      </c>
      <c r="K26" s="814" t="s">
        <v>1779</v>
      </c>
      <c r="L26" s="784" t="s">
        <v>2419</v>
      </c>
      <c r="M26" s="794">
        <f ca="1">INDIRECT("'数据-取费表'!I"&amp;$G$1)</f>
        <v>0.04</v>
      </c>
    </row>
    <row r="27" spans="1:33" ht="18" customHeight="1">
      <c r="A27" s="1649" t="s">
        <v>1830</v>
      </c>
      <c r="B27" s="784" t="s">
        <v>686</v>
      </c>
      <c r="C27" s="53">
        <f ca="1">ROUND(F21*F26,4)</f>
        <v>2E-3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953</v>
      </c>
      <c r="D29" s="2571"/>
      <c r="E29" s="2572"/>
      <c r="F29" s="2573"/>
      <c r="G29" s="1594"/>
      <c r="H29" s="823" t="s">
        <v>1785</v>
      </c>
      <c r="I29" s="824" t="s">
        <v>1786</v>
      </c>
      <c r="J29" s="825">
        <f ca="1">ROUND(J26/(1+F40)^F41,0)</f>
        <v>0</v>
      </c>
      <c r="K29" s="826" t="s">
        <v>1787</v>
      </c>
      <c r="L29" s="827"/>
      <c r="M29" s="828">
        <f ca="1">INDIRECT("'数据-取费表'!k"&amp;$G$1)</f>
        <v>1456.67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44</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25.2</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16.2</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8</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1</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336.21</v>
      </c>
      <c r="G35" s="2064"/>
      <c r="H35" s="2067"/>
      <c r="I35" s="837" t="s">
        <v>1812</v>
      </c>
      <c r="J35" s="838">
        <f ca="1">ROUND(C13*J36,0)</f>
        <v>76</v>
      </c>
      <c r="K35" s="2080"/>
      <c r="L35" s="2079"/>
      <c r="M35" s="2079"/>
    </row>
    <row r="36" spans="1:18" ht="18" customHeight="1">
      <c r="A36" s="1650" t="s">
        <v>1887</v>
      </c>
      <c r="B36" s="784" t="s">
        <v>1766</v>
      </c>
      <c r="C36" s="53">
        <f ca="1">ROUND(C29*F36,1)</f>
        <v>14.3</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1.4</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3</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259</v>
      </c>
      <c r="D39" s="2574" t="s">
        <v>1775</v>
      </c>
      <c r="E39" s="2575"/>
      <c r="F39" s="2576"/>
      <c r="G39" s="2064"/>
      <c r="H39" s="2079"/>
      <c r="I39" s="837" t="s">
        <v>1816</v>
      </c>
      <c r="J39" s="845">
        <f ca="1">ROUND(J35/C39,3)</f>
        <v>0.29299999999999998</v>
      </c>
      <c r="K39" s="2085"/>
      <c r="L39" s="2079"/>
      <c r="M39" s="2079"/>
    </row>
    <row r="40" spans="1:18" ht="18" customHeight="1">
      <c r="A40" s="781" t="s">
        <v>1893</v>
      </c>
      <c r="B40" s="2234" t="s">
        <v>2300</v>
      </c>
      <c r="C40" s="783">
        <f ca="1">ROUND(C39*(1-((1+F42)/(1+F40))^F41)/(F40-F42),0)</f>
        <v>14566</v>
      </c>
      <c r="D40" s="814" t="s">
        <v>1779</v>
      </c>
      <c r="E40" s="784" t="s">
        <v>2419</v>
      </c>
      <c r="F40" s="794">
        <f ca="1">INDIRECT("'数据-取费表'!I"&amp;$G$1)</f>
        <v>0.04</v>
      </c>
      <c r="G40" s="2064"/>
      <c r="H40" s="2064"/>
      <c r="I40" s="837" t="s">
        <v>1817</v>
      </c>
      <c r="J40" s="845">
        <f ca="1">1-J39</f>
        <v>0.70700000000000007</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68.510000000000005</v>
      </c>
      <c r="G41" s="2064"/>
      <c r="H41" s="1990"/>
      <c r="I41" s="843" t="s">
        <v>1818</v>
      </c>
      <c r="J41" s="846"/>
      <c r="K41" s="2084"/>
      <c r="L41" s="1990"/>
      <c r="M41" s="1990"/>
    </row>
    <row r="42" spans="1:18" ht="18" customHeight="1">
      <c r="A42" s="790"/>
      <c r="B42" s="791"/>
      <c r="C42" s="792"/>
      <c r="D42" s="816"/>
      <c r="E42" s="784" t="s">
        <v>1784</v>
      </c>
      <c r="F42" s="794">
        <f ca="1">INDIRECT("'数据-取费表'!v"&amp;$G$1)</f>
        <v>3.5000000000000003E-2</v>
      </c>
      <c r="G42" s="2064"/>
      <c r="H42" s="1990"/>
      <c r="I42" s="847" t="s">
        <v>1819</v>
      </c>
      <c r="J42" s="845">
        <f ca="1">ROUND(C13/C40,3)</f>
        <v>6.5000000000000002E-2</v>
      </c>
      <c r="K42" s="2084"/>
      <c r="L42" s="1990"/>
      <c r="M42" s="1990"/>
    </row>
    <row r="43" spans="1:18" ht="18" customHeight="1" thickBot="1">
      <c r="A43" s="823" t="s">
        <v>1785</v>
      </c>
      <c r="B43" s="824" t="s">
        <v>1808</v>
      </c>
      <c r="C43" s="825">
        <f ca="1">ROUND(C40*10000/F43,0)</f>
        <v>99995</v>
      </c>
      <c r="D43" s="826" t="s">
        <v>1809</v>
      </c>
      <c r="E43" s="827" t="s">
        <v>1810</v>
      </c>
      <c r="F43" s="828">
        <f ca="1">INDIRECT("'数据-取费表'!k"&amp;$G$1)</f>
        <v>1456.67</v>
      </c>
      <c r="G43" s="2064"/>
      <c r="H43" s="1990"/>
      <c r="I43" s="847" t="s">
        <v>1820</v>
      </c>
      <c r="J43" s="848">
        <f ca="1">1-J42</f>
        <v>0.93500000000000005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-15148</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70</v>
      </c>
      <c r="M47" s="1605" t="str">
        <f>IF(ISNUMBER(FIND("住宅",C1)),"住宅","非住宅")</f>
        <v>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68.510000000000005</v>
      </c>
      <c r="O48" s="2424" t="s">
        <v>2379</v>
      </c>
      <c r="P48" s="2425" t="s">
        <v>2405</v>
      </c>
      <c r="Q48" s="2426">
        <f ca="1">C40+J29</f>
        <v>14566</v>
      </c>
      <c r="R48" s="2425" t="s">
        <v>2380</v>
      </c>
    </row>
    <row r="49" spans="1:18" s="2061" customFormat="1" ht="18" customHeight="1" thickBot="1">
      <c r="A49" s="786"/>
      <c r="B49" s="787"/>
      <c r="C49" s="788"/>
      <c r="D49" s="789"/>
      <c r="E49" s="784" t="s">
        <v>1737</v>
      </c>
      <c r="F49" s="785">
        <f ca="1">F7</f>
        <v>1456.67</v>
      </c>
      <c r="G49" s="2092"/>
      <c r="H49" s="2095"/>
      <c r="I49" s="2385" t="s">
        <v>2345</v>
      </c>
      <c r="J49" s="2395"/>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953</v>
      </c>
      <c r="R50" s="2425" t="s">
        <v>2380</v>
      </c>
    </row>
    <row r="51" spans="1:18" s="2061" customFormat="1" ht="18" customHeight="1" thickBot="1">
      <c r="A51" s="786"/>
      <c r="B51" s="787"/>
      <c r="C51" s="788"/>
      <c r="D51" s="789"/>
      <c r="E51" s="784" t="s">
        <v>640</v>
      </c>
      <c r="F51" s="2373"/>
      <c r="H51" s="2095"/>
      <c r="I51" s="2386" t="s">
        <v>2347</v>
      </c>
      <c r="J51" s="2399">
        <f>IF(J49="",J50,J49+J50-YEAR('数据-取费表'!B2))</f>
        <v>60</v>
      </c>
      <c r="K51" s="2385" t="s">
        <v>2354</v>
      </c>
      <c r="L51" s="2400">
        <f ca="1">ROUND(-PV(INDIRECT("'数据-取费表'!h"&amp;$G$1),L48,(C39-C13*J36),0),0)</f>
        <v>4727</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3533">
        <f ca="1">L48</f>
        <v>68.510000000000005</v>
      </c>
      <c r="K53" s="3500" t="s">
        <v>2966</v>
      </c>
      <c r="L53" s="3501"/>
      <c r="O53" s="2427" t="s">
        <v>2388</v>
      </c>
      <c r="P53" s="2425" t="s">
        <v>2389</v>
      </c>
      <c r="Q53" s="2426">
        <f ca="1">J53</f>
        <v>68.510000000000005</v>
      </c>
      <c r="R53" s="2425" t="s">
        <v>2390</v>
      </c>
    </row>
    <row r="54" spans="1:18" s="2061" customFormat="1" ht="18" customHeight="1" thickBot="1">
      <c r="A54" s="2563" t="s">
        <v>2467</v>
      </c>
      <c r="B54" s="2564" t="s">
        <v>2460</v>
      </c>
      <c r="C54" s="2565"/>
      <c r="D54" s="2527"/>
      <c r="E54" s="2524"/>
      <c r="F54" s="800"/>
      <c r="I54" s="206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8"/>
      <c r="O54" s="2424" t="s">
        <v>2391</v>
      </c>
      <c r="P54" s="2425" t="s">
        <v>2408</v>
      </c>
      <c r="Q54" s="2426">
        <f ca="1">Q48+Q49</f>
        <v>14566</v>
      </c>
      <c r="R54" s="2429" t="s">
        <v>2392</v>
      </c>
    </row>
    <row r="55" spans="1:18" s="2061" customFormat="1" ht="18" customHeight="1" thickTop="1" thickBot="1">
      <c r="A55" s="797">
        <v>2</v>
      </c>
      <c r="B55" s="798" t="s">
        <v>644</v>
      </c>
      <c r="C55" s="799">
        <f ca="1">C13</f>
        <v>953</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953</v>
      </c>
      <c r="D56" s="3180"/>
      <c r="E56" s="784"/>
      <c r="F56" s="809"/>
      <c r="I56" s="2405" t="s">
        <v>2357</v>
      </c>
      <c r="J56" s="3149" t="s">
        <v>1679</v>
      </c>
      <c r="K56" s="2385" t="s">
        <v>2362</v>
      </c>
      <c r="L56" s="2394">
        <f ca="1">IF(L48&lt;J51,"——",L48-J51)</f>
        <v>8.5100000000000051</v>
      </c>
      <c r="O56" s="2421" t="s">
        <v>2375</v>
      </c>
      <c r="P56" s="2422" t="s">
        <v>2376</v>
      </c>
      <c r="Q56" s="2423" t="s">
        <v>2377</v>
      </c>
      <c r="R56" s="2422" t="s">
        <v>2378</v>
      </c>
    </row>
    <row r="57" spans="1:18" s="2061" customFormat="1" ht="28.5" customHeight="1" thickBot="1">
      <c r="A57" s="797" t="s">
        <v>1746</v>
      </c>
      <c r="B57" s="798" t="s">
        <v>651</v>
      </c>
      <c r="C57" s="799">
        <f ca="1">ROUND(C58+C63+C64+C65,0)</f>
        <v>25</v>
      </c>
      <c r="D57" s="26" t="s">
        <v>1748</v>
      </c>
      <c r="E57" s="3185"/>
      <c r="F57" s="56"/>
      <c r="I57" s="2406" t="s">
        <v>2358</v>
      </c>
      <c r="J57" s="2408" t="str">
        <f ca="1">IF(OR(M47="住宅",J51&lt;L48,J56="是"),"——",J51-L48)</f>
        <v>——</v>
      </c>
      <c r="K57" s="2385" t="s">
        <v>2363</v>
      </c>
      <c r="L57" s="2394">
        <f ca="1">IF(L48&lt;J51,"——",IF(L55="比较法",L49,IF(L55="基准地价",L50,L51)))</f>
        <v>4727</v>
      </c>
      <c r="O57" s="2424" t="s">
        <v>2379</v>
      </c>
      <c r="P57" s="2425" t="s">
        <v>2409</v>
      </c>
      <c r="Q57" s="2426">
        <f ca="1">C40+J29</f>
        <v>14566</v>
      </c>
      <c r="R57" s="2425" t="s">
        <v>2380</v>
      </c>
    </row>
    <row r="58" spans="1:18" s="2061" customFormat="1" ht="28.5" customHeight="1" thickBot="1">
      <c r="A58" s="1650" t="s">
        <v>1822</v>
      </c>
      <c r="B58" s="784" t="s">
        <v>656</v>
      </c>
      <c r="C58" s="53">
        <f ca="1">ROUND(IF(项目基本情况!B11="自然人",C47*F58,C59+C60+C61),1)</f>
        <v>9</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8</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336.21</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14.3</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14566</v>
      </c>
      <c r="R63" s="2429" t="s">
        <v>2392</v>
      </c>
    </row>
    <row r="64" spans="1:18" s="2061" customFormat="1" ht="16.5" thickBot="1">
      <c r="A64" s="1650" t="s">
        <v>1888</v>
      </c>
      <c r="B64" s="784" t="s">
        <v>679</v>
      </c>
      <c r="C64" s="53">
        <f ca="1">ROUND(C55*F64,1)</f>
        <v>1.4</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-25</v>
      </c>
      <c r="D66" s="3181" t="s">
        <v>700</v>
      </c>
      <c r="E66" s="3184"/>
      <c r="F66" s="820"/>
      <c r="K66" s="2088"/>
      <c r="O66" s="2424" t="s">
        <v>2379</v>
      </c>
      <c r="P66" s="2425" t="s">
        <v>2409</v>
      </c>
      <c r="Q66" s="2426">
        <f ca="1">C40+J29</f>
        <v>14566</v>
      </c>
      <c r="R66" s="2425" t="s">
        <v>2380</v>
      </c>
    </row>
    <row r="67" spans="1:18" s="2061" customFormat="1" ht="20.25" thickBot="1">
      <c r="A67" s="781" t="s">
        <v>1778</v>
      </c>
      <c r="B67" s="2234" t="s">
        <v>2300</v>
      </c>
      <c r="C67" s="783">
        <f ca="1">ROUND(C66*(1-((1+F69)/(1+F67))^F68)/(F67-F69),0)</f>
        <v>-582</v>
      </c>
      <c r="D67" s="814" t="s">
        <v>704</v>
      </c>
      <c r="E67" s="784" t="s">
        <v>705</v>
      </c>
      <c r="F67" s="794">
        <f ca="1">F40</f>
        <v>0.04</v>
      </c>
      <c r="K67" s="2088"/>
      <c r="O67" s="2424" t="s">
        <v>2381</v>
      </c>
      <c r="P67" s="2425" t="s">
        <v>2412</v>
      </c>
      <c r="Q67" s="2426">
        <f ca="1">L60</f>
        <v>0</v>
      </c>
      <c r="R67" s="2429" t="s">
        <v>2414</v>
      </c>
    </row>
    <row r="68" spans="1:18" ht="21.75" thickBot="1">
      <c r="A68" s="786"/>
      <c r="B68" s="787"/>
      <c r="C68" s="788"/>
      <c r="D68" s="821" t="s">
        <v>1806</v>
      </c>
      <c r="E68" s="784" t="s">
        <v>1782</v>
      </c>
      <c r="F68" s="822">
        <f ca="1">F41</f>
        <v>68.510000000000005</v>
      </c>
      <c r="O68" s="2427" t="s">
        <v>2383</v>
      </c>
      <c r="P68" s="2425" t="s">
        <v>2413</v>
      </c>
      <c r="Q68" s="2431">
        <f ca="1">L51</f>
        <v>4727</v>
      </c>
      <c r="R68" s="2432" t="s">
        <v>2416</v>
      </c>
    </row>
    <row r="69" spans="1:18" ht="20.25" thickBot="1">
      <c r="A69" s="790"/>
      <c r="B69" s="791"/>
      <c r="C69" s="792"/>
      <c r="D69" s="816"/>
      <c r="E69" s="784" t="s">
        <v>710</v>
      </c>
      <c r="F69" s="2373"/>
      <c r="O69" s="2427" t="s">
        <v>2384</v>
      </c>
      <c r="P69" s="2433" t="s">
        <v>2398</v>
      </c>
      <c r="Q69" s="2426">
        <f ca="1">ROUND(Q70-Q71*Q72,0)</f>
        <v>183</v>
      </c>
      <c r="R69" s="2429"/>
    </row>
    <row r="70" spans="1:18" ht="15.75" thickBot="1">
      <c r="A70" s="823" t="s">
        <v>1785</v>
      </c>
      <c r="B70" s="824" t="s">
        <v>1808</v>
      </c>
      <c r="C70" s="825">
        <f ca="1">ROUND(C67*10000/F70,0)</f>
        <v>-3995</v>
      </c>
      <c r="D70" s="826" t="s">
        <v>1809</v>
      </c>
      <c r="E70" s="827" t="s">
        <v>1810</v>
      </c>
      <c r="F70" s="828">
        <f ca="1">F43</f>
        <v>1456.67</v>
      </c>
      <c r="O70" s="2427" t="s">
        <v>2399</v>
      </c>
      <c r="P70" s="2433" t="s">
        <v>2400</v>
      </c>
      <c r="Q70" s="2426">
        <f ca="1">C39</f>
        <v>259</v>
      </c>
      <c r="R70" s="2425" t="s">
        <v>2380</v>
      </c>
    </row>
    <row r="71" spans="1:18" ht="15.75" thickBot="1">
      <c r="O71" s="2427" t="s">
        <v>2401</v>
      </c>
      <c r="P71" s="2433" t="s">
        <v>2402</v>
      </c>
      <c r="Q71" s="2426">
        <f ca="1">C13</f>
        <v>953</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14566</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0" sqref="I2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2996</v>
      </c>
      <c r="D1" s="3155" t="s">
        <v>3102</v>
      </c>
      <c r="E1" s="2413" t="s">
        <v>2374</v>
      </c>
      <c r="F1" s="2414">
        <f ca="1">J53</f>
        <v>36.49</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78911</v>
      </c>
      <c r="C2" s="2059"/>
      <c r="D2" s="2057"/>
      <c r="E2" s="2058"/>
      <c r="F2" s="2058"/>
      <c r="G2" s="1591"/>
      <c r="H2" s="2059"/>
      <c r="I2" s="2059"/>
      <c r="J2" s="2059"/>
      <c r="K2" s="2060"/>
      <c r="L2" s="2059"/>
      <c r="M2" s="2059"/>
    </row>
    <row r="3" spans="1:33" ht="18" customHeight="1" thickBot="1">
      <c r="A3" s="833" t="s">
        <v>1725</v>
      </c>
      <c r="B3" s="834">
        <f ca="1">IF(ISERROR(B2*10000/F43),0,ROUND(B2*10000/F43,0))</f>
        <v>127276</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1731</v>
      </c>
      <c r="J4" s="778" t="s">
        <v>1732</v>
      </c>
      <c r="K4" s="778" t="s">
        <v>1733</v>
      </c>
      <c r="L4" s="779" t="s">
        <v>1734</v>
      </c>
      <c r="M4" s="780"/>
    </row>
    <row r="5" spans="1:33" ht="18" customHeight="1">
      <c r="A5" s="781">
        <v>1</v>
      </c>
      <c r="B5" s="782" t="s">
        <v>2458</v>
      </c>
      <c r="C5" s="55">
        <f ca="1">C6+C10+C12</f>
        <v>3444</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3440</v>
      </c>
      <c r="D6" s="2523" t="s">
        <v>2462</v>
      </c>
      <c r="E6" s="784" t="s">
        <v>1736</v>
      </c>
      <c r="F6" s="785">
        <f ca="1">INDIRECT("'数据-取费表'!u"&amp;$G$1)</f>
        <v>16</v>
      </c>
      <c r="G6" s="1593"/>
      <c r="H6" s="2530" t="s">
        <v>2468</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6200</v>
      </c>
      <c r="G7" s="1593"/>
      <c r="H7" s="2515"/>
      <c r="I7" s="3480"/>
      <c r="J7" s="788"/>
      <c r="K7" s="789"/>
      <c r="L7" s="784" t="s">
        <v>1737</v>
      </c>
      <c r="M7" s="785">
        <f ca="1">F7</f>
        <v>6200</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2466</v>
      </c>
      <c r="B10" s="2520" t="s">
        <v>2459</v>
      </c>
      <c r="C10" s="799">
        <f ca="1">ROUND(IF(F10="押一",C6/12*F11,IF(F10="押二",C6/12*2*F11,IF(F10="押三",C6/12*3*F11,C11*F11))),0)</f>
        <v>4</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3268</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1882</v>
      </c>
      <c r="B14" s="784" t="s">
        <v>645</v>
      </c>
      <c r="C14" s="804">
        <f ca="1">INDIRECT("'数据-取费表'!m"&amp;$G$1)+INDIRECT("'数据-取费表'!t"&amp;$G$1)</f>
        <v>2238</v>
      </c>
      <c r="D14" s="1981" t="s">
        <v>1743</v>
      </c>
      <c r="E14" s="1982"/>
      <c r="F14" s="805"/>
      <c r="G14" s="1593"/>
      <c r="H14" s="1650" t="s">
        <v>1828</v>
      </c>
      <c r="I14" s="2233" t="s">
        <v>2826</v>
      </c>
      <c r="J14" s="53">
        <f ca="1">C29</f>
        <v>3268</v>
      </c>
      <c r="K14" s="26"/>
      <c r="L14" s="801"/>
      <c r="M14" s="802"/>
    </row>
    <row r="15" spans="1:33" s="2066" customFormat="1" ht="18" customHeight="1" thickBot="1">
      <c r="A15" s="1649" t="s">
        <v>1883</v>
      </c>
      <c r="B15" s="784" t="s">
        <v>647</v>
      </c>
      <c r="C15" s="53">
        <f ca="1">ROUND(C14*F15,0)</f>
        <v>67</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1884</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81</v>
      </c>
      <c r="K16" s="1823" t="s">
        <v>1748</v>
      </c>
      <c r="L16" s="2512"/>
      <c r="M16" s="2517"/>
    </row>
    <row r="17" spans="1:33" s="2066" customFormat="1" ht="18" customHeight="1">
      <c r="A17" s="1649" t="s">
        <v>1885</v>
      </c>
      <c r="B17" s="784" t="s">
        <v>653</v>
      </c>
      <c r="C17" s="53">
        <f ca="1">ROUND(F17*(F43+INDIRECT("'数据-取费表'!S"&amp;$G$1))/10000,0)</f>
        <v>129</v>
      </c>
      <c r="D17" s="784" t="s">
        <v>1749</v>
      </c>
      <c r="E17" s="784" t="s">
        <v>1750</v>
      </c>
      <c r="F17" s="56">
        <f>'数据-取费表'!B35</f>
        <v>200</v>
      </c>
      <c r="G17" s="1594"/>
      <c r="H17" s="1650" t="s">
        <v>1828</v>
      </c>
      <c r="I17" s="784" t="s">
        <v>656</v>
      </c>
      <c r="J17" s="53">
        <f ca="1">ROUND(IF(项目基本情况!B11="自然人",J5*M17,J18+J19+J20),0)</f>
        <v>32</v>
      </c>
      <c r="K17" s="2511" t="s">
        <v>1751</v>
      </c>
      <c r="L17" s="251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34</v>
      </c>
      <c r="D18" s="784" t="s">
        <v>1744</v>
      </c>
      <c r="E18" s="784" t="s">
        <v>1745</v>
      </c>
      <c r="F18" s="809">
        <f>'数据-取费表'!B36</f>
        <v>1.4999999999999999E-2</v>
      </c>
      <c r="G18" s="1594"/>
      <c r="H18" s="1649" t="s">
        <v>1882</v>
      </c>
      <c r="I18" s="784" t="s">
        <v>1753</v>
      </c>
      <c r="J18" s="53">
        <f ca="1">ROUND(J5*M18/1.05,1)</f>
        <v>0</v>
      </c>
      <c r="K18" s="251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1828</v>
      </c>
      <c r="B19" s="784" t="s">
        <v>662</v>
      </c>
      <c r="C19" s="53">
        <f ca="1">SUM(C14:C18)</f>
        <v>2468</v>
      </c>
      <c r="D19" s="261" t="s">
        <v>1755</v>
      </c>
      <c r="E19" s="1984"/>
      <c r="F19" s="56"/>
      <c r="G19" s="1593"/>
      <c r="H19" s="1649" t="s">
        <v>1883</v>
      </c>
      <c r="I19" s="784" t="s">
        <v>1756</v>
      </c>
      <c r="J19" s="53">
        <f ca="1">IF(K19="按租金收入计税",ROUND(J5*M19,1),ROUND(C29*F33*0.7,1))</f>
        <v>27.5</v>
      </c>
      <c r="K19" s="811" t="s">
        <v>665</v>
      </c>
      <c r="L19" s="784" t="s">
        <v>1745</v>
      </c>
      <c r="M19" s="809">
        <f>IF(K19="按租金收入计税",'数据-取费表'!B51,'数据-取费表'!B50)</f>
        <v>1.2E-2</v>
      </c>
    </row>
    <row r="20" spans="1:33" s="2066" customFormat="1" ht="18" customHeight="1">
      <c r="A20" s="1650" t="s">
        <v>1887</v>
      </c>
      <c r="B20" s="784" t="s">
        <v>666</v>
      </c>
      <c r="C20" s="53">
        <f ca="1">ROUND(C19*F20,0)</f>
        <v>49</v>
      </c>
      <c r="D20" s="812" t="s">
        <v>1757</v>
      </c>
      <c r="E20" s="784" t="s">
        <v>1745</v>
      </c>
      <c r="F20" s="809">
        <f>'数据-取费表'!B37</f>
        <v>0.02</v>
      </c>
      <c r="G20" s="1594"/>
      <c r="H20" s="1652" t="s">
        <v>1878</v>
      </c>
      <c r="I20" s="341" t="s">
        <v>1758</v>
      </c>
      <c r="J20" s="54">
        <f ca="1">ROUND(M20*M21/10000,0)</f>
        <v>4</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1430.99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1984"/>
      <c r="F22" s="56"/>
      <c r="G22" s="1593"/>
      <c r="H22" s="1650" t="s">
        <v>1887</v>
      </c>
      <c r="I22" s="784" t="s">
        <v>1766</v>
      </c>
      <c r="J22" s="53">
        <f ca="1">ROUND(J14*M22,0)</f>
        <v>49</v>
      </c>
      <c r="K22" s="251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120</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251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1984"/>
      <c r="F25" s="56"/>
      <c r="G25" s="1593"/>
      <c r="H25" s="1831" t="s">
        <v>1774</v>
      </c>
      <c r="I25" s="3036" t="s">
        <v>2822</v>
      </c>
      <c r="J25" s="792">
        <f ca="1">J5-J16</f>
        <v>-81</v>
      </c>
      <c r="K25" s="2574" t="s">
        <v>1775</v>
      </c>
      <c r="L25" s="2575"/>
      <c r="M25" s="2576"/>
    </row>
    <row r="26" spans="1:33" ht="18" customHeight="1">
      <c r="A26" s="1649" t="s">
        <v>1829</v>
      </c>
      <c r="B26" s="784" t="s">
        <v>2438</v>
      </c>
      <c r="C26" s="53">
        <f ca="1">ROUND((C19+C20)*F26,0)</f>
        <v>378</v>
      </c>
      <c r="D26" s="812" t="s">
        <v>1776</v>
      </c>
      <c r="E26" s="795" t="s">
        <v>1777</v>
      </c>
      <c r="F26" s="794">
        <f ca="1">INDIRECT("'数据-取费表'!q"&amp;$G$1)</f>
        <v>0.15</v>
      </c>
      <c r="G26" s="1593"/>
      <c r="H26" s="2528" t="s">
        <v>1778</v>
      </c>
      <c r="I26" s="2234" t="s">
        <v>2827</v>
      </c>
      <c r="J26" s="783">
        <f ca="1">IF(J5&lt;&gt;0,ROUND(J25*(1-((1+M28)/(1+M26))^M27)/(M26-M28),0),0)</f>
        <v>0</v>
      </c>
      <c r="K26" s="814" t="s">
        <v>1779</v>
      </c>
      <c r="L26" s="784" t="s">
        <v>2419</v>
      </c>
      <c r="M26" s="794">
        <f ca="1">INDIRECT("'数据-取费表'!I"&amp;$G$1)</f>
        <v>5.5E-2</v>
      </c>
    </row>
    <row r="27" spans="1:33" ht="18" customHeight="1">
      <c r="A27" s="1649" t="s">
        <v>1830</v>
      </c>
      <c r="B27" s="784" t="s">
        <v>686</v>
      </c>
      <c r="C27" s="53">
        <f ca="1">ROUND(F21*F26,4)</f>
        <v>3.0000000000000001E-3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1783</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3268</v>
      </c>
      <c r="D29" s="2571"/>
      <c r="E29" s="2572"/>
      <c r="F29" s="2573"/>
      <c r="G29" s="1594"/>
      <c r="H29" s="823" t="s">
        <v>1785</v>
      </c>
      <c r="I29" s="824" t="s">
        <v>1786</v>
      </c>
      <c r="J29" s="825">
        <f ca="1">ROUND(J26/(1+F40)^F41,0)</f>
        <v>0</v>
      </c>
      <c r="K29" s="826" t="s">
        <v>1787</v>
      </c>
      <c r="L29" s="827"/>
      <c r="M29" s="828">
        <f ca="1">INDIRECT("'数据-取费表'!k"&amp;$G$1)</f>
        <v>6200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1788</v>
      </c>
      <c r="C30" s="792">
        <f ca="1">ROUND(C31+C36+C37+C38,0)</f>
        <v>304</v>
      </c>
      <c r="D30" s="1823" t="s">
        <v>1789</v>
      </c>
      <c r="E30" s="2512"/>
      <c r="F30" s="2517"/>
      <c r="G30" s="2064"/>
      <c r="H30" s="2067"/>
      <c r="I30" s="2068"/>
      <c r="J30" s="2069"/>
      <c r="K30" s="2070"/>
      <c r="L30" s="2071"/>
      <c r="M30" s="2072"/>
    </row>
    <row r="31" spans="1:33" ht="18" customHeight="1">
      <c r="A31" s="1650" t="s">
        <v>1828</v>
      </c>
      <c r="B31" s="784" t="s">
        <v>656</v>
      </c>
      <c r="C31" s="53">
        <f ca="1">ROUND(IF(项目基本情况!B11="自然人",C5*F31,C32+C33+C34),1)</f>
        <v>215.5</v>
      </c>
      <c r="D31" s="1981" t="s">
        <v>1790</v>
      </c>
      <c r="E31" s="1979"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1792</v>
      </c>
      <c r="C32" s="53">
        <f ca="1">ROUND(C5*F32/1.05,1)</f>
        <v>183.7</v>
      </c>
      <c r="D32" s="1979" t="s">
        <v>1793</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27.5</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1796</v>
      </c>
      <c r="C34" s="54">
        <f ca="1">ROUND(F34*F35/10000,1)</f>
        <v>4.3</v>
      </c>
      <c r="D34" s="814" t="s">
        <v>1797</v>
      </c>
      <c r="E34" s="784" t="s">
        <v>1798</v>
      </c>
      <c r="F34" s="640">
        <f>'数据-取费表'!B52</f>
        <v>30</v>
      </c>
      <c r="G34" s="2064"/>
      <c r="H34" s="2067"/>
      <c r="I34" s="835" t="s">
        <v>1811</v>
      </c>
      <c r="J34" s="836"/>
      <c r="K34" s="2082"/>
      <c r="L34" s="2081"/>
      <c r="M34" s="2081"/>
    </row>
    <row r="35" spans="1:18" ht="18" customHeight="1">
      <c r="A35" s="815"/>
      <c r="B35" s="793"/>
      <c r="C35" s="69"/>
      <c r="D35" s="816"/>
      <c r="E35" s="784" t="s">
        <v>1799</v>
      </c>
      <c r="F35" s="785">
        <f ca="1">INDIRECT("'数据-取费表'!r"&amp;$G$1)</f>
        <v>1430.99</v>
      </c>
      <c r="G35" s="2064"/>
      <c r="H35" s="2067"/>
      <c r="I35" s="837" t="s">
        <v>1812</v>
      </c>
      <c r="J35" s="838">
        <f ca="1">ROUND(C13*J36,0)</f>
        <v>261</v>
      </c>
      <c r="K35" s="2080"/>
      <c r="L35" s="2079"/>
      <c r="M35" s="2079"/>
    </row>
    <row r="36" spans="1:18" ht="18" customHeight="1">
      <c r="A36" s="1650" t="s">
        <v>1887</v>
      </c>
      <c r="B36" s="784" t="s">
        <v>1800</v>
      </c>
      <c r="C36" s="53">
        <f ca="1">ROUND(C29*F36,1)</f>
        <v>49</v>
      </c>
      <c r="D36" s="1979"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4.9000000000000004</v>
      </c>
      <c r="D37" s="1979" t="s">
        <v>1802</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34.4</v>
      </c>
      <c r="D38" s="2571" t="s">
        <v>1803</v>
      </c>
      <c r="E38" s="2572" t="s">
        <v>1794</v>
      </c>
      <c r="F38" s="2568">
        <f ca="1">INDIRECT("'数据-取费表'!Am"&amp;$G$1)</f>
        <v>0.01</v>
      </c>
      <c r="G38" s="2064"/>
      <c r="H38" s="2079"/>
      <c r="I38" s="843" t="s">
        <v>1815</v>
      </c>
      <c r="J38" s="844"/>
      <c r="K38" s="2085"/>
      <c r="L38" s="2079"/>
      <c r="M38" s="2079"/>
    </row>
    <row r="39" spans="1:18" ht="24.6" customHeight="1" thickTop="1">
      <c r="A39" s="1831" t="s">
        <v>1892</v>
      </c>
      <c r="B39" s="3036" t="s">
        <v>2822</v>
      </c>
      <c r="C39" s="792">
        <f ca="1">C5-C30</f>
        <v>3140</v>
      </c>
      <c r="D39" s="2574" t="s">
        <v>1804</v>
      </c>
      <c r="E39" s="2575"/>
      <c r="F39" s="2576"/>
      <c r="G39" s="2064"/>
      <c r="H39" s="2079"/>
      <c r="I39" s="837" t="s">
        <v>1816</v>
      </c>
      <c r="J39" s="845">
        <f ca="1">ROUND(J35/C39,3)</f>
        <v>8.3000000000000004E-2</v>
      </c>
      <c r="K39" s="2085"/>
      <c r="L39" s="2079"/>
      <c r="M39" s="2079"/>
    </row>
    <row r="40" spans="1:18" ht="18" customHeight="1">
      <c r="A40" s="781" t="s">
        <v>1893</v>
      </c>
      <c r="B40" s="2234" t="s">
        <v>2300</v>
      </c>
      <c r="C40" s="783">
        <f ca="1">ROUND(C39*(1-((1+F42)/(1+F40))^F41)/(F40-F42),0)</f>
        <v>78911</v>
      </c>
      <c r="D40" s="814" t="s">
        <v>1805</v>
      </c>
      <c r="E40" s="784" t="s">
        <v>2419</v>
      </c>
      <c r="F40" s="794">
        <f ca="1">INDIRECT("'数据-取费表'!I"&amp;$G$1)</f>
        <v>5.5E-2</v>
      </c>
      <c r="G40" s="2064"/>
      <c r="H40" s="2064"/>
      <c r="I40" s="837" t="s">
        <v>1817</v>
      </c>
      <c r="J40" s="845">
        <f ca="1">1-J39</f>
        <v>0.91700000000000004</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36.49</v>
      </c>
      <c r="G41" s="2064"/>
      <c r="H41" s="1990"/>
      <c r="I41" s="843" t="s">
        <v>1818</v>
      </c>
      <c r="J41" s="846"/>
      <c r="K41" s="2084"/>
      <c r="L41" s="1990"/>
      <c r="M41" s="1990"/>
    </row>
    <row r="42" spans="1:18" ht="18" customHeight="1">
      <c r="A42" s="790"/>
      <c r="B42" s="791"/>
      <c r="C42" s="792"/>
      <c r="D42" s="816"/>
      <c r="E42" s="784" t="s">
        <v>1807</v>
      </c>
      <c r="F42" s="794">
        <f ca="1">INDIRECT("'数据-取费表'!v"&amp;$G$1)</f>
        <v>3.5000000000000003E-2</v>
      </c>
      <c r="G42" s="2064"/>
      <c r="H42" s="1990"/>
      <c r="I42" s="847" t="s">
        <v>1819</v>
      </c>
      <c r="J42" s="845">
        <f ca="1">ROUND(C13/C40,3)</f>
        <v>4.1000000000000002E-2</v>
      </c>
      <c r="K42" s="2084"/>
      <c r="L42" s="1990"/>
      <c r="M42" s="1990"/>
    </row>
    <row r="43" spans="1:18" ht="18" customHeight="1" thickBot="1">
      <c r="A43" s="823" t="s">
        <v>1785</v>
      </c>
      <c r="B43" s="824" t="s">
        <v>1808</v>
      </c>
      <c r="C43" s="825">
        <f ca="1">ROUND(C40*10000/F43,0)</f>
        <v>127276</v>
      </c>
      <c r="D43" s="826" t="s">
        <v>1809</v>
      </c>
      <c r="E43" s="827" t="s">
        <v>1810</v>
      </c>
      <c r="F43" s="828">
        <f ca="1">INDIRECT("'数据-取费表'!k"&amp;$G$1)</f>
        <v>6200</v>
      </c>
      <c r="G43" s="2064"/>
      <c r="H43" s="1990"/>
      <c r="I43" s="847" t="s">
        <v>1820</v>
      </c>
      <c r="J43" s="848">
        <f ca="1">1-J42</f>
        <v>0.95899999999999996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-80253</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40</v>
      </c>
      <c r="M47" s="1605" t="str">
        <f>IF(ISNUMBER(FIND("住宅",C1)),"住宅","非住宅")</f>
        <v>非住宅</v>
      </c>
      <c r="O47" s="2421" t="s">
        <v>2375</v>
      </c>
      <c r="P47" s="2422" t="s">
        <v>2376</v>
      </c>
      <c r="Q47" s="2423" t="s">
        <v>2377</v>
      </c>
      <c r="R47" s="2422" t="s">
        <v>2378</v>
      </c>
    </row>
    <row r="48" spans="1:18" s="2061" customFormat="1" ht="18" customHeight="1" thickBot="1">
      <c r="A48" s="2668" t="s">
        <v>2537</v>
      </c>
      <c r="B48" s="2669" t="s">
        <v>2538</v>
      </c>
      <c r="C48" s="2376">
        <f ca="1">ROUND(F48*F50*F49*(1-F51)/10000,0)</f>
        <v>0</v>
      </c>
      <c r="D48" s="2377" t="s">
        <v>636</v>
      </c>
      <c r="E48" s="2378" t="s">
        <v>2295</v>
      </c>
      <c r="F48" s="2379"/>
      <c r="G48" s="2092"/>
      <c r="I48" s="2385" t="s">
        <v>2344</v>
      </c>
      <c r="J48" s="2392" t="s">
        <v>2350</v>
      </c>
      <c r="K48" s="2393" t="s">
        <v>2351</v>
      </c>
      <c r="L48" s="2394">
        <f ca="1">INDIRECT("'数据-取费表'!f"&amp;$G$1)</f>
        <v>38.49</v>
      </c>
      <c r="O48" s="2424" t="s">
        <v>2379</v>
      </c>
      <c r="P48" s="2425" t="s">
        <v>2405</v>
      </c>
      <c r="Q48" s="2426">
        <f ca="1">C40+J29</f>
        <v>78911</v>
      </c>
      <c r="R48" s="2425" t="s">
        <v>2380</v>
      </c>
    </row>
    <row r="49" spans="1:18" s="2061" customFormat="1" ht="18" customHeight="1" thickBot="1">
      <c r="A49" s="786"/>
      <c r="B49" s="787"/>
      <c r="C49" s="788"/>
      <c r="D49" s="789"/>
      <c r="E49" s="784" t="s">
        <v>1737</v>
      </c>
      <c r="F49" s="785">
        <f ca="1">F7</f>
        <v>6200</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3268</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48768</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36.49</v>
      </c>
      <c r="K53" s="3500" t="s">
        <v>2966</v>
      </c>
      <c r="L53" s="3501"/>
      <c r="O53" s="2427" t="s">
        <v>2388</v>
      </c>
      <c r="P53" s="2425" t="s">
        <v>2389</v>
      </c>
      <c r="Q53" s="2426">
        <f ca="1">J53</f>
        <v>36.49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78911</v>
      </c>
      <c r="R54" s="2429" t="s">
        <v>2392</v>
      </c>
    </row>
    <row r="55" spans="1:18" s="2061" customFormat="1" ht="18" customHeight="1" thickTop="1" thickBot="1">
      <c r="A55" s="797">
        <v>2</v>
      </c>
      <c r="B55" s="798" t="s">
        <v>644</v>
      </c>
      <c r="C55" s="799">
        <f ca="1">C13</f>
        <v>3268</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3268</v>
      </c>
      <c r="D56" s="2665"/>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86</v>
      </c>
      <c r="D57" s="26" t="s">
        <v>1748</v>
      </c>
      <c r="E57" s="2666"/>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78911</v>
      </c>
      <c r="R57" s="2425" t="s">
        <v>2380</v>
      </c>
    </row>
    <row r="58" spans="1:18" s="2061" customFormat="1" ht="28.5" customHeight="1" thickBot="1">
      <c r="A58" s="1650" t="s">
        <v>1822</v>
      </c>
      <c r="B58" s="784" t="s">
        <v>656</v>
      </c>
      <c r="C58" s="53">
        <f ca="1">ROUND(IF(项目基本情况!B11="自然人",C47*F58,C59+C60+C61),1)</f>
        <v>31.8</v>
      </c>
      <c r="D58" s="2664" t="s">
        <v>657</v>
      </c>
      <c r="E58" s="2665"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2665"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27.5</v>
      </c>
      <c r="D60" s="2665"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4.3</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1430.99</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49</v>
      </c>
      <c r="D63" s="2665" t="s">
        <v>1801</v>
      </c>
      <c r="E63" s="784" t="s">
        <v>1745</v>
      </c>
      <c r="F63" s="817">
        <f t="shared" ca="1" si="0"/>
        <v>1.4999999999999999E-2</v>
      </c>
      <c r="I63" s="2411" t="s">
        <v>2370</v>
      </c>
      <c r="J63" s="2412">
        <v>70</v>
      </c>
      <c r="K63" s="2412">
        <v>50</v>
      </c>
      <c r="L63" s="2412">
        <v>80</v>
      </c>
      <c r="M63" s="3129">
        <v>0.02</v>
      </c>
      <c r="O63" s="2424" t="s">
        <v>2391</v>
      </c>
      <c r="P63" s="2425" t="s">
        <v>2408</v>
      </c>
      <c r="Q63" s="2426">
        <f ca="1">Q57+Q58</f>
        <v>78911</v>
      </c>
      <c r="R63" s="2429" t="s">
        <v>2392</v>
      </c>
    </row>
    <row r="64" spans="1:18" s="2061" customFormat="1" ht="16.5" thickBot="1">
      <c r="A64" s="1650" t="s">
        <v>1888</v>
      </c>
      <c r="B64" s="784" t="s">
        <v>679</v>
      </c>
      <c r="C64" s="53">
        <f ca="1">ROUND(C55*F64,1)</f>
        <v>4.9000000000000004</v>
      </c>
      <c r="D64" s="2665"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2665"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-86</v>
      </c>
      <c r="D66" s="2664" t="s">
        <v>700</v>
      </c>
      <c r="E66" s="2663"/>
      <c r="F66" s="820"/>
      <c r="K66" s="2088"/>
      <c r="O66" s="2424" t="s">
        <v>2379</v>
      </c>
      <c r="P66" s="2425" t="s">
        <v>2409</v>
      </c>
      <c r="Q66" s="2426">
        <f ca="1">C40+J29</f>
        <v>78911</v>
      </c>
      <c r="R66" s="2425" t="s">
        <v>2380</v>
      </c>
    </row>
    <row r="67" spans="1:18" s="2061" customFormat="1" ht="20.25" thickBot="1">
      <c r="A67" s="781" t="s">
        <v>1778</v>
      </c>
      <c r="B67" s="2234" t="s">
        <v>2300</v>
      </c>
      <c r="C67" s="783">
        <f ca="1">ROUND(C66*(1-((1+F69)/(1+F67))^F68)/(F67-F69),0)</f>
        <v>-1342</v>
      </c>
      <c r="D67" s="814" t="s">
        <v>704</v>
      </c>
      <c r="E67" s="784" t="s">
        <v>705</v>
      </c>
      <c r="F67" s="794">
        <f ca="1">F40</f>
        <v>5.5E-2</v>
      </c>
      <c r="K67" s="2088"/>
      <c r="O67" s="2424" t="s">
        <v>2381</v>
      </c>
      <c r="P67" s="2425" t="s">
        <v>2412</v>
      </c>
      <c r="Q67" s="2426">
        <f ca="1">L60</f>
        <v>0</v>
      </c>
      <c r="R67" s="2429" t="s">
        <v>2414</v>
      </c>
    </row>
    <row r="68" spans="1:18" ht="21.75" thickBot="1">
      <c r="A68" s="786"/>
      <c r="B68" s="787"/>
      <c r="C68" s="788"/>
      <c r="D68" s="821" t="s">
        <v>1806</v>
      </c>
      <c r="E68" s="784" t="s">
        <v>1782</v>
      </c>
      <c r="F68" s="822">
        <f ca="1">F41</f>
        <v>36.49</v>
      </c>
      <c r="O68" s="2427" t="s">
        <v>2383</v>
      </c>
      <c r="P68" s="2425" t="s">
        <v>2413</v>
      </c>
      <c r="Q68" s="2431">
        <f ca="1">L51</f>
        <v>48768</v>
      </c>
      <c r="R68" s="2432" t="s">
        <v>2416</v>
      </c>
    </row>
    <row r="69" spans="1:18" ht="20.25" thickBot="1">
      <c r="A69" s="790"/>
      <c r="B69" s="791"/>
      <c r="C69" s="792"/>
      <c r="D69" s="816"/>
      <c r="E69" s="784" t="s">
        <v>710</v>
      </c>
      <c r="F69" s="2373"/>
      <c r="O69" s="2427" t="s">
        <v>2384</v>
      </c>
      <c r="P69" s="2433" t="s">
        <v>2398</v>
      </c>
      <c r="Q69" s="2426">
        <f ca="1">ROUND(Q70-Q71*Q72,0)</f>
        <v>2879</v>
      </c>
      <c r="R69" s="2429"/>
    </row>
    <row r="70" spans="1:18" ht="15.75" thickBot="1">
      <c r="A70" s="823" t="s">
        <v>1785</v>
      </c>
      <c r="B70" s="824" t="s">
        <v>1808</v>
      </c>
      <c r="C70" s="825">
        <f ca="1">ROUND(C67*10000/F70,0)</f>
        <v>-2165</v>
      </c>
      <c r="D70" s="826" t="s">
        <v>1809</v>
      </c>
      <c r="E70" s="827" t="s">
        <v>1810</v>
      </c>
      <c r="F70" s="828">
        <f ca="1">F43</f>
        <v>6200</v>
      </c>
      <c r="O70" s="2427" t="s">
        <v>2399</v>
      </c>
      <c r="P70" s="2433" t="s">
        <v>2400</v>
      </c>
      <c r="Q70" s="2426">
        <f ca="1">C39</f>
        <v>3140</v>
      </c>
      <c r="R70" s="2425" t="s">
        <v>2380</v>
      </c>
    </row>
    <row r="71" spans="1:18" ht="15.75" thickBot="1">
      <c r="O71" s="2427" t="s">
        <v>2401</v>
      </c>
      <c r="P71" s="2433" t="s">
        <v>2402</v>
      </c>
      <c r="Q71" s="2426">
        <f ca="1">C13</f>
        <v>3268</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78911</v>
      </c>
      <c r="R76" s="242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4" sqref="E4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35</v>
      </c>
      <c r="D1" s="3155" t="s">
        <v>3102</v>
      </c>
      <c r="E1" s="2413" t="s">
        <v>2374</v>
      </c>
      <c r="F1" s="2414">
        <f ca="1">J53</f>
        <v>46.49</v>
      </c>
      <c r="G1" s="774">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47133</v>
      </c>
      <c r="C2" s="2059"/>
      <c r="D2" s="2057"/>
      <c r="E2" s="2058"/>
      <c r="F2" s="2058"/>
      <c r="G2" s="1591"/>
      <c r="H2" s="2059"/>
      <c r="I2" s="2059"/>
      <c r="J2" s="2059"/>
      <c r="K2" s="2060"/>
      <c r="L2" s="2059"/>
      <c r="M2" s="2059"/>
    </row>
    <row r="3" spans="1:33" ht="18" customHeight="1" thickBot="1">
      <c r="A3" s="833" t="s">
        <v>519</v>
      </c>
      <c r="B3" s="834">
        <f ca="1">IF(ISERROR(B2*10000/F43),0,ROUND(B2*10000/F43,0))</f>
        <v>24060</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1935</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1935</v>
      </c>
      <c r="D6" s="2523" t="s">
        <v>2462</v>
      </c>
      <c r="E6" s="784" t="s">
        <v>1736</v>
      </c>
      <c r="F6" s="785">
        <f ca="1">INDIRECT("'数据-取费表'!u"&amp;$G$1)</f>
        <v>2600</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653</v>
      </c>
      <c r="G7" s="1593"/>
      <c r="H7" s="2515"/>
      <c r="I7" s="3480"/>
      <c r="J7" s="788"/>
      <c r="K7" s="789"/>
      <c r="L7" s="784" t="s">
        <v>1737</v>
      </c>
      <c r="M7" s="785">
        <f ca="1">F7</f>
        <v>653</v>
      </c>
    </row>
    <row r="8" spans="1:33" ht="18" customHeight="1">
      <c r="A8" s="2519"/>
      <c r="B8" s="3481"/>
      <c r="C8" s="788"/>
      <c r="D8" s="789"/>
      <c r="E8" s="784" t="s">
        <v>1738</v>
      </c>
      <c r="F8" s="785">
        <f ca="1">INDIRECT("'数据-取费表'!ai"&amp;$G$1)</f>
        <v>12</v>
      </c>
      <c r="G8" s="1593"/>
      <c r="H8" s="2515"/>
      <c r="I8" s="3481"/>
      <c r="J8" s="788"/>
      <c r="K8" s="789"/>
      <c r="L8" s="784" t="s">
        <v>1738</v>
      </c>
      <c r="M8" s="785">
        <f ca="1">INDIRECT("'数据-取费表'!ai"&amp;$G$1)</f>
        <v>12</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3118</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8197</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6092</v>
      </c>
      <c r="D14" s="3181" t="s">
        <v>1743</v>
      </c>
      <c r="E14" s="3182"/>
      <c r="F14" s="805"/>
      <c r="G14" s="1593"/>
      <c r="H14" s="1650" t="s">
        <v>1822</v>
      </c>
      <c r="I14" s="2233" t="s">
        <v>2826</v>
      </c>
      <c r="J14" s="53">
        <f ca="1">C29</f>
        <v>8197</v>
      </c>
      <c r="K14" s="26"/>
      <c r="L14" s="801"/>
      <c r="M14" s="802"/>
    </row>
    <row r="15" spans="1:33" s="2066" customFormat="1" ht="18" customHeight="1" thickBot="1">
      <c r="A15" s="1649" t="s">
        <v>1830</v>
      </c>
      <c r="B15" s="784" t="s">
        <v>647</v>
      </c>
      <c r="C15" s="53">
        <f ca="1">ROUND(C14*F15,0)</f>
        <v>183</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206</v>
      </c>
      <c r="K16" s="1823" t="s">
        <v>1748</v>
      </c>
      <c r="L16" s="3183"/>
      <c r="M16" s="2517"/>
    </row>
    <row r="17" spans="1:33" s="2066" customFormat="1" ht="18" customHeight="1">
      <c r="A17" s="1649" t="s">
        <v>1885</v>
      </c>
      <c r="B17" s="784" t="s">
        <v>653</v>
      </c>
      <c r="C17" s="53">
        <f ca="1">ROUND(F17*(F43+INDIRECT("'数据-取费表'!S"&amp;$G$1))/10000,0)</f>
        <v>406</v>
      </c>
      <c r="D17" s="784" t="s">
        <v>1749</v>
      </c>
      <c r="E17" s="784" t="s">
        <v>1750</v>
      </c>
      <c r="F17" s="56">
        <f>'数据-取费表'!B35</f>
        <v>200</v>
      </c>
      <c r="G17" s="1594"/>
      <c r="H17" s="1650" t="s">
        <v>1822</v>
      </c>
      <c r="I17" s="784" t="s">
        <v>656</v>
      </c>
      <c r="J17" s="53">
        <f ca="1">ROUND(IF(项目基本情况!B11="自然人",J5*M17,J18+J19+J20),0)</f>
        <v>83</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91</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6772</v>
      </c>
      <c r="D19" s="261" t="s">
        <v>1755</v>
      </c>
      <c r="E19" s="3185"/>
      <c r="F19" s="56"/>
      <c r="G19" s="1593"/>
      <c r="H19" s="1649" t="s">
        <v>1830</v>
      </c>
      <c r="I19" s="784" t="s">
        <v>1756</v>
      </c>
      <c r="J19" s="53">
        <f ca="1">IF(K19="按租金收入计税",ROUND(J5*M19,1),ROUND(C29*F33*0.7,1))</f>
        <v>68.900000000000006</v>
      </c>
      <c r="K19" s="811" t="s">
        <v>665</v>
      </c>
      <c r="L19" s="784" t="s">
        <v>1745</v>
      </c>
      <c r="M19" s="809">
        <f>IF(K19="按租金收入计税",'数据-取费表'!B51,'数据-取费表'!B50)</f>
        <v>1.2E-2</v>
      </c>
    </row>
    <row r="20" spans="1:33" s="2066" customFormat="1" ht="18" customHeight="1">
      <c r="A20" s="1650" t="s">
        <v>1887</v>
      </c>
      <c r="B20" s="784" t="s">
        <v>666</v>
      </c>
      <c r="C20" s="53">
        <f ca="1">ROUND(C19*F20,0)</f>
        <v>135</v>
      </c>
      <c r="D20" s="812" t="s">
        <v>1757</v>
      </c>
      <c r="E20" s="784" t="s">
        <v>1745</v>
      </c>
      <c r="F20" s="809">
        <f>'数据-取费表'!B37</f>
        <v>0.02</v>
      </c>
      <c r="G20" s="1594"/>
      <c r="H20" s="1652" t="s">
        <v>1831</v>
      </c>
      <c r="I20" s="341" t="s">
        <v>1758</v>
      </c>
      <c r="J20" s="54">
        <f ca="1">ROUND(M20*M21/10000,0)</f>
        <v>14</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4521.4800000000005</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123</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328</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-206</v>
      </c>
      <c r="K25" s="2574" t="s">
        <v>1775</v>
      </c>
      <c r="L25" s="2575"/>
      <c r="M25" s="2576"/>
    </row>
    <row r="26" spans="1:33" ht="18" customHeight="1">
      <c r="A26" s="1649" t="s">
        <v>1829</v>
      </c>
      <c r="B26" s="784" t="s">
        <v>2438</v>
      </c>
      <c r="C26" s="53">
        <f ca="1">ROUND((C19+C20)*F26,0)</f>
        <v>345</v>
      </c>
      <c r="D26" s="812" t="s">
        <v>1776</v>
      </c>
      <c r="E26" s="795" t="s">
        <v>1777</v>
      </c>
      <c r="F26" s="794">
        <f ca="1">INDIRECT("'数据-取费表'!q"&amp;$G$1)</f>
        <v>0.05</v>
      </c>
      <c r="G26" s="1593"/>
      <c r="H26" s="2528" t="s">
        <v>1778</v>
      </c>
      <c r="I26" s="2234" t="s">
        <v>2827</v>
      </c>
      <c r="J26" s="783">
        <f ca="1">IF(J5&lt;&gt;0,ROUND(J25*(1-((1+M28)/(1+M26))^M27)/(M26-M28),0),0)</f>
        <v>0</v>
      </c>
      <c r="K26" s="814" t="s">
        <v>1779</v>
      </c>
      <c r="L26" s="784" t="s">
        <v>2419</v>
      </c>
      <c r="M26" s="794">
        <f ca="1">INDIRECT("'数据-取费表'!I"&amp;$G$1)</f>
        <v>0.05</v>
      </c>
    </row>
    <row r="27" spans="1:33" ht="18" customHeight="1">
      <c r="A27" s="1649" t="s">
        <v>1830</v>
      </c>
      <c r="B27" s="784" t="s">
        <v>686</v>
      </c>
      <c r="C27" s="53">
        <f ca="1">ROUND(F21*F26,4)</f>
        <v>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8197</v>
      </c>
      <c r="D29" s="2571"/>
      <c r="E29" s="2572"/>
      <c r="F29" s="2573"/>
      <c r="G29" s="1594"/>
      <c r="H29" s="823" t="s">
        <v>1785</v>
      </c>
      <c r="I29" s="824" t="s">
        <v>1786</v>
      </c>
      <c r="J29" s="825">
        <f ca="1">ROUND(J26/(1+F40)^F41,0)</f>
        <v>0</v>
      </c>
      <c r="K29" s="826" t="s">
        <v>1787</v>
      </c>
      <c r="L29" s="827"/>
      <c r="M29" s="828">
        <f ca="1">INDIRECT("'数据-取费表'!k"&amp;$G$1)</f>
        <v>19590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340</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185.7</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103.2</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68.900000000000006</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13.6</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4521.4800000000005</v>
      </c>
      <c r="G35" s="2064"/>
      <c r="H35" s="2067"/>
      <c r="I35" s="837" t="s">
        <v>1812</v>
      </c>
      <c r="J35" s="838">
        <f ca="1">ROUND(C13*J36,0)</f>
        <v>656</v>
      </c>
      <c r="K35" s="2080"/>
      <c r="L35" s="2079"/>
      <c r="M35" s="2079"/>
    </row>
    <row r="36" spans="1:18" ht="18" customHeight="1">
      <c r="A36" s="1650" t="s">
        <v>1887</v>
      </c>
      <c r="B36" s="784" t="s">
        <v>1766</v>
      </c>
      <c r="C36" s="53">
        <f ca="1">ROUND(C29*F36,1)</f>
        <v>123</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12.3</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19.399999999999999</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1595</v>
      </c>
      <c r="D39" s="2574" t="s">
        <v>1775</v>
      </c>
      <c r="E39" s="2575"/>
      <c r="F39" s="2576"/>
      <c r="G39" s="2064"/>
      <c r="H39" s="2079"/>
      <c r="I39" s="837" t="s">
        <v>1816</v>
      </c>
      <c r="J39" s="845">
        <f ca="1">ROUND(J35/C39,3)</f>
        <v>0.41099999999999998</v>
      </c>
      <c r="K39" s="2085"/>
      <c r="L39" s="2079"/>
      <c r="M39" s="2079"/>
    </row>
    <row r="40" spans="1:18" ht="18" customHeight="1">
      <c r="A40" s="781" t="s">
        <v>1893</v>
      </c>
      <c r="B40" s="2234" t="s">
        <v>2300</v>
      </c>
      <c r="C40" s="783">
        <f ca="1">ROUND(C39*(1-((1+F42)/(1+F40))^F41)/(F40-F42),0)</f>
        <v>47133</v>
      </c>
      <c r="D40" s="814" t="s">
        <v>1779</v>
      </c>
      <c r="E40" s="784" t="s">
        <v>2419</v>
      </c>
      <c r="F40" s="794">
        <f ca="1">INDIRECT("'数据-取费表'!I"&amp;$G$1)</f>
        <v>0.05</v>
      </c>
      <c r="G40" s="2064"/>
      <c r="H40" s="2064"/>
      <c r="I40" s="837" t="s">
        <v>1817</v>
      </c>
      <c r="J40" s="845">
        <f ca="1">1-J39</f>
        <v>0.58899999999999997</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46.49</v>
      </c>
      <c r="G41" s="2064"/>
      <c r="H41" s="1990"/>
      <c r="I41" s="843" t="s">
        <v>1818</v>
      </c>
      <c r="J41" s="846"/>
      <c r="K41" s="2084"/>
      <c r="L41" s="1990"/>
      <c r="M41" s="1990"/>
    </row>
    <row r="42" spans="1:18" ht="18" customHeight="1">
      <c r="A42" s="790"/>
      <c r="B42" s="791"/>
      <c r="C42" s="792"/>
      <c r="D42" s="816"/>
      <c r="E42" s="784" t="s">
        <v>1784</v>
      </c>
      <c r="F42" s="794">
        <f ca="1">INDIRECT("'数据-取费表'!v"&amp;$G$1)</f>
        <v>0.03</v>
      </c>
      <c r="G42" s="2064"/>
      <c r="H42" s="1990"/>
      <c r="I42" s="847" t="s">
        <v>1819</v>
      </c>
      <c r="J42" s="845">
        <f ca="1">ROUND(C13/C40,3)</f>
        <v>0.17399999999999999</v>
      </c>
      <c r="K42" s="2084"/>
      <c r="L42" s="1990"/>
      <c r="M42" s="1990"/>
    </row>
    <row r="43" spans="1:18" ht="18" customHeight="1" thickBot="1">
      <c r="A43" s="823" t="s">
        <v>1785</v>
      </c>
      <c r="B43" s="824" t="s">
        <v>1808</v>
      </c>
      <c r="C43" s="825">
        <f ca="1">ROUND(C40*10000/F43,0)</f>
        <v>24060</v>
      </c>
      <c r="D43" s="826" t="s">
        <v>1809</v>
      </c>
      <c r="E43" s="827" t="s">
        <v>1810</v>
      </c>
      <c r="F43" s="828">
        <f ca="1">INDIRECT("'数据-取费表'!k"&amp;$G$1)</f>
        <v>19590</v>
      </c>
      <c r="G43" s="2064"/>
      <c r="H43" s="1990"/>
      <c r="I43" s="847" t="s">
        <v>1820</v>
      </c>
      <c r="J43" s="848">
        <f ca="1">1-J42</f>
        <v>0.82600000000000007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-51042</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50</v>
      </c>
      <c r="M47" s="1605" t="str">
        <f>IF(ISNUMBER(FIND("住宅",C1)),"住宅","非住宅")</f>
        <v>非住宅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48.49</v>
      </c>
      <c r="O48" s="2424" t="s">
        <v>2379</v>
      </c>
      <c r="P48" s="2425" t="s">
        <v>2405</v>
      </c>
      <c r="Q48" s="2426">
        <f ca="1">C40+J29</f>
        <v>47133</v>
      </c>
      <c r="R48" s="2425" t="s">
        <v>2380</v>
      </c>
    </row>
    <row r="49" spans="1:18" s="2061" customFormat="1" ht="18" customHeight="1" thickBot="1">
      <c r="A49" s="786"/>
      <c r="B49" s="787"/>
      <c r="C49" s="788"/>
      <c r="D49" s="789"/>
      <c r="E49" s="784" t="s">
        <v>1737</v>
      </c>
      <c r="F49" s="785">
        <f ca="1">F7</f>
        <v>653</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12</v>
      </c>
      <c r="G50" s="2097"/>
      <c r="H50" s="2095"/>
      <c r="I50" s="2385" t="s">
        <v>2346</v>
      </c>
      <c r="J50" s="2398">
        <f>SUMPRODUCT((I63:I65=J47)*(J62:L62=J48)*(J63:L65))</f>
        <v>60</v>
      </c>
      <c r="K50" s="2396" t="s">
        <v>2353</v>
      </c>
      <c r="L50" s="2397"/>
      <c r="O50" s="2427" t="s">
        <v>2383</v>
      </c>
      <c r="P50" s="2425" t="s">
        <v>2407</v>
      </c>
      <c r="Q50" s="2426">
        <f ca="1">C29</f>
        <v>8197</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18402</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46.49</v>
      </c>
      <c r="K53" s="3500" t="s">
        <v>2966</v>
      </c>
      <c r="L53" s="3501"/>
      <c r="O53" s="2427" t="s">
        <v>2388</v>
      </c>
      <c r="P53" s="2425" t="s">
        <v>2389</v>
      </c>
      <c r="Q53" s="2426">
        <f ca="1">J53</f>
        <v>46.49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47133</v>
      </c>
      <c r="R54" s="2429" t="s">
        <v>2392</v>
      </c>
    </row>
    <row r="55" spans="1:18" s="2061" customFormat="1" ht="18" customHeight="1" thickTop="1" thickBot="1">
      <c r="A55" s="797">
        <v>2</v>
      </c>
      <c r="B55" s="798" t="s">
        <v>644</v>
      </c>
      <c r="C55" s="799">
        <f ca="1">C13</f>
        <v>8197</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8197</v>
      </c>
      <c r="D56" s="3180"/>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218</v>
      </c>
      <c r="D57" s="26" t="s">
        <v>1748</v>
      </c>
      <c r="E57" s="3185"/>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47133</v>
      </c>
      <c r="R57" s="2425" t="s">
        <v>2380</v>
      </c>
    </row>
    <row r="58" spans="1:18" s="2061" customFormat="1" ht="28.5" customHeight="1" thickBot="1">
      <c r="A58" s="1650" t="s">
        <v>1822</v>
      </c>
      <c r="B58" s="784" t="s">
        <v>656</v>
      </c>
      <c r="C58" s="53">
        <f ca="1">ROUND(IF(项目基本情况!B11="自然人",C47*F58,C59+C60+C61),1)</f>
        <v>82.5</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68.900000000000006</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13.6</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4521.4800000000005</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123</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47133</v>
      </c>
      <c r="R63" s="2429" t="s">
        <v>2392</v>
      </c>
    </row>
    <row r="64" spans="1:18" s="2061" customFormat="1" ht="16.5" thickBot="1">
      <c r="A64" s="1650" t="s">
        <v>1888</v>
      </c>
      <c r="B64" s="784" t="s">
        <v>679</v>
      </c>
      <c r="C64" s="53">
        <f ca="1">ROUND(C55*F64,1)</f>
        <v>12.3</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-218</v>
      </c>
      <c r="D66" s="3181" t="s">
        <v>700</v>
      </c>
      <c r="E66" s="3184"/>
      <c r="F66" s="820"/>
      <c r="K66" s="2088"/>
      <c r="O66" s="2424" t="s">
        <v>2379</v>
      </c>
      <c r="P66" s="2425" t="s">
        <v>2409</v>
      </c>
      <c r="Q66" s="2426">
        <f ca="1">C40+J29</f>
        <v>47133</v>
      </c>
      <c r="R66" s="2425" t="s">
        <v>2380</v>
      </c>
    </row>
    <row r="67" spans="1:18" s="2061" customFormat="1" ht="20.25" thickBot="1">
      <c r="A67" s="781" t="s">
        <v>1778</v>
      </c>
      <c r="B67" s="2234" t="s">
        <v>2300</v>
      </c>
      <c r="C67" s="783">
        <f ca="1">ROUND(C66*(1-((1+F69)/(1+F67))^F68)/(F67-F69),0)</f>
        <v>-3909</v>
      </c>
      <c r="D67" s="814" t="s">
        <v>704</v>
      </c>
      <c r="E67" s="784" t="s">
        <v>705</v>
      </c>
      <c r="F67" s="794">
        <f ca="1">F40</f>
        <v>0.05</v>
      </c>
      <c r="K67" s="2088"/>
      <c r="O67" s="2424" t="s">
        <v>2381</v>
      </c>
      <c r="P67" s="2425" t="s">
        <v>2412</v>
      </c>
      <c r="Q67" s="2426">
        <f ca="1">L60</f>
        <v>0</v>
      </c>
      <c r="R67" s="2429" t="s">
        <v>2414</v>
      </c>
    </row>
    <row r="68" spans="1:18" ht="21.75" thickBot="1">
      <c r="A68" s="786"/>
      <c r="B68" s="787"/>
      <c r="C68" s="788"/>
      <c r="D68" s="821" t="s">
        <v>1806</v>
      </c>
      <c r="E68" s="784" t="s">
        <v>1782</v>
      </c>
      <c r="F68" s="822">
        <f ca="1">F41</f>
        <v>46.49</v>
      </c>
      <c r="O68" s="2427" t="s">
        <v>2383</v>
      </c>
      <c r="P68" s="2425" t="s">
        <v>2413</v>
      </c>
      <c r="Q68" s="2431">
        <f ca="1">L51</f>
        <v>18402</v>
      </c>
      <c r="R68" s="2432" t="s">
        <v>2416</v>
      </c>
    </row>
    <row r="69" spans="1:18" ht="20.25" thickBot="1">
      <c r="A69" s="790"/>
      <c r="B69" s="791"/>
      <c r="C69" s="792"/>
      <c r="D69" s="816"/>
      <c r="E69" s="784" t="s">
        <v>710</v>
      </c>
      <c r="F69" s="2373"/>
      <c r="O69" s="2427" t="s">
        <v>2384</v>
      </c>
      <c r="P69" s="2433" t="s">
        <v>2398</v>
      </c>
      <c r="Q69" s="2426">
        <f ca="1">ROUND(Q70-Q71*Q72,0)</f>
        <v>939</v>
      </c>
      <c r="R69" s="2429"/>
    </row>
    <row r="70" spans="1:18" ht="15.75" thickBot="1">
      <c r="A70" s="823" t="s">
        <v>1785</v>
      </c>
      <c r="B70" s="824" t="s">
        <v>1808</v>
      </c>
      <c r="C70" s="825">
        <f ca="1">ROUND(C67*10000/F70,0)</f>
        <v>-1995</v>
      </c>
      <c r="D70" s="826" t="s">
        <v>1809</v>
      </c>
      <c r="E70" s="827" t="s">
        <v>1810</v>
      </c>
      <c r="F70" s="828">
        <f ca="1">F43</f>
        <v>19590</v>
      </c>
      <c r="O70" s="2427" t="s">
        <v>2399</v>
      </c>
      <c r="P70" s="2433" t="s">
        <v>2400</v>
      </c>
      <c r="Q70" s="2426">
        <f ca="1">C39</f>
        <v>1595</v>
      </c>
      <c r="R70" s="2425" t="s">
        <v>2380</v>
      </c>
    </row>
    <row r="71" spans="1:18" ht="15.75" thickBot="1">
      <c r="O71" s="2427" t="s">
        <v>2401</v>
      </c>
      <c r="P71" s="2433" t="s">
        <v>2402</v>
      </c>
      <c r="Q71" s="2426">
        <f ca="1">C13</f>
        <v>8197</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47133</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8" t="s">
        <v>2471</v>
      </c>
      <c r="B1" s="3519"/>
      <c r="C1" s="3520"/>
      <c r="D1" s="3521">
        <f>SUM(I10,I15,I20,I21,I23)</f>
        <v>0</v>
      </c>
      <c r="E1" s="3521"/>
      <c r="F1" s="3521"/>
      <c r="G1" s="3521"/>
      <c r="H1" s="3521"/>
      <c r="I1" s="3522"/>
    </row>
    <row r="2" spans="1:9">
      <c r="A2" s="3508" t="s">
        <v>2472</v>
      </c>
      <c r="B2" s="3509" t="s">
        <v>2473</v>
      </c>
      <c r="C2" s="3509"/>
      <c r="D2" s="2533" t="s">
        <v>2474</v>
      </c>
      <c r="E2" s="2533" t="s">
        <v>2475</v>
      </c>
      <c r="F2" s="2533" t="s">
        <v>2476</v>
      </c>
      <c r="G2" s="2533" t="s">
        <v>2477</v>
      </c>
      <c r="H2" s="2533" t="s">
        <v>2478</v>
      </c>
      <c r="I2" s="2534" t="s">
        <v>2479</v>
      </c>
    </row>
    <row r="3" spans="1:9">
      <c r="A3" s="3508"/>
      <c r="B3" s="3509" t="s">
        <v>2480</v>
      </c>
      <c r="C3" s="3509"/>
      <c r="D3" s="2535"/>
      <c r="E3" s="2533"/>
      <c r="F3" s="2536"/>
      <c r="G3" s="2536"/>
      <c r="H3" s="2537"/>
      <c r="I3" s="2538">
        <f>ROUND(D3*E3*F3*G3*H3/10000,0)</f>
        <v>0</v>
      </c>
    </row>
    <row r="4" spans="1:9">
      <c r="A4" s="3508"/>
      <c r="B4" s="3509" t="s">
        <v>2481</v>
      </c>
      <c r="C4" s="3509"/>
      <c r="D4" s="2535"/>
      <c r="E4" s="2533"/>
      <c r="F4" s="2536"/>
      <c r="G4" s="2536"/>
      <c r="H4" s="2537"/>
      <c r="I4" s="2538">
        <f t="shared" ref="I4:I9" si="0">ROUND(D4*E4*F4*G4*H4/10000,0)</f>
        <v>0</v>
      </c>
    </row>
    <row r="5" spans="1:9">
      <c r="A5" s="3508"/>
      <c r="B5" s="3509" t="s">
        <v>2482</v>
      </c>
      <c r="C5" s="3509"/>
      <c r="D5" s="2535"/>
      <c r="E5" s="2533"/>
      <c r="F5" s="2536"/>
      <c r="G5" s="2536"/>
      <c r="H5" s="2537"/>
      <c r="I5" s="2538">
        <f t="shared" si="0"/>
        <v>0</v>
      </c>
    </row>
    <row r="6" spans="1:9">
      <c r="A6" s="3508"/>
      <c r="B6" s="3509" t="s">
        <v>2483</v>
      </c>
      <c r="C6" s="3509"/>
      <c r="D6" s="2535"/>
      <c r="E6" s="2533"/>
      <c r="F6" s="2536"/>
      <c r="G6" s="2536"/>
      <c r="H6" s="2537"/>
      <c r="I6" s="2538">
        <f t="shared" si="0"/>
        <v>0</v>
      </c>
    </row>
    <row r="7" spans="1:9">
      <c r="A7" s="3508"/>
      <c r="B7" s="3509" t="s">
        <v>2484</v>
      </c>
      <c r="C7" s="3509"/>
      <c r="D7" s="2535"/>
      <c r="E7" s="2533"/>
      <c r="F7" s="2536"/>
      <c r="G7" s="2536"/>
      <c r="H7" s="2537"/>
      <c r="I7" s="2538">
        <f t="shared" si="0"/>
        <v>0</v>
      </c>
    </row>
    <row r="8" spans="1:9">
      <c r="A8" s="3508"/>
      <c r="B8" s="3509" t="s">
        <v>2485</v>
      </c>
      <c r="C8" s="3509"/>
      <c r="D8" s="2535"/>
      <c r="E8" s="2533"/>
      <c r="F8" s="2536"/>
      <c r="G8" s="2536"/>
      <c r="H8" s="2537"/>
      <c r="I8" s="2538">
        <f t="shared" si="0"/>
        <v>0</v>
      </c>
    </row>
    <row r="9" spans="1:9">
      <c r="A9" s="3508"/>
      <c r="B9" s="3509" t="s">
        <v>2486</v>
      </c>
      <c r="C9" s="3509"/>
      <c r="D9" s="2535"/>
      <c r="E9" s="2533"/>
      <c r="F9" s="2536"/>
      <c r="G9" s="2536"/>
      <c r="H9" s="2537"/>
      <c r="I9" s="2538">
        <f t="shared" si="0"/>
        <v>0</v>
      </c>
    </row>
    <row r="10" spans="1:9">
      <c r="A10" s="3508"/>
      <c r="B10" s="3510" t="s">
        <v>2487</v>
      </c>
      <c r="C10" s="3510"/>
      <c r="D10" s="2539">
        <v>527</v>
      </c>
      <c r="E10" s="2539" t="e">
        <f>ROUND(D1*10000/D10/H9,0)</f>
        <v>#DIV/0!</v>
      </c>
      <c r="F10" s="2540"/>
      <c r="G10" s="2540"/>
      <c r="H10" s="2541"/>
      <c r="I10" s="2542">
        <f>SUM(I3:I9)</f>
        <v>0</v>
      </c>
    </row>
    <row r="11" spans="1:9" ht="14.25">
      <c r="A11" s="3508" t="s">
        <v>2488</v>
      </c>
      <c r="B11" s="3509" t="s">
        <v>2489</v>
      </c>
      <c r="C11" s="3509"/>
      <c r="D11" s="2535" t="s">
        <v>2490</v>
      </c>
      <c r="E11" s="2535" t="s">
        <v>2491</v>
      </c>
      <c r="F11" s="2536" t="s">
        <v>2492</v>
      </c>
      <c r="G11" s="2536" t="s">
        <v>2493</v>
      </c>
      <c r="H11" s="2543" t="s">
        <v>2494</v>
      </c>
      <c r="I11" s="2534" t="s">
        <v>2495</v>
      </c>
    </row>
    <row r="12" spans="1:9">
      <c r="A12" s="3508"/>
      <c r="B12" s="3509" t="s">
        <v>2496</v>
      </c>
      <c r="C12" s="3509"/>
      <c r="D12" s="2535"/>
      <c r="E12" s="2535"/>
      <c r="F12" s="2536"/>
      <c r="G12" s="2537"/>
      <c r="H12" s="2544"/>
      <c r="I12" s="2534">
        <f>ROUND(D12*E12*F12*G12/10000,0)</f>
        <v>0</v>
      </c>
    </row>
    <row r="13" spans="1:9">
      <c r="A13" s="3508"/>
      <c r="B13" s="3509" t="s">
        <v>2497</v>
      </c>
      <c r="C13" s="3509"/>
      <c r="D13" s="2535"/>
      <c r="E13" s="2535"/>
      <c r="F13" s="2536"/>
      <c r="G13" s="2537"/>
      <c r="H13" s="2544"/>
      <c r="I13" s="2534">
        <f>ROUND(D13*E13*F13*G13/10000,0)</f>
        <v>0</v>
      </c>
    </row>
    <row r="14" spans="1:9">
      <c r="A14" s="3508"/>
      <c r="B14" s="3509" t="s">
        <v>2498</v>
      </c>
      <c r="C14" s="3509"/>
      <c r="D14" s="2535"/>
      <c r="E14" s="2535"/>
      <c r="F14" s="2536"/>
      <c r="G14" s="2537"/>
      <c r="H14" s="2544"/>
      <c r="I14" s="2534">
        <f>ROUND(D14*E14*F14*G14/10000,0)</f>
        <v>0</v>
      </c>
    </row>
    <row r="15" spans="1:9">
      <c r="A15" s="3508"/>
      <c r="B15" s="3510" t="s">
        <v>2487</v>
      </c>
      <c r="C15" s="3510"/>
      <c r="D15" s="2539"/>
      <c r="E15" s="2539">
        <f>SUM(E12:E14)</f>
        <v>0</v>
      </c>
      <c r="F15" s="2540"/>
      <c r="G15" s="2537"/>
      <c r="H15" s="2544"/>
      <c r="I15" s="2545">
        <f>SUM(I12:I14)</f>
        <v>0</v>
      </c>
    </row>
    <row r="16" spans="1:9" ht="24">
      <c r="A16" s="3508" t="s">
        <v>2499</v>
      </c>
      <c r="B16" s="3509" t="s">
        <v>2500</v>
      </c>
      <c r="C16" s="3509"/>
      <c r="D16" s="2535" t="s">
        <v>2501</v>
      </c>
      <c r="E16" s="2546" t="s">
        <v>2502</v>
      </c>
      <c r="F16" s="2536" t="s">
        <v>2503</v>
      </c>
      <c r="G16" s="2537" t="s">
        <v>2493</v>
      </c>
      <c r="H16" s="2543" t="s">
        <v>2494</v>
      </c>
      <c r="I16" s="2534" t="s">
        <v>2495</v>
      </c>
    </row>
    <row r="17" spans="1:9" ht="14.25">
      <c r="A17" s="3508"/>
      <c r="B17" s="3509" t="s">
        <v>2504</v>
      </c>
      <c r="C17" s="3509"/>
      <c r="D17" s="2535"/>
      <c r="E17" s="2535"/>
      <c r="F17" s="2536"/>
      <c r="G17" s="2537"/>
      <c r="H17" s="2547"/>
      <c r="I17" s="2548">
        <f>ROUND(D17*E17*F17*G17/10000,0)</f>
        <v>0</v>
      </c>
    </row>
    <row r="18" spans="1:9" ht="14.25">
      <c r="A18" s="3508"/>
      <c r="B18" s="3509" t="s">
        <v>2505</v>
      </c>
      <c r="C18" s="3509"/>
      <c r="D18" s="2535"/>
      <c r="E18" s="2535"/>
      <c r="F18" s="2536"/>
      <c r="G18" s="2537"/>
      <c r="H18" s="2547"/>
      <c r="I18" s="2548">
        <f>ROUND(D18*E18*F18*G18/10000,0)</f>
        <v>0</v>
      </c>
    </row>
    <row r="19" spans="1:9" ht="14.25">
      <c r="A19" s="3508"/>
      <c r="B19" s="3509" t="s">
        <v>2506</v>
      </c>
      <c r="C19" s="3509"/>
      <c r="D19" s="2535"/>
      <c r="E19" s="2535"/>
      <c r="F19" s="2536"/>
      <c r="G19" s="2537"/>
      <c r="H19" s="2547"/>
      <c r="I19" s="2548">
        <f>ROUND(D19*E19*F19*G19/10000,0)</f>
        <v>0</v>
      </c>
    </row>
    <row r="20" spans="1:9">
      <c r="A20" s="3508"/>
      <c r="B20" s="3510" t="s">
        <v>2487</v>
      </c>
      <c r="C20" s="3510"/>
      <c r="D20" s="2539">
        <f>SUM(D17:D19)</f>
        <v>0</v>
      </c>
      <c r="E20" s="2539"/>
      <c r="F20" s="2540"/>
      <c r="G20" s="2537"/>
      <c r="H20" s="2544"/>
      <c r="I20" s="2545">
        <f>SUM(I17:I19)</f>
        <v>0</v>
      </c>
    </row>
    <row r="21" spans="1:9">
      <c r="A21" s="3508" t="s">
        <v>2507</v>
      </c>
      <c r="B21" s="3511"/>
      <c r="C21" s="3511"/>
      <c r="D21" s="3511"/>
      <c r="E21" s="3511"/>
      <c r="F21" s="3511"/>
      <c r="G21" s="3511"/>
      <c r="H21" s="2549">
        <v>0.1</v>
      </c>
      <c r="I21" s="2542">
        <f>ROUND(I10*H21,0)</f>
        <v>0</v>
      </c>
    </row>
    <row r="22" spans="1:9" ht="14.25">
      <c r="A22" s="3512" t="s">
        <v>2508</v>
      </c>
      <c r="B22" s="3513"/>
      <c r="C22" s="3514"/>
      <c r="D22" s="2550" t="s">
        <v>2509</v>
      </c>
      <c r="E22" s="2550" t="s">
        <v>2510</v>
      </c>
      <c r="F22" s="2551" t="s">
        <v>2511</v>
      </c>
      <c r="G22" s="2551" t="s">
        <v>2512</v>
      </c>
      <c r="H22" s="2543" t="s">
        <v>2513</v>
      </c>
      <c r="I22" s="2534" t="s">
        <v>2514</v>
      </c>
    </row>
    <row r="23" spans="1:9" ht="14.25" thickBot="1">
      <c r="A23" s="3515"/>
      <c r="B23" s="3516"/>
      <c r="C23" s="3517"/>
      <c r="D23" s="2552"/>
      <c r="E23" s="2552"/>
      <c r="F23" s="2552"/>
      <c r="G23" s="2553"/>
      <c r="H23" s="2554"/>
      <c r="I23" s="2555">
        <f>ROUND(E23*D23*F23*(1-G23)/10000,0)</f>
        <v>0</v>
      </c>
    </row>
    <row r="26" spans="1:9">
      <c r="A26" s="2556" t="s">
        <v>2515</v>
      </c>
      <c r="B26" s="2556"/>
      <c r="C26" s="2556"/>
      <c r="D26" s="2556"/>
      <c r="E26" s="3505">
        <f>C27-C30-C31-C32</f>
        <v>0</v>
      </c>
      <c r="F26" s="3505"/>
      <c r="G26" s="3505"/>
      <c r="H26" s="3068" t="s">
        <v>2843</v>
      </c>
    </row>
    <row r="27" spans="1:9">
      <c r="A27" s="2557">
        <v>1</v>
      </c>
      <c r="B27" s="2558" t="s">
        <v>2516</v>
      </c>
      <c r="C27" s="2558"/>
      <c r="D27" s="2558"/>
      <c r="E27" s="3506"/>
      <c r="F27" s="3506"/>
      <c r="G27" s="3506"/>
    </row>
    <row r="28" spans="1:9">
      <c r="A28" s="2559" t="s">
        <v>2517</v>
      </c>
      <c r="B28" s="2558" t="s">
        <v>2518</v>
      </c>
      <c r="C28" s="2558"/>
      <c r="D28" s="2558"/>
      <c r="E28" s="3506"/>
      <c r="F28" s="3506"/>
      <c r="G28" s="3506"/>
    </row>
    <row r="29" spans="1:9">
      <c r="A29" s="2559" t="s">
        <v>2519</v>
      </c>
      <c r="B29" s="2558" t="s">
        <v>2460</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507"/>
      <c r="F32" s="3507"/>
      <c r="G32" s="3507"/>
    </row>
    <row r="33" spans="1:7" hidden="1">
      <c r="A33" s="3502" t="s">
        <v>2526</v>
      </c>
      <c r="B33" s="3503"/>
      <c r="C33" s="3503"/>
      <c r="D33" s="3504"/>
      <c r="E33" s="3505"/>
      <c r="F33" s="3505"/>
      <c r="G33" s="3505"/>
    </row>
    <row r="34" spans="1:7" hidden="1">
      <c r="A34" s="2561">
        <v>1</v>
      </c>
      <c r="B34" s="2558" t="s">
        <v>2527</v>
      </c>
      <c r="C34" s="2558"/>
      <c r="D34" s="2558"/>
      <c r="E34" s="3506"/>
      <c r="F34" s="3506"/>
      <c r="G34" s="3506"/>
    </row>
    <row r="35" spans="1:7" hidden="1">
      <c r="A35" s="2561">
        <v>2</v>
      </c>
      <c r="B35" s="2558" t="s">
        <v>2528</v>
      </c>
      <c r="C35" s="2558"/>
      <c r="D35" s="2558"/>
      <c r="E35" s="3506"/>
      <c r="F35" s="3506"/>
      <c r="G35" s="3506"/>
    </row>
    <row r="36" spans="1:7" hidden="1">
      <c r="A36" s="2561">
        <v>3</v>
      </c>
      <c r="B36" s="2558" t="s">
        <v>2529</v>
      </c>
      <c r="C36" s="2558"/>
      <c r="D36" s="2558"/>
      <c r="E36" s="3506"/>
      <c r="F36" s="3506"/>
      <c r="G36" s="3506"/>
    </row>
    <row r="37" spans="1:7" hidden="1">
      <c r="A37" s="2561">
        <v>4</v>
      </c>
      <c r="B37" s="2558" t="s">
        <v>2530</v>
      </c>
      <c r="C37" s="2558"/>
      <c r="D37" s="2558"/>
      <c r="E37" s="3506"/>
      <c r="F37" s="3506"/>
      <c r="G37" s="3506"/>
    </row>
    <row r="38" spans="1:7" hidden="1">
      <c r="A38" s="3502" t="s">
        <v>2531</v>
      </c>
      <c r="B38" s="3503"/>
      <c r="C38" s="3503"/>
      <c r="D38" s="3504"/>
      <c r="E38" s="3505"/>
      <c r="F38" s="3505"/>
      <c r="G38" s="35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1683</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2440</v>
      </c>
      <c r="B8" s="2498" t="s">
        <v>2442</v>
      </c>
      <c r="C8" s="2499"/>
      <c r="D8" s="749"/>
      <c r="E8" s="750"/>
      <c r="F8" s="750"/>
      <c r="G8" s="751"/>
    </row>
    <row r="9" spans="1:25" s="2185" customFormat="1" ht="13.5" customHeight="1">
      <c r="A9" s="2495" t="s">
        <v>2441</v>
      </c>
      <c r="B9" s="2498" t="s">
        <v>2443</v>
      </c>
      <c r="C9" s="2499"/>
      <c r="D9" s="749"/>
      <c r="E9" s="750"/>
      <c r="F9" s="750"/>
      <c r="G9" s="751"/>
    </row>
    <row r="10" spans="1:25" s="2185" customFormat="1" ht="36">
      <c r="A10" s="2495">
        <v>2</v>
      </c>
      <c r="B10" s="748" t="s">
        <v>613</v>
      </c>
      <c r="C10" s="749">
        <f>C11+C14+C15</f>
        <v>0</v>
      </c>
      <c r="D10" s="760">
        <f>'数据-汇总表'!E3</f>
        <v>88257.98000000001</v>
      </c>
      <c r="E10" s="749">
        <f>'数据-取费表'!B31</f>
        <v>100</v>
      </c>
      <c r="F10" s="761"/>
      <c r="G10" s="759" t="s">
        <v>614</v>
      </c>
    </row>
    <row r="11" spans="1:25" s="2185" customFormat="1" ht="13.5" customHeight="1">
      <c r="A11" s="2495" t="s">
        <v>2440</v>
      </c>
      <c r="B11" s="752" t="s">
        <v>610</v>
      </c>
      <c r="C11" s="753">
        <f>'数据-取费表'!B29</f>
        <v>0</v>
      </c>
      <c r="D11" s="754"/>
      <c r="E11" s="753"/>
      <c r="F11" s="755"/>
      <c r="G11" s="2504" t="s">
        <v>2451</v>
      </c>
    </row>
    <row r="12" spans="1:25" s="2185" customFormat="1" ht="13.5" customHeight="1">
      <c r="A12" s="2502" t="s">
        <v>2448</v>
      </c>
      <c r="B12" s="756" t="s">
        <v>611</v>
      </c>
      <c r="C12" s="757">
        <f>ROUND(D12*E12/10000,0)</f>
        <v>2552</v>
      </c>
      <c r="D12" s="758">
        <f>'数据-汇总表'!E5</f>
        <v>59351.88</v>
      </c>
      <c r="E12" s="757">
        <f>'数据-取费表'!B27</f>
        <v>430</v>
      </c>
      <c r="F12" s="755"/>
      <c r="G12" s="759"/>
    </row>
    <row r="13" spans="1:25" s="2185" customFormat="1" ht="13.5" customHeight="1">
      <c r="A13" s="2502" t="s">
        <v>2447</v>
      </c>
      <c r="B13" s="756" t="s">
        <v>612</v>
      </c>
      <c r="C13" s="757">
        <f>ROUND(D13*E13/10000,0)</f>
        <v>1243</v>
      </c>
      <c r="D13" s="758">
        <f>'数据-汇总表'!E6</f>
        <v>28906.100000000013</v>
      </c>
      <c r="E13" s="757">
        <f>'数据-取费表'!B28</f>
        <v>430</v>
      </c>
      <c r="F13" s="755"/>
      <c r="G13" s="759"/>
    </row>
    <row r="14" spans="1:25" s="2185" customFormat="1" ht="13.5" customHeight="1">
      <c r="A14" s="2495" t="s">
        <v>2441</v>
      </c>
      <c r="B14" s="2501" t="s">
        <v>2444</v>
      </c>
      <c r="C14" s="2499"/>
      <c r="D14" s="758"/>
      <c r="E14" s="757"/>
      <c r="F14" s="2500"/>
      <c r="G14" s="2503" t="s">
        <v>2449</v>
      </c>
    </row>
    <row r="15" spans="1:25" s="2185" customFormat="1" ht="13.5" customHeight="1">
      <c r="A15" s="2495" t="s">
        <v>2446</v>
      </c>
      <c r="B15" s="2501" t="s">
        <v>2445</v>
      </c>
      <c r="C15" s="2499"/>
      <c r="D15" s="758"/>
      <c r="E15" s="757"/>
      <c r="F15" s="2500"/>
      <c r="G15" s="2503" t="s">
        <v>2450</v>
      </c>
    </row>
    <row r="16" spans="1:25" s="2186" customFormat="1" ht="48">
      <c r="A16" s="2495">
        <v>3</v>
      </c>
      <c r="B16" s="748" t="s">
        <v>615</v>
      </c>
      <c r="C16" s="2499"/>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0.13</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0.89500000000000002</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25" t="s">
        <v>522</v>
      </c>
      <c r="D4" s="3426"/>
      <c r="E4" s="3449" t="s">
        <v>523</v>
      </c>
      <c r="F4" s="3450"/>
      <c r="G4" s="3425" t="s">
        <v>524</v>
      </c>
      <c r="H4" s="3426"/>
      <c r="I4" s="3425" t="s">
        <v>525</v>
      </c>
      <c r="J4" s="3426"/>
      <c r="K4" s="514" t="s">
        <v>526</v>
      </c>
      <c r="L4" s="2135"/>
      <c r="M4" s="2136"/>
      <c r="N4" s="2136"/>
      <c r="O4" s="2136"/>
      <c r="P4" s="3427" t="s">
        <v>527</v>
      </c>
      <c r="Q4" s="3428"/>
      <c r="R4" s="3413" t="s">
        <v>523</v>
      </c>
      <c r="S4" s="3414"/>
      <c r="T4" s="3413" t="s">
        <v>524</v>
      </c>
      <c r="U4" s="3414"/>
      <c r="V4" s="3433" t="s">
        <v>525</v>
      </c>
      <c r="W4" s="3433"/>
      <c r="X4" s="1568"/>
      <c r="Y4" s="3413" t="s">
        <v>527</v>
      </c>
      <c r="Z4" s="3414"/>
      <c r="AA4" s="3408" t="s">
        <v>523</v>
      </c>
      <c r="AB4" s="3433" t="s">
        <v>524</v>
      </c>
      <c r="AC4" s="3408" t="s">
        <v>525</v>
      </c>
    </row>
    <row r="5" spans="1:29" ht="15">
      <c r="A5" s="515"/>
      <c r="B5" s="516"/>
      <c r="C5" s="3436" t="s">
        <v>2927</v>
      </c>
      <c r="D5" s="3437"/>
      <c r="E5" s="3451" t="s">
        <v>2928</v>
      </c>
      <c r="F5" s="3452"/>
      <c r="G5" s="3436" t="s">
        <v>2929</v>
      </c>
      <c r="H5" s="3437"/>
      <c r="I5" s="3436" t="s">
        <v>2930</v>
      </c>
      <c r="J5" s="3437"/>
      <c r="K5" s="514"/>
      <c r="L5" s="2135"/>
      <c r="M5" s="2136"/>
      <c r="N5" s="2136"/>
      <c r="O5" s="2136"/>
      <c r="P5" s="3429"/>
      <c r="Q5" s="3430"/>
      <c r="R5" s="3415"/>
      <c r="S5" s="3416"/>
      <c r="T5" s="3415"/>
      <c r="U5" s="3416"/>
      <c r="V5" s="3433"/>
      <c r="W5" s="3433"/>
      <c r="X5" s="1568"/>
      <c r="Y5" s="3415"/>
      <c r="Z5" s="3416"/>
      <c r="AA5" s="3409"/>
      <c r="AB5" s="3433"/>
      <c r="AC5" s="3409"/>
    </row>
    <row r="6" spans="1:29" ht="15.75" thickBot="1">
      <c r="A6" s="517"/>
      <c r="B6" s="518"/>
      <c r="C6" s="3434" t="s">
        <v>2931</v>
      </c>
      <c r="D6" s="3435"/>
      <c r="E6" s="3453" t="s">
        <v>2931</v>
      </c>
      <c r="F6" s="3454"/>
      <c r="G6" s="3434" t="s">
        <v>2931</v>
      </c>
      <c r="H6" s="3435"/>
      <c r="I6" s="3434" t="s">
        <v>2931</v>
      </c>
      <c r="J6" s="3435"/>
      <c r="K6" s="514" t="s">
        <v>528</v>
      </c>
      <c r="L6" s="2135"/>
      <c r="M6" s="2136"/>
      <c r="N6" s="2136"/>
      <c r="O6" s="2136"/>
      <c r="P6" s="3431"/>
      <c r="Q6" s="3432"/>
      <c r="R6" s="3415"/>
      <c r="S6" s="3416"/>
      <c r="T6" s="3417"/>
      <c r="U6" s="3418"/>
      <c r="V6" s="3433"/>
      <c r="W6" s="3433"/>
      <c r="X6" s="1568"/>
      <c r="Y6" s="3417"/>
      <c r="Z6" s="3418"/>
      <c r="AA6" s="3410"/>
      <c r="AB6" s="3433"/>
      <c r="AC6" s="3410"/>
    </row>
    <row r="7" spans="1:29" s="1220" customFormat="1" ht="15.75" thickBot="1">
      <c r="A7" s="2938"/>
      <c r="B7" s="2945" t="s">
        <v>529</v>
      </c>
      <c r="C7" s="519">
        <f>'数据-取费表'!B2</f>
        <v>43248</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1" t="s">
        <v>530</v>
      </c>
      <c r="Q7" s="3420"/>
      <c r="R7" s="1569" t="s">
        <v>8</v>
      </c>
      <c r="S7" s="1570">
        <f t="shared" ref="S7:S15" si="0">F7</f>
        <v>0</v>
      </c>
      <c r="T7" s="1569" t="s">
        <v>8</v>
      </c>
      <c r="U7" s="1570">
        <f t="shared" ref="U7:U15" si="1">H7</f>
        <v>0</v>
      </c>
      <c r="V7" s="1569" t="s">
        <v>8</v>
      </c>
      <c r="W7" s="1570">
        <f t="shared" ref="W7:W15" si="2">J7</f>
        <v>0</v>
      </c>
      <c r="X7" s="1571"/>
      <c r="Y7" s="3411" t="s">
        <v>530</v>
      </c>
      <c r="Z7" s="3412"/>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1" t="s">
        <v>533</v>
      </c>
      <c r="Q8" s="3412"/>
      <c r="R8" s="1569" t="s">
        <v>8</v>
      </c>
      <c r="S8" s="1570">
        <f t="shared" si="0"/>
        <v>0</v>
      </c>
      <c r="T8" s="1569" t="s">
        <v>8</v>
      </c>
      <c r="U8" s="1570">
        <f t="shared" si="1"/>
        <v>0</v>
      </c>
      <c r="V8" s="1569" t="s">
        <v>8</v>
      </c>
      <c r="W8" s="1570">
        <f t="shared" si="2"/>
        <v>0</v>
      </c>
      <c r="X8" s="1571"/>
      <c r="Y8" s="3411" t="s">
        <v>533</v>
      </c>
      <c r="Z8" s="3412"/>
      <c r="AA8" s="1572" t="e">
        <f t="shared" ref="AA8:AA46" si="3">D8/F8</f>
        <v>#DIV/0!</v>
      </c>
      <c r="AB8" s="1572" t="e">
        <f t="shared" ref="AB8:AB46" si="4">D8/H8</f>
        <v>#DIV/0!</v>
      </c>
      <c r="AC8" s="1572" t="e">
        <f t="shared" ref="AC8:AC46" si="5">D8/J8</f>
        <v>#DIV/0!</v>
      </c>
    </row>
    <row r="9" spans="1:29" s="1220" customFormat="1" ht="15">
      <c r="A9" s="2940"/>
      <c r="B9" s="2947"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19" t="s">
        <v>535</v>
      </c>
      <c r="Q9" s="1151" t="str">
        <f t="shared" ref="Q9:Q15" si="6">B9</f>
        <v>用途</v>
      </c>
      <c r="R9" s="1569" t="s">
        <v>8</v>
      </c>
      <c r="S9" s="1570">
        <f t="shared" si="0"/>
        <v>100</v>
      </c>
      <c r="T9" s="1569" t="s">
        <v>8</v>
      </c>
      <c r="U9" s="1570">
        <f t="shared" si="1"/>
        <v>100</v>
      </c>
      <c r="V9" s="1569" t="s">
        <v>8</v>
      </c>
      <c r="W9" s="1570">
        <f t="shared" si="2"/>
        <v>100</v>
      </c>
      <c r="X9" s="1571"/>
      <c r="Y9" s="3376"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19"/>
      <c r="Q10" s="1151" t="str">
        <f t="shared" si="6"/>
        <v>土地使用年限（年）</v>
      </c>
      <c r="R10" s="1569" t="s">
        <v>8</v>
      </c>
      <c r="S10" s="1570">
        <f t="shared" si="0"/>
        <v>100</v>
      </c>
      <c r="T10" s="1569" t="s">
        <v>8</v>
      </c>
      <c r="U10" s="1570">
        <f t="shared" si="1"/>
        <v>100</v>
      </c>
      <c r="V10" s="1569" t="s">
        <v>8</v>
      </c>
      <c r="W10" s="1570">
        <f t="shared" si="2"/>
        <v>100</v>
      </c>
      <c r="X10" s="1571"/>
      <c r="Y10" s="3376"/>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19"/>
      <c r="Q11" s="1151" t="str">
        <f t="shared" si="6"/>
        <v>容积率</v>
      </c>
      <c r="R11" s="1569" t="s">
        <v>8</v>
      </c>
      <c r="S11" s="1570" t="e">
        <f t="shared" si="0"/>
        <v>#N/A</v>
      </c>
      <c r="T11" s="1569" t="s">
        <v>8</v>
      </c>
      <c r="U11" s="1570" t="e">
        <f t="shared" si="1"/>
        <v>#N/A</v>
      </c>
      <c r="V11" s="1569" t="s">
        <v>8</v>
      </c>
      <c r="W11" s="1570" t="e">
        <f t="shared" si="2"/>
        <v>#N/A</v>
      </c>
      <c r="X11" s="1571"/>
      <c r="Y11" s="337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19"/>
      <c r="Q12" s="1151">
        <f t="shared" si="6"/>
        <v>111</v>
      </c>
      <c r="R12" s="1569" t="s">
        <v>8</v>
      </c>
      <c r="S12" s="1570">
        <f t="shared" si="0"/>
        <v>100</v>
      </c>
      <c r="T12" s="1569" t="s">
        <v>8</v>
      </c>
      <c r="U12" s="1570">
        <f t="shared" si="1"/>
        <v>100</v>
      </c>
      <c r="V12" s="1569" t="s">
        <v>8</v>
      </c>
      <c r="W12" s="1570">
        <f t="shared" si="2"/>
        <v>100</v>
      </c>
      <c r="X12" s="1571"/>
      <c r="Y12" s="3376"/>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19"/>
      <c r="Q13" s="1151">
        <f t="shared" si="6"/>
        <v>111</v>
      </c>
      <c r="R13" s="1569" t="s">
        <v>8</v>
      </c>
      <c r="S13" s="1570">
        <f t="shared" si="0"/>
        <v>100</v>
      </c>
      <c r="T13" s="1569" t="s">
        <v>8</v>
      </c>
      <c r="U13" s="1570">
        <f t="shared" si="1"/>
        <v>100</v>
      </c>
      <c r="V13" s="1569" t="s">
        <v>8</v>
      </c>
      <c r="W13" s="1570">
        <f t="shared" si="2"/>
        <v>100</v>
      </c>
      <c r="X13" s="1571"/>
      <c r="Y13" s="3376"/>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19"/>
      <c r="Q14" s="1151">
        <f t="shared" si="6"/>
        <v>111</v>
      </c>
      <c r="R14" s="1569" t="s">
        <v>8</v>
      </c>
      <c r="S14" s="1570">
        <f t="shared" si="0"/>
        <v>100</v>
      </c>
      <c r="T14" s="1569" t="s">
        <v>8</v>
      </c>
      <c r="U14" s="1570">
        <f t="shared" si="1"/>
        <v>100</v>
      </c>
      <c r="V14" s="1569" t="s">
        <v>8</v>
      </c>
      <c r="W14" s="1570">
        <f t="shared" si="2"/>
        <v>100</v>
      </c>
      <c r="X14" s="1571"/>
      <c r="Y14" s="3376"/>
      <c r="Z14" s="1150">
        <f t="shared" si="7"/>
        <v>111</v>
      </c>
      <c r="AA14" s="1572">
        <f t="shared" si="3"/>
        <v>1</v>
      </c>
      <c r="AB14" s="1572">
        <f t="shared" si="4"/>
        <v>1</v>
      </c>
      <c r="AC14" s="1572">
        <f t="shared" si="5"/>
        <v>1</v>
      </c>
    </row>
    <row r="15" spans="1:29" ht="99.75">
      <c r="A15" s="2936" t="s">
        <v>2754</v>
      </c>
      <c r="B15" s="166" t="s">
        <v>541</v>
      </c>
      <c r="C15" s="867" t="str">
        <f>估价对象房地状况!C4</f>
        <v>估价对象周边商业氛围较成熟，人流量较大，有嘉杰国际广场、壹丰广场等多个商业项目，商业繁华度较好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21" t="s">
        <v>540</v>
      </c>
      <c r="Q15" s="1573" t="str">
        <f t="shared" si="6"/>
        <v>商业繁华度</v>
      </c>
      <c r="R15" s="1574" t="s">
        <v>8</v>
      </c>
      <c r="S15" s="1575">
        <f t="shared" si="0"/>
        <v>100</v>
      </c>
      <c r="T15" s="1574" t="s">
        <v>8</v>
      </c>
      <c r="U15" s="1575">
        <f t="shared" si="1"/>
        <v>100</v>
      </c>
      <c r="V15" s="1574" t="s">
        <v>8</v>
      </c>
      <c r="W15" s="1575">
        <f t="shared" si="2"/>
        <v>100</v>
      </c>
      <c r="X15" s="1568"/>
      <c r="Y15" s="342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2"/>
      <c r="Q16" s="1573"/>
      <c r="R16" s="1574"/>
      <c r="S16" s="1575"/>
      <c r="T16" s="1574"/>
      <c r="U16" s="1575"/>
      <c r="V16" s="1574"/>
      <c r="W16" s="1575"/>
      <c r="X16" s="1568"/>
      <c r="Y16" s="3422"/>
      <c r="Z16" s="1576"/>
      <c r="AA16" s="1577">
        <v>1</v>
      </c>
      <c r="AB16" s="1577">
        <v>1</v>
      </c>
      <c r="AC16" s="1577">
        <v>1</v>
      </c>
    </row>
    <row r="17" spans="1:29" ht="142.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22"/>
      <c r="Q17" s="1573" t="str">
        <f>B17</f>
        <v>交通便捷度</v>
      </c>
      <c r="R17" s="1574" t="s">
        <v>8</v>
      </c>
      <c r="S17" s="1575">
        <f>F17</f>
        <v>100</v>
      </c>
      <c r="T17" s="1574" t="s">
        <v>8</v>
      </c>
      <c r="U17" s="1575">
        <f>H17</f>
        <v>100</v>
      </c>
      <c r="V17" s="1574" t="s">
        <v>8</v>
      </c>
      <c r="W17" s="1575">
        <f>J17</f>
        <v>100</v>
      </c>
      <c r="X17" s="1568"/>
      <c r="Y17" s="342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2"/>
      <c r="Q18" s="1573"/>
      <c r="R18" s="1574"/>
      <c r="S18" s="1575"/>
      <c r="T18" s="1574"/>
      <c r="U18" s="1575"/>
      <c r="V18" s="1574"/>
      <c r="W18" s="1575"/>
      <c r="X18" s="1568"/>
      <c r="Y18" s="3422"/>
      <c r="Z18" s="1576"/>
      <c r="AA18" s="1577">
        <v>1</v>
      </c>
      <c r="AB18" s="1577">
        <v>1</v>
      </c>
      <c r="AC18" s="1577">
        <v>1</v>
      </c>
    </row>
    <row r="19" spans="1:29" ht="42.7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22"/>
      <c r="Q19" s="1573" t="str">
        <f>B19</f>
        <v>公共配套设施</v>
      </c>
      <c r="R19" s="1574" t="s">
        <v>8</v>
      </c>
      <c r="S19" s="1575">
        <f>F19</f>
        <v>100</v>
      </c>
      <c r="T19" s="1574" t="s">
        <v>8</v>
      </c>
      <c r="U19" s="1575">
        <f>H19</f>
        <v>100</v>
      </c>
      <c r="V19" s="1574" t="s">
        <v>8</v>
      </c>
      <c r="W19" s="1575">
        <f>J19</f>
        <v>100</v>
      </c>
      <c r="X19" s="1568"/>
      <c r="Y19" s="342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22"/>
      <c r="Q20" s="1573"/>
      <c r="R20" s="1574"/>
      <c r="S20" s="1575"/>
      <c r="T20" s="1574"/>
      <c r="U20" s="1575"/>
      <c r="V20" s="1574"/>
      <c r="W20" s="1575"/>
      <c r="X20" s="1568"/>
      <c r="Y20" s="3422"/>
      <c r="Z20" s="1576"/>
      <c r="AA20" s="1577">
        <v>1</v>
      </c>
      <c r="AB20" s="1577">
        <v>1</v>
      </c>
      <c r="AC20" s="1577">
        <v>1</v>
      </c>
    </row>
    <row r="21" spans="1:29" ht="42.7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22"/>
      <c r="Q21" s="2605" t="str">
        <f>B21</f>
        <v>基础设施水平</v>
      </c>
      <c r="R21" s="1574" t="s">
        <v>8</v>
      </c>
      <c r="S21" s="1575">
        <f>F21</f>
        <v>100</v>
      </c>
      <c r="T21" s="1574" t="s">
        <v>8</v>
      </c>
      <c r="U21" s="1575">
        <f>H21</f>
        <v>100</v>
      </c>
      <c r="V21" s="1574" t="s">
        <v>8</v>
      </c>
      <c r="W21" s="1575">
        <f>J21</f>
        <v>100</v>
      </c>
      <c r="X21" s="2607"/>
      <c r="Y21" s="3422"/>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22"/>
      <c r="Q22" s="2605"/>
      <c r="R22" s="1574"/>
      <c r="S22" s="1575"/>
      <c r="T22" s="1574"/>
      <c r="U22" s="1575"/>
      <c r="V22" s="1574"/>
      <c r="W22" s="1575"/>
      <c r="X22" s="2607"/>
      <c r="Y22" s="3422"/>
      <c r="Z22" s="2606"/>
      <c r="AA22" s="1577">
        <v>1</v>
      </c>
      <c r="AB22" s="1577">
        <v>1</v>
      </c>
      <c r="AC22" s="1577">
        <v>1</v>
      </c>
    </row>
    <row r="23" spans="1:29" ht="114">
      <c r="A23" s="532"/>
      <c r="B23" s="871" t="s">
        <v>297</v>
      </c>
      <c r="C23" s="900" t="str">
        <f>估价对象房地状况!C9</f>
        <v>区域自然环境：四川北路公园、交通公园；人文环境：上海城建职业学院、上海铁路博物馆；综合评价环境状况较好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22"/>
      <c r="Q23" s="1573" t="str">
        <f>B23</f>
        <v>自然及人文环境</v>
      </c>
      <c r="R23" s="1574" t="s">
        <v>8</v>
      </c>
      <c r="S23" s="1575">
        <f>F23</f>
        <v>100</v>
      </c>
      <c r="T23" s="1574" t="s">
        <v>8</v>
      </c>
      <c r="U23" s="1575">
        <f>H23</f>
        <v>100</v>
      </c>
      <c r="V23" s="1574" t="s">
        <v>8</v>
      </c>
      <c r="W23" s="1575">
        <f>J23</f>
        <v>100</v>
      </c>
      <c r="X23" s="1568"/>
      <c r="Y23" s="342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22"/>
      <c r="Q24" s="1573"/>
      <c r="R24" s="1574"/>
      <c r="S24" s="1575"/>
      <c r="T24" s="1574"/>
      <c r="U24" s="1575"/>
      <c r="V24" s="1574"/>
      <c r="W24" s="1575"/>
      <c r="X24" s="1568"/>
      <c r="Y24" s="342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22"/>
      <c r="Q25" s="1573" t="str">
        <f t="shared" ref="Q25:Q46" si="11">B25</f>
        <v>临街状况</v>
      </c>
      <c r="R25" s="1574" t="s">
        <v>8</v>
      </c>
      <c r="S25" s="1575">
        <f>F25</f>
        <v>100</v>
      </c>
      <c r="T25" s="1574" t="s">
        <v>8</v>
      </c>
      <c r="U25" s="1575">
        <f>H25</f>
        <v>100</v>
      </c>
      <c r="V25" s="1574" t="s">
        <v>8</v>
      </c>
      <c r="W25" s="1575">
        <f>J25</f>
        <v>100</v>
      </c>
      <c r="X25" s="1568"/>
      <c r="Y25" s="342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22"/>
      <c r="Q26" s="1573" t="str">
        <f t="shared" si="11"/>
        <v>平面位置/可视性</v>
      </c>
      <c r="R26" s="1574" t="s">
        <v>8</v>
      </c>
      <c r="S26" s="1575">
        <f>F26</f>
        <v>100</v>
      </c>
      <c r="T26" s="1574" t="s">
        <v>8</v>
      </c>
      <c r="U26" s="1575">
        <f>H26</f>
        <v>100</v>
      </c>
      <c r="V26" s="1574" t="s">
        <v>8</v>
      </c>
      <c r="W26" s="1575">
        <f>J26</f>
        <v>100</v>
      </c>
      <c r="X26" s="1568"/>
      <c r="Y26" s="342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22"/>
      <c r="Q27" s="1151" t="str">
        <f t="shared" si="11"/>
        <v>人流量</v>
      </c>
      <c r="R27" s="1569" t="s">
        <v>8</v>
      </c>
      <c r="S27" s="1570">
        <f>F27</f>
        <v>100</v>
      </c>
      <c r="T27" s="1569" t="s">
        <v>8</v>
      </c>
      <c r="U27" s="1570">
        <f>H27</f>
        <v>100</v>
      </c>
      <c r="V27" s="1569" t="s">
        <v>8</v>
      </c>
      <c r="W27" s="1570">
        <f>J27</f>
        <v>100</v>
      </c>
      <c r="X27" s="1571"/>
      <c r="Y27" s="342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2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2"/>
      <c r="Q29" s="1573">
        <f t="shared" si="11"/>
        <v>111</v>
      </c>
      <c r="R29" s="1574" t="s">
        <v>8</v>
      </c>
      <c r="S29" s="1575">
        <f t="shared" si="12"/>
        <v>100</v>
      </c>
      <c r="T29" s="1574" t="s">
        <v>8</v>
      </c>
      <c r="U29" s="1575">
        <f t="shared" si="13"/>
        <v>100</v>
      </c>
      <c r="V29" s="1574" t="s">
        <v>8</v>
      </c>
      <c r="W29" s="1575">
        <f t="shared" si="14"/>
        <v>100</v>
      </c>
      <c r="X29" s="1568"/>
      <c r="Y29" s="342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2"/>
      <c r="Q30" s="1573">
        <f t="shared" si="11"/>
        <v>111</v>
      </c>
      <c r="R30" s="1574" t="s">
        <v>8</v>
      </c>
      <c r="S30" s="1575">
        <f t="shared" si="12"/>
        <v>100</v>
      </c>
      <c r="T30" s="1574" t="s">
        <v>8</v>
      </c>
      <c r="U30" s="1575">
        <f t="shared" si="13"/>
        <v>100</v>
      </c>
      <c r="V30" s="1574" t="s">
        <v>8</v>
      </c>
      <c r="W30" s="1575">
        <f t="shared" si="14"/>
        <v>100</v>
      </c>
      <c r="X30" s="1568"/>
      <c r="Y30" s="342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2"/>
      <c r="Q31" s="1573">
        <f t="shared" si="11"/>
        <v>111</v>
      </c>
      <c r="R31" s="1574" t="s">
        <v>8</v>
      </c>
      <c r="S31" s="1575">
        <f t="shared" si="12"/>
        <v>100</v>
      </c>
      <c r="T31" s="1574" t="s">
        <v>8</v>
      </c>
      <c r="U31" s="1575">
        <f t="shared" si="13"/>
        <v>100</v>
      </c>
      <c r="V31" s="1574" t="s">
        <v>8</v>
      </c>
      <c r="W31" s="1575">
        <f t="shared" si="14"/>
        <v>100</v>
      </c>
      <c r="X31" s="1568"/>
      <c r="Y31" s="3422"/>
      <c r="Z31" s="1576">
        <f t="shared" si="15"/>
        <v>111</v>
      </c>
      <c r="AA31" s="1577">
        <f t="shared" si="3"/>
        <v>1</v>
      </c>
      <c r="AB31" s="1577">
        <f t="shared" si="4"/>
        <v>1</v>
      </c>
      <c r="AC31" s="1577">
        <f t="shared" si="5"/>
        <v>1</v>
      </c>
    </row>
    <row r="32" spans="1:29" ht="15">
      <c r="A32" s="293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3" t="s">
        <v>550</v>
      </c>
      <c r="Q32" s="1573" t="str">
        <f t="shared" si="11"/>
        <v>商业类型</v>
      </c>
      <c r="R32" s="1574" t="s">
        <v>8</v>
      </c>
      <c r="S32" s="1575">
        <f t="shared" si="12"/>
        <v>100</v>
      </c>
      <c r="T32" s="1574" t="s">
        <v>8</v>
      </c>
      <c r="U32" s="1575">
        <f t="shared" si="13"/>
        <v>100</v>
      </c>
      <c r="V32" s="1574" t="s">
        <v>8</v>
      </c>
      <c r="W32" s="1575">
        <f t="shared" si="14"/>
        <v>100</v>
      </c>
      <c r="X32" s="1568"/>
      <c r="Y32" s="342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4"/>
      <c r="Q33" s="1606" t="str">
        <f t="shared" si="11"/>
        <v>项目建筑规模</v>
      </c>
      <c r="R33" s="1578" t="s">
        <v>8</v>
      </c>
      <c r="S33" s="1579" t="e">
        <f t="shared" si="12"/>
        <v>#N/A</v>
      </c>
      <c r="T33" s="1578" t="s">
        <v>8</v>
      </c>
      <c r="U33" s="1579" t="e">
        <f t="shared" si="13"/>
        <v>#N/A</v>
      </c>
      <c r="V33" s="1578" t="s">
        <v>8</v>
      </c>
      <c r="W33" s="1579" t="e">
        <f t="shared" si="14"/>
        <v>#N/A</v>
      </c>
      <c r="X33" s="1580"/>
      <c r="Y33" s="342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4"/>
      <c r="Q34" s="1573" t="str">
        <f t="shared" si="11"/>
        <v>建筑结构</v>
      </c>
      <c r="R34" s="1574" t="s">
        <v>8</v>
      </c>
      <c r="S34" s="1575">
        <f t="shared" si="12"/>
        <v>100</v>
      </c>
      <c r="T34" s="1574" t="s">
        <v>8</v>
      </c>
      <c r="U34" s="1575">
        <f t="shared" si="13"/>
        <v>100</v>
      </c>
      <c r="V34" s="1574" t="s">
        <v>8</v>
      </c>
      <c r="W34" s="1575">
        <f t="shared" si="14"/>
        <v>100</v>
      </c>
      <c r="X34" s="1568"/>
      <c r="Y34" s="342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4"/>
      <c r="Q35" s="1573" t="str">
        <f t="shared" si="11"/>
        <v>公共部分装修</v>
      </c>
      <c r="R35" s="1574" t="s">
        <v>8</v>
      </c>
      <c r="S35" s="1575">
        <f t="shared" si="12"/>
        <v>100</v>
      </c>
      <c r="T35" s="1574" t="s">
        <v>8</v>
      </c>
      <c r="U35" s="1575">
        <f t="shared" si="13"/>
        <v>100</v>
      </c>
      <c r="V35" s="1574" t="s">
        <v>8</v>
      </c>
      <c r="W35" s="1575">
        <f t="shared" si="14"/>
        <v>100</v>
      </c>
      <c r="X35" s="1568"/>
      <c r="Y35" s="342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4"/>
      <c r="Q36" s="1573" t="str">
        <f t="shared" si="11"/>
        <v>成新度</v>
      </c>
      <c r="R36" s="1574" t="s">
        <v>8</v>
      </c>
      <c r="S36" s="1575" t="e">
        <f t="shared" si="12"/>
        <v>#N/A</v>
      </c>
      <c r="T36" s="1574" t="s">
        <v>8</v>
      </c>
      <c r="U36" s="1575" t="e">
        <f t="shared" si="13"/>
        <v>#N/A</v>
      </c>
      <c r="V36" s="1574" t="s">
        <v>8</v>
      </c>
      <c r="W36" s="1575" t="e">
        <f t="shared" si="14"/>
        <v>#N/A</v>
      </c>
      <c r="X36" s="1568"/>
      <c r="Y36" s="3424"/>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4"/>
      <c r="Q37" s="1151" t="str">
        <f t="shared" si="11"/>
        <v>市政基础设施</v>
      </c>
      <c r="R37" s="1569" t="s">
        <v>8</v>
      </c>
      <c r="S37" s="1570">
        <f t="shared" si="12"/>
        <v>100</v>
      </c>
      <c r="T37" s="1569" t="s">
        <v>8</v>
      </c>
      <c r="U37" s="1570">
        <f t="shared" si="13"/>
        <v>100</v>
      </c>
      <c r="V37" s="1569" t="s">
        <v>8</v>
      </c>
      <c r="W37" s="1570">
        <f t="shared" si="14"/>
        <v>100</v>
      </c>
      <c r="X37" s="1571"/>
      <c r="Y37" s="342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4" t="s">
        <v>766</v>
      </c>
      <c r="Q38" s="1573" t="str">
        <f t="shared" si="11"/>
        <v>业态</v>
      </c>
      <c r="R38" s="1574" t="s">
        <v>8</v>
      </c>
      <c r="S38" s="1575">
        <f t="shared" si="12"/>
        <v>100</v>
      </c>
      <c r="T38" s="1574" t="s">
        <v>8</v>
      </c>
      <c r="U38" s="1575">
        <f t="shared" si="13"/>
        <v>100</v>
      </c>
      <c r="V38" s="1574" t="s">
        <v>8</v>
      </c>
      <c r="W38" s="1575">
        <f t="shared" si="14"/>
        <v>100</v>
      </c>
      <c r="X38" s="1568"/>
      <c r="Y38" s="342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4"/>
      <c r="Q39" s="1573" t="str">
        <f t="shared" si="11"/>
        <v>层高</v>
      </c>
      <c r="R39" s="1574" t="s">
        <v>8</v>
      </c>
      <c r="S39" s="1575">
        <f t="shared" si="12"/>
        <v>100</v>
      </c>
      <c r="T39" s="1574" t="s">
        <v>8</v>
      </c>
      <c r="U39" s="1575">
        <f t="shared" si="13"/>
        <v>100</v>
      </c>
      <c r="V39" s="1574" t="s">
        <v>8</v>
      </c>
      <c r="W39" s="1575">
        <f t="shared" si="14"/>
        <v>100</v>
      </c>
      <c r="X39" s="1568"/>
      <c r="Y39" s="342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4"/>
      <c r="Q40" s="1573" t="str">
        <f t="shared" si="11"/>
        <v>单套建筑面积</v>
      </c>
      <c r="R40" s="1574" t="s">
        <v>8</v>
      </c>
      <c r="S40" s="1575">
        <f t="shared" si="12"/>
        <v>100</v>
      </c>
      <c r="T40" s="1574" t="s">
        <v>8</v>
      </c>
      <c r="U40" s="1575">
        <f t="shared" si="13"/>
        <v>100</v>
      </c>
      <c r="V40" s="1574" t="s">
        <v>8</v>
      </c>
      <c r="W40" s="1575">
        <f t="shared" si="14"/>
        <v>100</v>
      </c>
      <c r="X40" s="1568"/>
      <c r="Y40" s="342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4"/>
      <c r="Q41" s="1606" t="str">
        <f t="shared" si="11"/>
        <v>进深比</v>
      </c>
      <c r="R41" s="1578" t="s">
        <v>8</v>
      </c>
      <c r="S41" s="1579">
        <f t="shared" si="12"/>
        <v>100</v>
      </c>
      <c r="T41" s="1578" t="s">
        <v>8</v>
      </c>
      <c r="U41" s="1579">
        <f t="shared" si="13"/>
        <v>100</v>
      </c>
      <c r="V41" s="1578" t="s">
        <v>8</v>
      </c>
      <c r="W41" s="1579">
        <f t="shared" si="14"/>
        <v>100</v>
      </c>
      <c r="X41" s="1580"/>
      <c r="Y41" s="342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4"/>
      <c r="Q42" s="1573" t="str">
        <f t="shared" si="11"/>
        <v>内部装修</v>
      </c>
      <c r="R42" s="1574" t="s">
        <v>8</v>
      </c>
      <c r="S42" s="1575">
        <f t="shared" si="12"/>
        <v>100</v>
      </c>
      <c r="T42" s="1574" t="s">
        <v>8</v>
      </c>
      <c r="U42" s="1575">
        <f t="shared" si="13"/>
        <v>100</v>
      </c>
      <c r="V42" s="1574" t="s">
        <v>8</v>
      </c>
      <c r="W42" s="1575">
        <f t="shared" si="14"/>
        <v>100</v>
      </c>
      <c r="X42" s="1568"/>
      <c r="Y42" s="342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4"/>
      <c r="Q43" s="1573" t="str">
        <f t="shared" si="11"/>
        <v>内部装修维护情况</v>
      </c>
      <c r="R43" s="1574" t="s">
        <v>8</v>
      </c>
      <c r="S43" s="1575">
        <f t="shared" si="12"/>
        <v>100</v>
      </c>
      <c r="T43" s="1574" t="s">
        <v>8</v>
      </c>
      <c r="U43" s="1575">
        <f t="shared" si="13"/>
        <v>100</v>
      </c>
      <c r="V43" s="1574" t="s">
        <v>8</v>
      </c>
      <c r="W43" s="1575">
        <f t="shared" si="14"/>
        <v>100</v>
      </c>
      <c r="X43" s="1568"/>
      <c r="Y43" s="342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4"/>
      <c r="Q44" s="1151">
        <f t="shared" si="11"/>
        <v>111</v>
      </c>
      <c r="R44" s="1569" t="s">
        <v>8</v>
      </c>
      <c r="S44" s="1570">
        <f t="shared" si="12"/>
        <v>100</v>
      </c>
      <c r="T44" s="1569" t="s">
        <v>8</v>
      </c>
      <c r="U44" s="1570">
        <f t="shared" si="13"/>
        <v>100</v>
      </c>
      <c r="V44" s="1569" t="s">
        <v>8</v>
      </c>
      <c r="W44" s="1570">
        <f t="shared" si="14"/>
        <v>100</v>
      </c>
      <c r="X44" s="1571"/>
      <c r="Y44" s="342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4"/>
      <c r="Q45" s="1573">
        <f t="shared" si="11"/>
        <v>111</v>
      </c>
      <c r="R45" s="1574" t="s">
        <v>8</v>
      </c>
      <c r="S45" s="1575">
        <f t="shared" si="12"/>
        <v>100</v>
      </c>
      <c r="T45" s="1574" t="s">
        <v>8</v>
      </c>
      <c r="U45" s="1575">
        <f t="shared" si="13"/>
        <v>100</v>
      </c>
      <c r="V45" s="1574" t="s">
        <v>8</v>
      </c>
      <c r="W45" s="1575">
        <f t="shared" si="14"/>
        <v>100</v>
      </c>
      <c r="X45" s="1568"/>
      <c r="Y45" s="342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9"/>
      <c r="Q46" s="1573">
        <f t="shared" si="11"/>
        <v>111</v>
      </c>
      <c r="R46" s="1574" t="s">
        <v>8</v>
      </c>
      <c r="S46" s="1575">
        <f t="shared" si="12"/>
        <v>100</v>
      </c>
      <c r="T46" s="1574" t="s">
        <v>8</v>
      </c>
      <c r="U46" s="1575">
        <f t="shared" si="13"/>
        <v>100</v>
      </c>
      <c r="V46" s="1574" t="s">
        <v>8</v>
      </c>
      <c r="W46" s="1575">
        <f t="shared" si="14"/>
        <v>100</v>
      </c>
      <c r="X46" s="1568"/>
      <c r="Y46" s="3499"/>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419" t="str">
        <f>A47</f>
        <v>成交单价（元/平方米）</v>
      </c>
      <c r="Q47" s="3419"/>
      <c r="R47" s="3498">
        <f>E47</f>
        <v>0</v>
      </c>
      <c r="S47" s="3498"/>
      <c r="T47" s="3498">
        <f>G47</f>
        <v>0</v>
      </c>
      <c r="U47" s="3498"/>
      <c r="V47" s="3498">
        <f>I47</f>
        <v>0</v>
      </c>
      <c r="W47" s="3498"/>
      <c r="X47" s="1560"/>
      <c r="Y47" s="1582"/>
      <c r="Z47" s="1560"/>
      <c r="AA47" s="1560"/>
      <c r="AB47" s="1560"/>
      <c r="AC47" s="1560"/>
    </row>
    <row r="48" spans="1:29" ht="15.7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419" t="str">
        <f>A48</f>
        <v>比较价格（元/平方米）</v>
      </c>
      <c r="Q48" s="3419"/>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60"/>
      <c r="Y48" s="1560"/>
      <c r="Z48" s="1560"/>
      <c r="AA48" s="1560"/>
      <c r="AB48" s="1560"/>
      <c r="AC48" s="1560"/>
    </row>
    <row r="49" spans="1:29" ht="15.75" thickBot="1">
      <c r="A49" s="621" t="s">
        <v>2933</v>
      </c>
      <c r="B49" s="622"/>
      <c r="C49" s="2662" t="e">
        <f>R49</f>
        <v>#DIV/0!</v>
      </c>
      <c r="D49" s="2662"/>
      <c r="E49" s="2662"/>
      <c r="F49" s="2662"/>
      <c r="G49" s="2662"/>
      <c r="H49" s="2662"/>
      <c r="I49" s="2662"/>
      <c r="J49" s="2662"/>
      <c r="K49" s="1614"/>
      <c r="L49" s="2146"/>
      <c r="M49" s="2147"/>
      <c r="N49" s="2136"/>
      <c r="O49" s="2147"/>
      <c r="P49" s="3440" t="str">
        <f>A49</f>
        <v>估价对象XX用房的比较价格（楼面单价，元/平方米）</v>
      </c>
      <c r="Q49" s="3441"/>
      <c r="R49" s="3497" t="e">
        <f>IF(F1="售价",ROUND(AVERAGE(R48:V48),0),ROUND(AVERAGE(R48:V48),1))</f>
        <v>#DIV/0!</v>
      </c>
      <c r="S49" s="3497"/>
      <c r="T49" s="3497"/>
      <c r="U49" s="3497"/>
      <c r="V49" s="3497"/>
      <c r="W49" s="349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25" t="s">
        <v>522</v>
      </c>
      <c r="D4" s="3426"/>
      <c r="E4" s="3449" t="s">
        <v>523</v>
      </c>
      <c r="F4" s="3450"/>
      <c r="G4" s="3425" t="s">
        <v>524</v>
      </c>
      <c r="H4" s="3426"/>
      <c r="I4" s="3425" t="s">
        <v>525</v>
      </c>
      <c r="J4" s="3426"/>
      <c r="K4" s="514" t="s">
        <v>526</v>
      </c>
      <c r="L4" s="2135"/>
      <c r="M4" s="2136"/>
      <c r="N4" s="2136"/>
      <c r="O4" s="2136"/>
      <c r="P4" s="3523" t="s">
        <v>527</v>
      </c>
      <c r="Q4" s="3428"/>
      <c r="R4" s="3413" t="s">
        <v>523</v>
      </c>
      <c r="S4" s="3414"/>
      <c r="T4" s="3413" t="s">
        <v>524</v>
      </c>
      <c r="U4" s="3414"/>
      <c r="V4" s="3433" t="s">
        <v>525</v>
      </c>
      <c r="W4" s="3433"/>
      <c r="X4" s="1568"/>
      <c r="Y4" s="3413" t="s">
        <v>527</v>
      </c>
      <c r="Z4" s="3414"/>
      <c r="AA4" s="3408" t="s">
        <v>523</v>
      </c>
      <c r="AB4" s="3408" t="s">
        <v>524</v>
      </c>
      <c r="AC4" s="3408" t="s">
        <v>525</v>
      </c>
    </row>
    <row r="5" spans="1:29" ht="15">
      <c r="A5" s="515"/>
      <c r="B5" s="516"/>
      <c r="C5" s="3436" t="s">
        <v>2927</v>
      </c>
      <c r="D5" s="3437"/>
      <c r="E5" s="3451" t="s">
        <v>2928</v>
      </c>
      <c r="F5" s="3452"/>
      <c r="G5" s="3436" t="s">
        <v>2929</v>
      </c>
      <c r="H5" s="3437"/>
      <c r="I5" s="3436" t="s">
        <v>2930</v>
      </c>
      <c r="J5" s="3437"/>
      <c r="K5" s="514"/>
      <c r="L5" s="2135"/>
      <c r="M5" s="2136"/>
      <c r="N5" s="2136"/>
      <c r="O5" s="2136"/>
      <c r="P5" s="3524"/>
      <c r="Q5" s="3430"/>
      <c r="R5" s="3415"/>
      <c r="S5" s="3416"/>
      <c r="T5" s="3415"/>
      <c r="U5" s="3416"/>
      <c r="V5" s="3433"/>
      <c r="W5" s="3433"/>
      <c r="X5" s="1568"/>
      <c r="Y5" s="3415"/>
      <c r="Z5" s="3416"/>
      <c r="AA5" s="3409"/>
      <c r="AB5" s="3409"/>
      <c r="AC5" s="3409"/>
    </row>
    <row r="6" spans="1:29" ht="15.75" thickBot="1">
      <c r="A6" s="517"/>
      <c r="B6" s="518"/>
      <c r="C6" s="3434" t="s">
        <v>2931</v>
      </c>
      <c r="D6" s="3435"/>
      <c r="E6" s="3453" t="s">
        <v>2931</v>
      </c>
      <c r="F6" s="3454"/>
      <c r="G6" s="3434" t="s">
        <v>2931</v>
      </c>
      <c r="H6" s="3435"/>
      <c r="I6" s="3434" t="s">
        <v>2931</v>
      </c>
      <c r="J6" s="3435"/>
      <c r="K6" s="514" t="s">
        <v>528</v>
      </c>
      <c r="L6" s="2135"/>
      <c r="M6" s="2136"/>
      <c r="N6" s="2136"/>
      <c r="O6" s="2136"/>
      <c r="P6" s="3525"/>
      <c r="Q6" s="3432"/>
      <c r="R6" s="3415"/>
      <c r="S6" s="3416"/>
      <c r="T6" s="3417"/>
      <c r="U6" s="3418"/>
      <c r="V6" s="3433"/>
      <c r="W6" s="3433"/>
      <c r="X6" s="1568"/>
      <c r="Y6" s="3417"/>
      <c r="Z6" s="3418"/>
      <c r="AA6" s="3410"/>
      <c r="AB6" s="3410"/>
      <c r="AC6" s="3410"/>
    </row>
    <row r="7" spans="1:29" s="1220" customFormat="1" ht="15.75" thickBot="1">
      <c r="A7" s="2938"/>
      <c r="B7" s="2945" t="s">
        <v>529</v>
      </c>
      <c r="C7" s="519">
        <f>'数据-取费表'!B2</f>
        <v>43248</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20" t="s">
        <v>530</v>
      </c>
      <c r="Q7" s="3420"/>
      <c r="R7" s="1569" t="s">
        <v>8</v>
      </c>
      <c r="S7" s="1570">
        <f t="shared" ref="S7:S15" si="0">F7</f>
        <v>0</v>
      </c>
      <c r="T7" s="1569" t="s">
        <v>8</v>
      </c>
      <c r="U7" s="1570">
        <f t="shared" ref="U7:U15" si="1">H7</f>
        <v>0</v>
      </c>
      <c r="V7" s="1569" t="s">
        <v>8</v>
      </c>
      <c r="W7" s="1570">
        <f t="shared" ref="W7:W15" si="2">J7</f>
        <v>0</v>
      </c>
      <c r="X7" s="1571"/>
      <c r="Y7" s="3411" t="s">
        <v>530</v>
      </c>
      <c r="Z7" s="3412"/>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20" t="s">
        <v>533</v>
      </c>
      <c r="Q8" s="3412"/>
      <c r="R8" s="1569" t="s">
        <v>8</v>
      </c>
      <c r="S8" s="1570">
        <f t="shared" si="0"/>
        <v>0</v>
      </c>
      <c r="T8" s="1569" t="s">
        <v>8</v>
      </c>
      <c r="U8" s="1570">
        <f t="shared" si="1"/>
        <v>0</v>
      </c>
      <c r="V8" s="1569" t="s">
        <v>8</v>
      </c>
      <c r="W8" s="1570">
        <f t="shared" si="2"/>
        <v>0</v>
      </c>
      <c r="X8" s="1571"/>
      <c r="Y8" s="3411" t="s">
        <v>533</v>
      </c>
      <c r="Z8" s="3412"/>
      <c r="AA8" s="1572" t="e">
        <f t="shared" ref="AA8:AA47" si="3">D8/F8</f>
        <v>#DIV/0!</v>
      </c>
      <c r="AB8" s="1572" t="e">
        <f t="shared" ref="AB8:AB47" si="4">D8/H8</f>
        <v>#DIV/0!</v>
      </c>
      <c r="AC8" s="1572" t="e">
        <f t="shared" ref="AC8:AC47" si="5">D8/J8</f>
        <v>#DIV/0!</v>
      </c>
    </row>
    <row r="9" spans="1:29" s="1220" customFormat="1" ht="15">
      <c r="A9" s="2940"/>
      <c r="B9" s="2947"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19" t="s">
        <v>535</v>
      </c>
      <c r="Q9" s="1151" t="str">
        <f t="shared" ref="Q9:Q15" si="6">B9</f>
        <v>用途</v>
      </c>
      <c r="R9" s="1569" t="s">
        <v>8</v>
      </c>
      <c r="S9" s="1570">
        <f t="shared" si="0"/>
        <v>100</v>
      </c>
      <c r="T9" s="1569" t="s">
        <v>8</v>
      </c>
      <c r="U9" s="1570">
        <f t="shared" si="1"/>
        <v>100</v>
      </c>
      <c r="V9" s="1569" t="s">
        <v>8</v>
      </c>
      <c r="W9" s="1570">
        <f t="shared" si="2"/>
        <v>100</v>
      </c>
      <c r="X9" s="1571"/>
      <c r="Y9" s="3376"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19"/>
      <c r="Q10" s="1151" t="str">
        <f t="shared" si="6"/>
        <v>土地使用年限（年）</v>
      </c>
      <c r="R10" s="1569" t="s">
        <v>8</v>
      </c>
      <c r="S10" s="1570">
        <f t="shared" si="0"/>
        <v>100</v>
      </c>
      <c r="T10" s="1569" t="s">
        <v>8</v>
      </c>
      <c r="U10" s="1570">
        <f t="shared" si="1"/>
        <v>100</v>
      </c>
      <c r="V10" s="1569" t="s">
        <v>8</v>
      </c>
      <c r="W10" s="1570">
        <f t="shared" si="2"/>
        <v>100</v>
      </c>
      <c r="X10" s="1571"/>
      <c r="Y10" s="3376"/>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19"/>
      <c r="Q11" s="1151" t="str">
        <f t="shared" si="6"/>
        <v>容积率</v>
      </c>
      <c r="R11" s="1569" t="s">
        <v>8</v>
      </c>
      <c r="S11" s="1570" t="e">
        <f t="shared" si="0"/>
        <v>#N/A</v>
      </c>
      <c r="T11" s="1569" t="s">
        <v>8</v>
      </c>
      <c r="U11" s="1570" t="e">
        <f t="shared" si="1"/>
        <v>#N/A</v>
      </c>
      <c r="V11" s="1569" t="s">
        <v>8</v>
      </c>
      <c r="W11" s="1570" t="e">
        <f t="shared" si="2"/>
        <v>#N/A</v>
      </c>
      <c r="X11" s="1571"/>
      <c r="Y11" s="337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19"/>
      <c r="Q12" s="1151">
        <f t="shared" si="6"/>
        <v>111</v>
      </c>
      <c r="R12" s="1569" t="s">
        <v>8</v>
      </c>
      <c r="S12" s="1570">
        <f t="shared" si="0"/>
        <v>100</v>
      </c>
      <c r="T12" s="1569" t="s">
        <v>8</v>
      </c>
      <c r="U12" s="1570">
        <f t="shared" si="1"/>
        <v>100</v>
      </c>
      <c r="V12" s="1569" t="s">
        <v>8</v>
      </c>
      <c r="W12" s="1570">
        <f t="shared" si="2"/>
        <v>100</v>
      </c>
      <c r="X12" s="1571"/>
      <c r="Y12" s="3376"/>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19"/>
      <c r="Q13" s="1151">
        <f t="shared" si="6"/>
        <v>111</v>
      </c>
      <c r="R13" s="1569" t="s">
        <v>8</v>
      </c>
      <c r="S13" s="1570">
        <f t="shared" si="0"/>
        <v>100</v>
      </c>
      <c r="T13" s="1569" t="s">
        <v>8</v>
      </c>
      <c r="U13" s="1570">
        <f t="shared" si="1"/>
        <v>100</v>
      </c>
      <c r="V13" s="1569" t="s">
        <v>8</v>
      </c>
      <c r="W13" s="1570">
        <f t="shared" si="2"/>
        <v>100</v>
      </c>
      <c r="X13" s="1571"/>
      <c r="Y13" s="3376"/>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19"/>
      <c r="Q14" s="1151">
        <f t="shared" si="6"/>
        <v>111</v>
      </c>
      <c r="R14" s="1569" t="s">
        <v>8</v>
      </c>
      <c r="S14" s="1570">
        <f t="shared" si="0"/>
        <v>100</v>
      </c>
      <c r="T14" s="1569" t="s">
        <v>8</v>
      </c>
      <c r="U14" s="1570">
        <f t="shared" si="1"/>
        <v>100</v>
      </c>
      <c r="V14" s="1569" t="s">
        <v>8</v>
      </c>
      <c r="W14" s="1570">
        <f t="shared" si="2"/>
        <v>100</v>
      </c>
      <c r="X14" s="1571"/>
      <c r="Y14" s="3376"/>
      <c r="Z14" s="1150">
        <f t="shared" si="7"/>
        <v>111</v>
      </c>
      <c r="AA14" s="1572">
        <f t="shared" si="3"/>
        <v>1</v>
      </c>
      <c r="AB14" s="1572">
        <f t="shared" si="4"/>
        <v>1</v>
      </c>
      <c r="AC14" s="1572">
        <f t="shared" si="5"/>
        <v>1</v>
      </c>
    </row>
    <row r="15" spans="1:29" ht="71.25">
      <c r="A15" s="293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1" t="s">
        <v>540</v>
      </c>
      <c r="Q15" s="1573" t="str">
        <f t="shared" si="6"/>
        <v>办公集聚程度</v>
      </c>
      <c r="R15" s="1574" t="s">
        <v>8</v>
      </c>
      <c r="S15" s="1575">
        <f t="shared" si="0"/>
        <v>100</v>
      </c>
      <c r="T15" s="1574" t="s">
        <v>8</v>
      </c>
      <c r="U15" s="1575">
        <f t="shared" si="1"/>
        <v>100</v>
      </c>
      <c r="V15" s="1574" t="s">
        <v>8</v>
      </c>
      <c r="W15" s="1575">
        <f t="shared" si="2"/>
        <v>100</v>
      </c>
      <c r="X15" s="1568"/>
      <c r="Y15" s="342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2"/>
      <c r="Q16" s="1573"/>
      <c r="R16" s="1574"/>
      <c r="S16" s="1575"/>
      <c r="T16" s="1574"/>
      <c r="U16" s="1575"/>
      <c r="V16" s="1574"/>
      <c r="W16" s="1575"/>
      <c r="X16" s="1568"/>
      <c r="Y16" s="3422"/>
      <c r="Z16" s="1576"/>
      <c r="AA16" s="1577">
        <v>1</v>
      </c>
      <c r="AB16" s="1577">
        <v>1</v>
      </c>
      <c r="AC16" s="1577">
        <v>1</v>
      </c>
    </row>
    <row r="17" spans="1:29" ht="142.5">
      <c r="A17" s="532"/>
      <c r="B17" s="560" t="s">
        <v>296</v>
      </c>
      <c r="C17" s="573" t="str">
        <f>估价对象房地状况!C6</f>
        <v>估价对象周边道路状况较好、公共交通通达情况较好、停车便捷程度一般，有65、302、502等多路公交及地铁3、4、8号经过综合评价交通便捷度好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2"/>
      <c r="Q17" s="1573" t="str">
        <f>B17</f>
        <v>交通便捷度</v>
      </c>
      <c r="R17" s="1574" t="s">
        <v>8</v>
      </c>
      <c r="S17" s="1575">
        <f>F17</f>
        <v>100</v>
      </c>
      <c r="T17" s="1574" t="s">
        <v>8</v>
      </c>
      <c r="U17" s="1575">
        <f>H17</f>
        <v>100</v>
      </c>
      <c r="V17" s="1574" t="s">
        <v>8</v>
      </c>
      <c r="W17" s="1575">
        <f>J17</f>
        <v>100</v>
      </c>
      <c r="X17" s="1568"/>
      <c r="Y17" s="342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2"/>
      <c r="Q18" s="1573"/>
      <c r="R18" s="1574"/>
      <c r="S18" s="1575"/>
      <c r="T18" s="1574"/>
      <c r="U18" s="1575"/>
      <c r="V18" s="1574"/>
      <c r="W18" s="1575"/>
      <c r="X18" s="1568"/>
      <c r="Y18" s="3422"/>
      <c r="Z18" s="1576"/>
      <c r="AA18" s="1577">
        <v>1</v>
      </c>
      <c r="AB18" s="1577">
        <v>1</v>
      </c>
      <c r="AC18" s="1577">
        <v>1</v>
      </c>
    </row>
    <row r="19" spans="1:29" ht="42.75">
      <c r="A19" s="532"/>
      <c r="B19" s="2629" t="s">
        <v>2546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2"/>
      <c r="Q19" s="1573" t="str">
        <f>B19</f>
        <v>公共配套设施</v>
      </c>
      <c r="R19" s="1574" t="s">
        <v>8</v>
      </c>
      <c r="S19" s="1575">
        <f>F19</f>
        <v>100</v>
      </c>
      <c r="T19" s="1574" t="s">
        <v>8</v>
      </c>
      <c r="U19" s="1575">
        <f>H19</f>
        <v>100</v>
      </c>
      <c r="V19" s="1574" t="s">
        <v>8</v>
      </c>
      <c r="W19" s="1575">
        <f>J19</f>
        <v>100</v>
      </c>
      <c r="X19" s="1568"/>
      <c r="Y19" s="342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2"/>
      <c r="Q20" s="1573"/>
      <c r="R20" s="1574"/>
      <c r="S20" s="1575"/>
      <c r="T20" s="1574"/>
      <c r="U20" s="1575"/>
      <c r="V20" s="1574"/>
      <c r="W20" s="1575"/>
      <c r="X20" s="1568"/>
      <c r="Y20" s="3422"/>
      <c r="Z20" s="1576"/>
      <c r="AA20" s="1577">
        <v>1</v>
      </c>
      <c r="AB20" s="1577">
        <v>1</v>
      </c>
      <c r="AC20" s="1577">
        <v>1</v>
      </c>
    </row>
    <row r="21" spans="1:29" ht="42.75">
      <c r="A21" s="532"/>
      <c r="B21" s="2617" t="s">
        <v>2558</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2"/>
      <c r="Q21" s="2605" t="str">
        <f>B21</f>
        <v>基础设施水平</v>
      </c>
      <c r="R21" s="1574" t="s">
        <v>8</v>
      </c>
      <c r="S21" s="1575">
        <f>F21</f>
        <v>100</v>
      </c>
      <c r="T21" s="1574" t="s">
        <v>8</v>
      </c>
      <c r="U21" s="1575">
        <f>H21</f>
        <v>100</v>
      </c>
      <c r="V21" s="1574" t="s">
        <v>8</v>
      </c>
      <c r="W21" s="1575">
        <f>J21</f>
        <v>100</v>
      </c>
      <c r="X21" s="2607"/>
      <c r="Y21" s="3422"/>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22"/>
      <c r="Q22" s="2605"/>
      <c r="R22" s="1574"/>
      <c r="S22" s="1575"/>
      <c r="T22" s="1574"/>
      <c r="U22" s="1575"/>
      <c r="V22" s="1574"/>
      <c r="W22" s="1575"/>
      <c r="X22" s="2607"/>
      <c r="Y22" s="3422"/>
      <c r="Z22" s="2606"/>
      <c r="AA22" s="1577">
        <v>1</v>
      </c>
      <c r="AB22" s="1577">
        <v>1</v>
      </c>
      <c r="AC22" s="1577">
        <v>1</v>
      </c>
    </row>
    <row r="23" spans="1:29" ht="114">
      <c r="A23" s="532"/>
      <c r="B23" s="560" t="s">
        <v>778</v>
      </c>
      <c r="C23" s="573" t="str">
        <f>估价对象房地状况!C9</f>
        <v>区域自然环境：四川北路公园、交通公园；人文环境：上海城建职业学院、上海铁路博物馆；综合评价环境状况较好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2"/>
      <c r="Q23" s="1573" t="str">
        <f>B23</f>
        <v>环境质量</v>
      </c>
      <c r="R23" s="1574" t="s">
        <v>8</v>
      </c>
      <c r="S23" s="1575">
        <f>F23</f>
        <v>100</v>
      </c>
      <c r="T23" s="1574" t="s">
        <v>8</v>
      </c>
      <c r="U23" s="1575">
        <f>H23</f>
        <v>100</v>
      </c>
      <c r="V23" s="1574" t="s">
        <v>8</v>
      </c>
      <c r="W23" s="1575">
        <f>J23</f>
        <v>100</v>
      </c>
      <c r="X23" s="1568"/>
      <c r="Y23" s="342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2"/>
      <c r="Q24" s="1573"/>
      <c r="R24" s="1574"/>
      <c r="S24" s="1575"/>
      <c r="T24" s="1574"/>
      <c r="U24" s="1575"/>
      <c r="V24" s="1574"/>
      <c r="W24" s="1575"/>
      <c r="X24" s="1568"/>
      <c r="Y24" s="342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2"/>
      <c r="Q25" s="1573" t="str">
        <f>B25</f>
        <v>毗邻道路的类型与等级</v>
      </c>
      <c r="R25" s="1574" t="s">
        <v>8</v>
      </c>
      <c r="S25" s="1575">
        <f>F25</f>
        <v>100</v>
      </c>
      <c r="T25" s="1574" t="s">
        <v>8</v>
      </c>
      <c r="U25" s="1575">
        <f>H25</f>
        <v>100</v>
      </c>
      <c r="V25" s="1574" t="s">
        <v>8</v>
      </c>
      <c r="W25" s="1575">
        <f>J25</f>
        <v>100</v>
      </c>
      <c r="X25" s="1568"/>
      <c r="Y25" s="342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2"/>
      <c r="Q26" s="1573"/>
      <c r="R26" s="1574"/>
      <c r="S26" s="1575"/>
      <c r="T26" s="1574"/>
      <c r="U26" s="1575"/>
      <c r="V26" s="1574"/>
      <c r="W26" s="1575"/>
      <c r="X26" s="1568"/>
      <c r="Y26" s="342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2"/>
      <c r="Q27" s="1573" t="str">
        <f t="shared" ref="Q27:Q47" si="11">B27</f>
        <v>楼层</v>
      </c>
      <c r="R27" s="1574" t="s">
        <v>8</v>
      </c>
      <c r="S27" s="1575">
        <f>F27</f>
        <v>100</v>
      </c>
      <c r="T27" s="1574" t="s">
        <v>8</v>
      </c>
      <c r="U27" s="1575">
        <f>H27</f>
        <v>100</v>
      </c>
      <c r="V27" s="1574" t="s">
        <v>8</v>
      </c>
      <c r="W27" s="1575">
        <f>J27</f>
        <v>100</v>
      </c>
      <c r="X27" s="1568"/>
      <c r="Y27" s="342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2"/>
      <c r="Q28" s="1151" t="str">
        <f t="shared" si="11"/>
        <v>朝向</v>
      </c>
      <c r="R28" s="1569" t="s">
        <v>8</v>
      </c>
      <c r="S28" s="1570">
        <f>F28</f>
        <v>100</v>
      </c>
      <c r="T28" s="1569" t="s">
        <v>8</v>
      </c>
      <c r="U28" s="1570">
        <f>H28</f>
        <v>100</v>
      </c>
      <c r="V28" s="1569" t="s">
        <v>8</v>
      </c>
      <c r="W28" s="1570">
        <f>J28</f>
        <v>100</v>
      </c>
      <c r="X28" s="1571"/>
      <c r="Y28" s="342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2"/>
      <c r="Q29" s="1573">
        <f t="shared" si="11"/>
        <v>111</v>
      </c>
      <c r="R29" s="1574" t="s">
        <v>8</v>
      </c>
      <c r="S29" s="1575">
        <f t="shared" ref="S29:S47" si="12">F29</f>
        <v>100</v>
      </c>
      <c r="T29" s="1574" t="s">
        <v>8</v>
      </c>
      <c r="U29" s="1575">
        <f t="shared" ref="U29:U47" si="13">H29</f>
        <v>100</v>
      </c>
      <c r="V29" s="1574" t="s">
        <v>8</v>
      </c>
      <c r="W29" s="1575">
        <f t="shared" ref="W29:W47" si="14">J29</f>
        <v>100</v>
      </c>
      <c r="X29" s="1568"/>
      <c r="Y29" s="342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2"/>
      <c r="Q30" s="1573">
        <f t="shared" si="11"/>
        <v>111</v>
      </c>
      <c r="R30" s="1574" t="s">
        <v>8</v>
      </c>
      <c r="S30" s="1575">
        <f t="shared" si="12"/>
        <v>100</v>
      </c>
      <c r="T30" s="1574" t="s">
        <v>8</v>
      </c>
      <c r="U30" s="1575">
        <f t="shared" si="13"/>
        <v>100</v>
      </c>
      <c r="V30" s="1574" t="s">
        <v>8</v>
      </c>
      <c r="W30" s="1575">
        <f t="shared" si="14"/>
        <v>100</v>
      </c>
      <c r="X30" s="1568"/>
      <c r="Y30" s="342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2"/>
      <c r="Q31" s="1573">
        <f t="shared" si="11"/>
        <v>111</v>
      </c>
      <c r="R31" s="1574" t="s">
        <v>8</v>
      </c>
      <c r="S31" s="1575">
        <f t="shared" si="12"/>
        <v>100</v>
      </c>
      <c r="T31" s="1574" t="s">
        <v>8</v>
      </c>
      <c r="U31" s="1575">
        <f t="shared" si="13"/>
        <v>100</v>
      </c>
      <c r="V31" s="1574" t="s">
        <v>8</v>
      </c>
      <c r="W31" s="1575">
        <f t="shared" si="14"/>
        <v>100</v>
      </c>
      <c r="X31" s="1568"/>
      <c r="Y31" s="342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2"/>
      <c r="Q32" s="1573">
        <f t="shared" si="11"/>
        <v>111</v>
      </c>
      <c r="R32" s="1574" t="s">
        <v>8</v>
      </c>
      <c r="S32" s="1575">
        <f t="shared" si="12"/>
        <v>100</v>
      </c>
      <c r="T32" s="1574" t="s">
        <v>8</v>
      </c>
      <c r="U32" s="1575">
        <f t="shared" si="13"/>
        <v>100</v>
      </c>
      <c r="V32" s="1574" t="s">
        <v>8</v>
      </c>
      <c r="W32" s="1575">
        <f t="shared" si="14"/>
        <v>100</v>
      </c>
      <c r="X32" s="1568"/>
      <c r="Y32" s="3422"/>
      <c r="Z32" s="1576">
        <f t="shared" si="15"/>
        <v>111</v>
      </c>
      <c r="AA32" s="1577">
        <f t="shared" si="3"/>
        <v>1</v>
      </c>
      <c r="AB32" s="1577">
        <f t="shared" si="4"/>
        <v>1</v>
      </c>
      <c r="AC32" s="1577">
        <f t="shared" si="5"/>
        <v>1</v>
      </c>
    </row>
    <row r="33" spans="1:29" ht="15">
      <c r="A33" s="293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3" t="s">
        <v>550</v>
      </c>
      <c r="Q33" s="1573" t="str">
        <f t="shared" si="11"/>
        <v>建筑类型</v>
      </c>
      <c r="R33" s="1574" t="s">
        <v>8</v>
      </c>
      <c r="S33" s="1575">
        <f t="shared" si="12"/>
        <v>100</v>
      </c>
      <c r="T33" s="1574" t="s">
        <v>8</v>
      </c>
      <c r="U33" s="1575">
        <f t="shared" si="13"/>
        <v>100</v>
      </c>
      <c r="V33" s="1574" t="s">
        <v>8</v>
      </c>
      <c r="W33" s="1575">
        <f t="shared" si="14"/>
        <v>100</v>
      </c>
      <c r="X33" s="1568"/>
      <c r="Y33" s="342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4"/>
      <c r="Q34" s="1606" t="str">
        <f t="shared" si="11"/>
        <v>项目建筑规模</v>
      </c>
      <c r="R34" s="1578" t="s">
        <v>8</v>
      </c>
      <c r="S34" s="1579" t="e">
        <f t="shared" si="12"/>
        <v>#N/A</v>
      </c>
      <c r="T34" s="1578" t="s">
        <v>8</v>
      </c>
      <c r="U34" s="1579" t="e">
        <f t="shared" si="13"/>
        <v>#N/A</v>
      </c>
      <c r="V34" s="1578" t="s">
        <v>8</v>
      </c>
      <c r="W34" s="1579" t="e">
        <f t="shared" si="14"/>
        <v>#N/A</v>
      </c>
      <c r="X34" s="1580"/>
      <c r="Y34" s="342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4"/>
      <c r="Q35" s="1573" t="str">
        <f t="shared" si="11"/>
        <v>建筑结构</v>
      </c>
      <c r="R35" s="1574" t="s">
        <v>8</v>
      </c>
      <c r="S35" s="1575">
        <f t="shared" si="12"/>
        <v>100</v>
      </c>
      <c r="T35" s="1574" t="s">
        <v>8</v>
      </c>
      <c r="U35" s="1575">
        <f t="shared" si="13"/>
        <v>100</v>
      </c>
      <c r="V35" s="1574" t="s">
        <v>8</v>
      </c>
      <c r="W35" s="1575">
        <f t="shared" si="14"/>
        <v>100</v>
      </c>
      <c r="X35" s="1568"/>
      <c r="Y35" s="342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4"/>
      <c r="Q36" s="1573" t="str">
        <f t="shared" si="11"/>
        <v>公共部分装修</v>
      </c>
      <c r="R36" s="1574" t="s">
        <v>8</v>
      </c>
      <c r="S36" s="1575">
        <f t="shared" si="12"/>
        <v>100</v>
      </c>
      <c r="T36" s="1574" t="s">
        <v>8</v>
      </c>
      <c r="U36" s="1575">
        <f t="shared" si="13"/>
        <v>100</v>
      </c>
      <c r="V36" s="1574" t="s">
        <v>8</v>
      </c>
      <c r="W36" s="1575">
        <f t="shared" si="14"/>
        <v>100</v>
      </c>
      <c r="X36" s="1568"/>
      <c r="Y36" s="342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4"/>
      <c r="Q37" s="1573" t="str">
        <f t="shared" si="11"/>
        <v>成新度</v>
      </c>
      <c r="R37" s="1574" t="s">
        <v>8</v>
      </c>
      <c r="S37" s="1575" t="e">
        <f t="shared" si="12"/>
        <v>#N/A</v>
      </c>
      <c r="T37" s="1574" t="s">
        <v>8</v>
      </c>
      <c r="U37" s="1575" t="e">
        <f t="shared" si="13"/>
        <v>#N/A</v>
      </c>
      <c r="V37" s="1574" t="s">
        <v>8</v>
      </c>
      <c r="W37" s="1575" t="e">
        <f t="shared" si="14"/>
        <v>#N/A</v>
      </c>
      <c r="X37" s="1568"/>
      <c r="Y37" s="342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4"/>
      <c r="Q38" s="1151" t="str">
        <f t="shared" si="11"/>
        <v>写字楼等级</v>
      </c>
      <c r="R38" s="1569" t="s">
        <v>8</v>
      </c>
      <c r="S38" s="1570">
        <f t="shared" si="12"/>
        <v>100</v>
      </c>
      <c r="T38" s="1569" t="s">
        <v>8</v>
      </c>
      <c r="U38" s="1570">
        <f t="shared" si="13"/>
        <v>100</v>
      </c>
      <c r="V38" s="1569" t="s">
        <v>8</v>
      </c>
      <c r="W38" s="1570">
        <f t="shared" si="14"/>
        <v>100</v>
      </c>
      <c r="X38" s="1571"/>
      <c r="Y38" s="342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4" t="s">
        <v>550</v>
      </c>
      <c r="Q39" s="1573" t="str">
        <f t="shared" si="11"/>
        <v>物业管理</v>
      </c>
      <c r="R39" s="1574" t="s">
        <v>8</v>
      </c>
      <c r="S39" s="1575">
        <f t="shared" si="12"/>
        <v>100</v>
      </c>
      <c r="T39" s="1574" t="s">
        <v>8</v>
      </c>
      <c r="U39" s="1575">
        <f t="shared" si="13"/>
        <v>100</v>
      </c>
      <c r="V39" s="1574" t="s">
        <v>8</v>
      </c>
      <c r="W39" s="1575">
        <f t="shared" si="14"/>
        <v>100</v>
      </c>
      <c r="X39" s="1568"/>
      <c r="Y39" s="3424" t="s">
        <v>550</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4"/>
      <c r="Q40" s="1573" t="str">
        <f t="shared" si="11"/>
        <v>市政基础设施</v>
      </c>
      <c r="R40" s="1574" t="s">
        <v>8</v>
      </c>
      <c r="S40" s="1575">
        <f t="shared" si="12"/>
        <v>100</v>
      </c>
      <c r="T40" s="1574" t="s">
        <v>8</v>
      </c>
      <c r="U40" s="1575">
        <f t="shared" si="13"/>
        <v>100</v>
      </c>
      <c r="V40" s="1574" t="s">
        <v>8</v>
      </c>
      <c r="W40" s="1575">
        <f t="shared" si="14"/>
        <v>100</v>
      </c>
      <c r="X40" s="1568"/>
      <c r="Y40" s="342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4"/>
      <c r="Q41" s="1573" t="str">
        <f t="shared" si="11"/>
        <v>层高</v>
      </c>
      <c r="R41" s="1574" t="s">
        <v>8</v>
      </c>
      <c r="S41" s="1575">
        <f t="shared" si="12"/>
        <v>100</v>
      </c>
      <c r="T41" s="1574" t="s">
        <v>8</v>
      </c>
      <c r="U41" s="1575">
        <f t="shared" si="13"/>
        <v>100</v>
      </c>
      <c r="V41" s="1574" t="s">
        <v>8</v>
      </c>
      <c r="W41" s="1575">
        <f t="shared" si="14"/>
        <v>100</v>
      </c>
      <c r="X41" s="1568"/>
      <c r="Y41" s="342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4"/>
      <c r="Q42" s="1606" t="str">
        <f t="shared" si="11"/>
        <v>单套建筑面积</v>
      </c>
      <c r="R42" s="1578" t="s">
        <v>8</v>
      </c>
      <c r="S42" s="1579">
        <f t="shared" si="12"/>
        <v>100</v>
      </c>
      <c r="T42" s="1578" t="s">
        <v>8</v>
      </c>
      <c r="U42" s="1579">
        <f t="shared" si="13"/>
        <v>100</v>
      </c>
      <c r="V42" s="1578" t="s">
        <v>8</v>
      </c>
      <c r="W42" s="1579">
        <f t="shared" si="14"/>
        <v>100</v>
      </c>
      <c r="X42" s="1580"/>
      <c r="Y42" s="342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4"/>
      <c r="Q43" s="1573" t="str">
        <f t="shared" si="11"/>
        <v>内部装修</v>
      </c>
      <c r="R43" s="1574" t="s">
        <v>8</v>
      </c>
      <c r="S43" s="1575">
        <f t="shared" si="12"/>
        <v>100</v>
      </c>
      <c r="T43" s="1574" t="s">
        <v>8</v>
      </c>
      <c r="U43" s="1575">
        <f t="shared" si="13"/>
        <v>100</v>
      </c>
      <c r="V43" s="1574" t="s">
        <v>8</v>
      </c>
      <c r="W43" s="1575">
        <f t="shared" si="14"/>
        <v>100</v>
      </c>
      <c r="X43" s="1568"/>
      <c r="Y43" s="342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4"/>
      <c r="Q44" s="1573" t="str">
        <f t="shared" si="11"/>
        <v>内部装修维护情况</v>
      </c>
      <c r="R44" s="1574" t="s">
        <v>8</v>
      </c>
      <c r="S44" s="1575">
        <f t="shared" si="12"/>
        <v>100</v>
      </c>
      <c r="T44" s="1574" t="s">
        <v>8</v>
      </c>
      <c r="U44" s="1575">
        <f t="shared" si="13"/>
        <v>100</v>
      </c>
      <c r="V44" s="1574" t="s">
        <v>8</v>
      </c>
      <c r="W44" s="1575">
        <f t="shared" si="14"/>
        <v>100</v>
      </c>
      <c r="X44" s="1568"/>
      <c r="Y44" s="342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4"/>
      <c r="Q45" s="1151">
        <f t="shared" si="11"/>
        <v>111</v>
      </c>
      <c r="R45" s="1569" t="s">
        <v>8</v>
      </c>
      <c r="S45" s="1570">
        <f t="shared" si="12"/>
        <v>100</v>
      </c>
      <c r="T45" s="1569" t="s">
        <v>8</v>
      </c>
      <c r="U45" s="1570">
        <f t="shared" si="13"/>
        <v>100</v>
      </c>
      <c r="V45" s="1569" t="s">
        <v>8</v>
      </c>
      <c r="W45" s="1570">
        <f t="shared" si="14"/>
        <v>100</v>
      </c>
      <c r="X45" s="1571"/>
      <c r="Y45" s="342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4"/>
      <c r="Q46" s="1573">
        <f t="shared" si="11"/>
        <v>111</v>
      </c>
      <c r="R46" s="1574" t="s">
        <v>8</v>
      </c>
      <c r="S46" s="1575">
        <f t="shared" si="12"/>
        <v>100</v>
      </c>
      <c r="T46" s="1574" t="s">
        <v>8</v>
      </c>
      <c r="U46" s="1575">
        <f t="shared" si="13"/>
        <v>100</v>
      </c>
      <c r="V46" s="1574" t="s">
        <v>8</v>
      </c>
      <c r="W46" s="1575">
        <f t="shared" si="14"/>
        <v>100</v>
      </c>
      <c r="X46" s="1568"/>
      <c r="Y46" s="342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9"/>
      <c r="Q47" s="1573">
        <f t="shared" si="11"/>
        <v>111</v>
      </c>
      <c r="R47" s="1574" t="s">
        <v>8</v>
      </c>
      <c r="S47" s="1575">
        <f t="shared" si="12"/>
        <v>100</v>
      </c>
      <c r="T47" s="1574" t="s">
        <v>8</v>
      </c>
      <c r="U47" s="1575">
        <f t="shared" si="13"/>
        <v>100</v>
      </c>
      <c r="V47" s="1574" t="s">
        <v>8</v>
      </c>
      <c r="W47" s="1575">
        <f t="shared" si="14"/>
        <v>100</v>
      </c>
      <c r="X47" s="1568"/>
      <c r="Y47" s="3499"/>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441" t="str">
        <f>A48</f>
        <v>成交单价（元/平方米）</v>
      </c>
      <c r="Q48" s="3419"/>
      <c r="R48" s="3498">
        <f>E48</f>
        <v>0</v>
      </c>
      <c r="S48" s="3498"/>
      <c r="T48" s="3498">
        <f>G48</f>
        <v>0</v>
      </c>
      <c r="U48" s="3498"/>
      <c r="V48" s="3498">
        <f>I48</f>
        <v>0</v>
      </c>
      <c r="W48" s="3498"/>
      <c r="X48" s="1560"/>
      <c r="Y48" s="1582"/>
      <c r="Z48" s="1560"/>
      <c r="AA48" s="1560"/>
      <c r="AB48" s="1560"/>
      <c r="AC48" s="1560"/>
    </row>
    <row r="49" spans="1:29" ht="15.7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441" t="str">
        <f>A49</f>
        <v>比较价格（元/平方米）</v>
      </c>
      <c r="Q49" s="3419"/>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60"/>
      <c r="Y49" s="1560"/>
      <c r="Z49" s="1560"/>
      <c r="AA49" s="1560"/>
      <c r="AB49" s="1560"/>
      <c r="AC49" s="1560"/>
    </row>
    <row r="50" spans="1:29" ht="15.75" thickBot="1">
      <c r="A50" s="621" t="s">
        <v>2933</v>
      </c>
      <c r="B50" s="622"/>
      <c r="C50" s="2662" t="e">
        <f>R50</f>
        <v>#DIV/0!</v>
      </c>
      <c r="D50" s="2662"/>
      <c r="E50" s="2662"/>
      <c r="F50" s="2662"/>
      <c r="G50" s="2662"/>
      <c r="H50" s="2662"/>
      <c r="I50" s="2662"/>
      <c r="J50" s="2662"/>
      <c r="K50" s="1614"/>
      <c r="L50" s="2146"/>
      <c r="M50" s="2136"/>
      <c r="N50" s="2136"/>
      <c r="O50" s="2136"/>
      <c r="P50" s="3526" t="str">
        <f>A50</f>
        <v>估价对象XX用房的比较价格（楼面单价，元/平方米）</v>
      </c>
      <c r="Q50" s="3441"/>
      <c r="R50" s="3497" t="e">
        <f>IF(F1="售价",ROUND(AVERAGE(R49:V49),0),ROUND(AVERAGE(R49:V49),1))</f>
        <v>#DIV/0!</v>
      </c>
      <c r="S50" s="3497"/>
      <c r="T50" s="3497"/>
      <c r="U50" s="3497"/>
      <c r="V50" s="3497"/>
      <c r="W50" s="349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25" t="s">
        <v>522</v>
      </c>
      <c r="D4" s="3426"/>
      <c r="E4" s="3449" t="s">
        <v>523</v>
      </c>
      <c r="F4" s="3450"/>
      <c r="G4" s="3425" t="s">
        <v>524</v>
      </c>
      <c r="H4" s="3426"/>
      <c r="I4" s="3425" t="s">
        <v>525</v>
      </c>
      <c r="J4" s="3426"/>
      <c r="K4" s="514" t="s">
        <v>526</v>
      </c>
      <c r="L4" s="2135"/>
      <c r="M4" s="2136"/>
      <c r="N4" s="2136"/>
      <c r="O4" s="2136"/>
      <c r="P4" s="3427" t="s">
        <v>527</v>
      </c>
      <c r="Q4" s="3428"/>
      <c r="R4" s="3413" t="s">
        <v>523</v>
      </c>
      <c r="S4" s="3414"/>
      <c r="T4" s="3413" t="s">
        <v>524</v>
      </c>
      <c r="U4" s="3414"/>
      <c r="V4" s="3433" t="s">
        <v>525</v>
      </c>
      <c r="W4" s="3433"/>
      <c r="X4" s="1568"/>
      <c r="Y4" s="3413" t="s">
        <v>527</v>
      </c>
      <c r="Z4" s="3414"/>
      <c r="AA4" s="3408" t="s">
        <v>523</v>
      </c>
      <c r="AB4" s="3409" t="s">
        <v>524</v>
      </c>
      <c r="AC4" s="3408" t="s">
        <v>525</v>
      </c>
    </row>
    <row r="5" spans="1:29" ht="15">
      <c r="A5" s="515"/>
      <c r="B5" s="516"/>
      <c r="C5" s="3436" t="s">
        <v>2927</v>
      </c>
      <c r="D5" s="3437"/>
      <c r="E5" s="3451" t="s">
        <v>2928</v>
      </c>
      <c r="F5" s="3452"/>
      <c r="G5" s="3436" t="s">
        <v>2929</v>
      </c>
      <c r="H5" s="3437"/>
      <c r="I5" s="3436" t="s">
        <v>2930</v>
      </c>
      <c r="J5" s="3437"/>
      <c r="K5" s="514"/>
      <c r="L5" s="2135"/>
      <c r="M5" s="2136"/>
      <c r="N5" s="2136"/>
      <c r="O5" s="2136"/>
      <c r="P5" s="3429"/>
      <c r="Q5" s="3430"/>
      <c r="R5" s="3415"/>
      <c r="S5" s="3416"/>
      <c r="T5" s="3415"/>
      <c r="U5" s="3416"/>
      <c r="V5" s="3433"/>
      <c r="W5" s="3433"/>
      <c r="X5" s="1568"/>
      <c r="Y5" s="3415"/>
      <c r="Z5" s="3416"/>
      <c r="AA5" s="3409"/>
      <c r="AB5" s="3409"/>
      <c r="AC5" s="3409"/>
    </row>
    <row r="6" spans="1:29" ht="15.75" thickBot="1">
      <c r="A6" s="517"/>
      <c r="B6" s="518"/>
      <c r="C6" s="3434" t="s">
        <v>2931</v>
      </c>
      <c r="D6" s="3435"/>
      <c r="E6" s="3453" t="s">
        <v>2931</v>
      </c>
      <c r="F6" s="3454"/>
      <c r="G6" s="3434" t="s">
        <v>2931</v>
      </c>
      <c r="H6" s="3435"/>
      <c r="I6" s="3434" t="s">
        <v>2931</v>
      </c>
      <c r="J6" s="3435"/>
      <c r="K6" s="514" t="s">
        <v>528</v>
      </c>
      <c r="L6" s="2135"/>
      <c r="M6" s="2136"/>
      <c r="N6" s="2136"/>
      <c r="O6" s="2136"/>
      <c r="P6" s="3431"/>
      <c r="Q6" s="3432"/>
      <c r="R6" s="3415"/>
      <c r="S6" s="3416"/>
      <c r="T6" s="3417"/>
      <c r="U6" s="3418"/>
      <c r="V6" s="3433"/>
      <c r="W6" s="3433"/>
      <c r="X6" s="1568"/>
      <c r="Y6" s="3417"/>
      <c r="Z6" s="3418"/>
      <c r="AA6" s="3410"/>
      <c r="AB6" s="3410"/>
      <c r="AC6" s="3410"/>
    </row>
    <row r="7" spans="1:29" s="1220" customFormat="1" ht="15.75" thickBot="1">
      <c r="A7" s="2938"/>
      <c r="B7" s="2945" t="s">
        <v>529</v>
      </c>
      <c r="C7" s="519">
        <f>'数据-取费表'!B2</f>
        <v>43248</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1" t="s">
        <v>530</v>
      </c>
      <c r="Q7" s="3420"/>
      <c r="R7" s="1569" t="s">
        <v>8</v>
      </c>
      <c r="S7" s="1570">
        <f t="shared" ref="S7:S15" si="0">F7</f>
        <v>0</v>
      </c>
      <c r="T7" s="1569" t="s">
        <v>8</v>
      </c>
      <c r="U7" s="1570">
        <f t="shared" ref="U7:U15" si="1">H7</f>
        <v>0</v>
      </c>
      <c r="V7" s="1569" t="s">
        <v>8</v>
      </c>
      <c r="W7" s="1570">
        <f t="shared" ref="W7:W15" si="2">J7</f>
        <v>0</v>
      </c>
      <c r="X7" s="1571"/>
      <c r="Y7" s="3411" t="s">
        <v>530</v>
      </c>
      <c r="Z7" s="3412"/>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1" t="s">
        <v>533</v>
      </c>
      <c r="Q8" s="3412"/>
      <c r="R8" s="1569" t="s">
        <v>8</v>
      </c>
      <c r="S8" s="1570">
        <f t="shared" si="0"/>
        <v>0</v>
      </c>
      <c r="T8" s="1569" t="s">
        <v>8</v>
      </c>
      <c r="U8" s="1570">
        <f t="shared" si="1"/>
        <v>0</v>
      </c>
      <c r="V8" s="1569" t="s">
        <v>8</v>
      </c>
      <c r="W8" s="1570">
        <f t="shared" si="2"/>
        <v>0</v>
      </c>
      <c r="X8" s="1571"/>
      <c r="Y8" s="3411" t="s">
        <v>533</v>
      </c>
      <c r="Z8" s="3412"/>
      <c r="AA8" s="1572" t="e">
        <f t="shared" ref="AA8:AA40" si="3">D8/F8</f>
        <v>#DIV/0!</v>
      </c>
      <c r="AB8" s="1572" t="e">
        <f t="shared" ref="AB8:AB40" si="4">D8/H8</f>
        <v>#DIV/0!</v>
      </c>
      <c r="AC8" s="1572" t="e">
        <f t="shared" ref="AC8:AC40" si="5">D8/J8</f>
        <v>#DIV/0!</v>
      </c>
    </row>
    <row r="9" spans="1:29" s="1220" customFormat="1" ht="15">
      <c r="A9" s="2940"/>
      <c r="B9" s="2947"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19" t="s">
        <v>535</v>
      </c>
      <c r="Q9" s="1151" t="str">
        <f t="shared" ref="Q9:Q15" si="6">B9</f>
        <v>用途</v>
      </c>
      <c r="R9" s="1569" t="s">
        <v>8</v>
      </c>
      <c r="S9" s="1570">
        <f t="shared" si="0"/>
        <v>100</v>
      </c>
      <c r="T9" s="1569" t="s">
        <v>8</v>
      </c>
      <c r="U9" s="1570">
        <f t="shared" si="1"/>
        <v>100</v>
      </c>
      <c r="V9" s="1569" t="s">
        <v>8</v>
      </c>
      <c r="W9" s="1570">
        <f t="shared" si="2"/>
        <v>100</v>
      </c>
      <c r="X9" s="1571"/>
      <c r="Y9" s="3376"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19"/>
      <c r="Q10" s="1151" t="str">
        <f t="shared" si="6"/>
        <v>土地使用年限（年）</v>
      </c>
      <c r="R10" s="1569" t="s">
        <v>8</v>
      </c>
      <c r="S10" s="1570">
        <f t="shared" si="0"/>
        <v>100</v>
      </c>
      <c r="T10" s="1569" t="s">
        <v>8</v>
      </c>
      <c r="U10" s="1570">
        <f t="shared" si="1"/>
        <v>100</v>
      </c>
      <c r="V10" s="1569" t="s">
        <v>8</v>
      </c>
      <c r="W10" s="1570">
        <f t="shared" si="2"/>
        <v>100</v>
      </c>
      <c r="X10" s="1571"/>
      <c r="Y10" s="3376"/>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19"/>
      <c r="Q11" s="1151" t="str">
        <f t="shared" si="6"/>
        <v>容积率</v>
      </c>
      <c r="R11" s="1569" t="s">
        <v>8</v>
      </c>
      <c r="S11" s="1570" t="e">
        <f t="shared" si="0"/>
        <v>#N/A</v>
      </c>
      <c r="T11" s="1569" t="s">
        <v>8</v>
      </c>
      <c r="U11" s="1570" t="e">
        <f t="shared" si="1"/>
        <v>#N/A</v>
      </c>
      <c r="V11" s="1569" t="s">
        <v>8</v>
      </c>
      <c r="W11" s="1570" t="e">
        <f t="shared" si="2"/>
        <v>#N/A</v>
      </c>
      <c r="X11" s="1571"/>
      <c r="Y11" s="337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19"/>
      <c r="Q12" s="1151">
        <f t="shared" si="6"/>
        <v>111</v>
      </c>
      <c r="R12" s="1569" t="s">
        <v>8</v>
      </c>
      <c r="S12" s="1570">
        <f t="shared" si="0"/>
        <v>100</v>
      </c>
      <c r="T12" s="1569" t="s">
        <v>8</v>
      </c>
      <c r="U12" s="1570">
        <f t="shared" si="1"/>
        <v>100</v>
      </c>
      <c r="V12" s="1569" t="s">
        <v>8</v>
      </c>
      <c r="W12" s="1570">
        <f t="shared" si="2"/>
        <v>100</v>
      </c>
      <c r="X12" s="1571"/>
      <c r="Y12" s="3376"/>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19"/>
      <c r="Q13" s="1151">
        <f t="shared" si="6"/>
        <v>111</v>
      </c>
      <c r="R13" s="1569" t="s">
        <v>8</v>
      </c>
      <c r="S13" s="1570">
        <f t="shared" si="0"/>
        <v>100</v>
      </c>
      <c r="T13" s="1569" t="s">
        <v>8</v>
      </c>
      <c r="U13" s="1570">
        <f t="shared" si="1"/>
        <v>100</v>
      </c>
      <c r="V13" s="1569" t="s">
        <v>8</v>
      </c>
      <c r="W13" s="1570">
        <f t="shared" si="2"/>
        <v>100</v>
      </c>
      <c r="X13" s="1571"/>
      <c r="Y13" s="3376"/>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19"/>
      <c r="Q14" s="1151">
        <f t="shared" si="6"/>
        <v>111</v>
      </c>
      <c r="R14" s="1569" t="s">
        <v>8</v>
      </c>
      <c r="S14" s="1570">
        <f t="shared" si="0"/>
        <v>100</v>
      </c>
      <c r="T14" s="1569" t="s">
        <v>8</v>
      </c>
      <c r="U14" s="1570">
        <f t="shared" si="1"/>
        <v>100</v>
      </c>
      <c r="V14" s="1569" t="s">
        <v>8</v>
      </c>
      <c r="W14" s="1570">
        <f t="shared" si="2"/>
        <v>100</v>
      </c>
      <c r="X14" s="1571"/>
      <c r="Y14" s="3376"/>
      <c r="Z14" s="1150">
        <f t="shared" si="7"/>
        <v>111</v>
      </c>
      <c r="AA14" s="1572">
        <f t="shared" si="3"/>
        <v>1</v>
      </c>
      <c r="AB14" s="1572">
        <f t="shared" si="4"/>
        <v>1</v>
      </c>
      <c r="AC14" s="1572">
        <f t="shared" si="5"/>
        <v>1</v>
      </c>
    </row>
    <row r="15" spans="1:29" ht="57">
      <c r="A15" s="293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1" t="s">
        <v>540</v>
      </c>
      <c r="Q15" s="1573" t="str">
        <f t="shared" si="6"/>
        <v>产业集聚程度</v>
      </c>
      <c r="R15" s="1574" t="s">
        <v>8</v>
      </c>
      <c r="S15" s="1575">
        <f t="shared" si="0"/>
        <v>100</v>
      </c>
      <c r="T15" s="1574" t="s">
        <v>8</v>
      </c>
      <c r="U15" s="1575">
        <f t="shared" si="1"/>
        <v>100</v>
      </c>
      <c r="V15" s="1574" t="s">
        <v>8</v>
      </c>
      <c r="W15" s="1575">
        <f t="shared" si="2"/>
        <v>100</v>
      </c>
      <c r="X15" s="1568"/>
      <c r="Y15" s="342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2"/>
      <c r="Q16" s="1573"/>
      <c r="R16" s="1574"/>
      <c r="S16" s="1575"/>
      <c r="T16" s="1574"/>
      <c r="U16" s="1575"/>
      <c r="V16" s="1574"/>
      <c r="W16" s="1575"/>
      <c r="X16" s="1568"/>
      <c r="Y16" s="342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2"/>
      <c r="Q17" s="1573" t="str">
        <f>B17</f>
        <v>交通便捷度</v>
      </c>
      <c r="R17" s="1574" t="s">
        <v>8</v>
      </c>
      <c r="S17" s="1575">
        <f>F17</f>
        <v>100</v>
      </c>
      <c r="T17" s="1574" t="s">
        <v>8</v>
      </c>
      <c r="U17" s="1575">
        <f>H17</f>
        <v>100</v>
      </c>
      <c r="V17" s="1574" t="s">
        <v>8</v>
      </c>
      <c r="W17" s="1575">
        <f>J17</f>
        <v>100</v>
      </c>
      <c r="X17" s="1568"/>
      <c r="Y17" s="342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2"/>
      <c r="Q18" s="1573"/>
      <c r="R18" s="1574"/>
      <c r="S18" s="1575"/>
      <c r="T18" s="1574"/>
      <c r="U18" s="1575"/>
      <c r="V18" s="1574"/>
      <c r="W18" s="1575"/>
      <c r="X18" s="1568"/>
      <c r="Y18" s="3422"/>
      <c r="Z18" s="1576"/>
      <c r="AA18" s="1577">
        <v>1</v>
      </c>
      <c r="AB18" s="1577">
        <v>1</v>
      </c>
      <c r="AC18" s="1577">
        <v>1</v>
      </c>
    </row>
    <row r="19" spans="1:29" ht="42.75">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2"/>
      <c r="Q19" s="1573" t="str">
        <f>B19</f>
        <v>公共配套设施</v>
      </c>
      <c r="R19" s="1574" t="s">
        <v>8</v>
      </c>
      <c r="S19" s="1575">
        <f>F19</f>
        <v>100</v>
      </c>
      <c r="T19" s="1574" t="s">
        <v>8</v>
      </c>
      <c r="U19" s="1575">
        <f>H19</f>
        <v>100</v>
      </c>
      <c r="V19" s="1574" t="s">
        <v>8</v>
      </c>
      <c r="W19" s="1575">
        <f>J19</f>
        <v>100</v>
      </c>
      <c r="X19" s="1568"/>
      <c r="Y19" s="342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2"/>
      <c r="Q20" s="1573"/>
      <c r="R20" s="1574"/>
      <c r="S20" s="1575"/>
      <c r="T20" s="1574"/>
      <c r="U20" s="1575"/>
      <c r="V20" s="1574"/>
      <c r="W20" s="1575"/>
      <c r="X20" s="1568"/>
      <c r="Y20" s="3422"/>
      <c r="Z20" s="1576"/>
      <c r="AA20" s="1577">
        <v>1</v>
      </c>
      <c r="AB20" s="1577">
        <v>1</v>
      </c>
      <c r="AC20" s="1577">
        <v>1</v>
      </c>
    </row>
    <row r="21" spans="1:29" ht="28.5">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2"/>
      <c r="Q21" s="2605" t="str">
        <f>B21</f>
        <v>基础设施水平</v>
      </c>
      <c r="R21" s="1574" t="s">
        <v>8</v>
      </c>
      <c r="S21" s="1575">
        <f>F21</f>
        <v>100</v>
      </c>
      <c r="T21" s="1574" t="s">
        <v>8</v>
      </c>
      <c r="U21" s="1575">
        <f>H21</f>
        <v>100</v>
      </c>
      <c r="V21" s="1574" t="s">
        <v>8</v>
      </c>
      <c r="W21" s="1575">
        <f>J21</f>
        <v>100</v>
      </c>
      <c r="X21" s="2607"/>
      <c r="Y21" s="3422"/>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22"/>
      <c r="Q22" s="2605"/>
      <c r="R22" s="1574"/>
      <c r="S22" s="1575"/>
      <c r="T22" s="1574"/>
      <c r="U22" s="1575"/>
      <c r="V22" s="1574"/>
      <c r="W22" s="1575"/>
      <c r="X22" s="2607"/>
      <c r="Y22" s="3422"/>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2"/>
      <c r="Q23" s="1573" t="str">
        <f>B23</f>
        <v>环境质量</v>
      </c>
      <c r="R23" s="1574" t="s">
        <v>8</v>
      </c>
      <c r="S23" s="1575">
        <f>F23</f>
        <v>100</v>
      </c>
      <c r="T23" s="1574" t="s">
        <v>8</v>
      </c>
      <c r="U23" s="1575">
        <f>H23</f>
        <v>100</v>
      </c>
      <c r="V23" s="1574" t="s">
        <v>8</v>
      </c>
      <c r="W23" s="1575">
        <f>J23</f>
        <v>100</v>
      </c>
      <c r="X23" s="1568"/>
      <c r="Y23" s="342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2"/>
      <c r="Q24" s="1573"/>
      <c r="R24" s="1574"/>
      <c r="S24" s="1575"/>
      <c r="T24" s="1574"/>
      <c r="U24" s="1575"/>
      <c r="V24" s="1574"/>
      <c r="W24" s="1575"/>
      <c r="X24" s="1568"/>
      <c r="Y24" s="342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2"/>
      <c r="Q25" s="1573">
        <f>B25</f>
        <v>111</v>
      </c>
      <c r="R25" s="1574" t="s">
        <v>8</v>
      </c>
      <c r="S25" s="1575">
        <f>F25</f>
        <v>100</v>
      </c>
      <c r="T25" s="1574" t="s">
        <v>8</v>
      </c>
      <c r="U25" s="1575">
        <f>H25</f>
        <v>100</v>
      </c>
      <c r="V25" s="1574" t="s">
        <v>8</v>
      </c>
      <c r="W25" s="1575">
        <f>J25</f>
        <v>100</v>
      </c>
      <c r="X25" s="1568"/>
      <c r="Y25" s="342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2"/>
      <c r="Q26" s="1573">
        <f t="shared" ref="Q26:Q40" si="11">B26</f>
        <v>111</v>
      </c>
      <c r="R26" s="1574" t="s">
        <v>8</v>
      </c>
      <c r="S26" s="1575">
        <f>F26</f>
        <v>100</v>
      </c>
      <c r="T26" s="1574" t="s">
        <v>8</v>
      </c>
      <c r="U26" s="1575">
        <f>H26</f>
        <v>100</v>
      </c>
      <c r="V26" s="1574" t="s">
        <v>8</v>
      </c>
      <c r="W26" s="1575">
        <f>J26</f>
        <v>100</v>
      </c>
      <c r="X26" s="1568"/>
      <c r="Y26" s="342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2"/>
      <c r="Q27" s="1151">
        <f t="shared" si="11"/>
        <v>111</v>
      </c>
      <c r="R27" s="1569" t="s">
        <v>8</v>
      </c>
      <c r="S27" s="1570">
        <f>F27</f>
        <v>100</v>
      </c>
      <c r="T27" s="1569" t="s">
        <v>8</v>
      </c>
      <c r="U27" s="1570">
        <f>H27</f>
        <v>100</v>
      </c>
      <c r="V27" s="1569" t="s">
        <v>8</v>
      </c>
      <c r="W27" s="1570">
        <f>J27</f>
        <v>100</v>
      </c>
      <c r="X27" s="1571"/>
      <c r="Y27" s="342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2"/>
      <c r="Q28" s="1573">
        <f t="shared" si="11"/>
        <v>111</v>
      </c>
      <c r="R28" s="1574" t="s">
        <v>8</v>
      </c>
      <c r="S28" s="1575">
        <f t="shared" ref="S28:S40" si="12">F28</f>
        <v>100</v>
      </c>
      <c r="T28" s="1574" t="s">
        <v>8</v>
      </c>
      <c r="U28" s="1575">
        <f t="shared" ref="U28:U40" si="13">H28</f>
        <v>100</v>
      </c>
      <c r="V28" s="1574" t="s">
        <v>8</v>
      </c>
      <c r="W28" s="1575">
        <f t="shared" ref="W28:W40" si="14">J28</f>
        <v>100</v>
      </c>
      <c r="X28" s="1568"/>
      <c r="Y28" s="3422"/>
      <c r="Z28" s="1576">
        <f t="shared" ref="Z28:Z40" si="15">Q28</f>
        <v>111</v>
      </c>
      <c r="AA28" s="1577">
        <f t="shared" si="3"/>
        <v>1</v>
      </c>
      <c r="AB28" s="1577">
        <f t="shared" si="4"/>
        <v>1</v>
      </c>
      <c r="AC28" s="1577">
        <f t="shared" si="5"/>
        <v>1</v>
      </c>
    </row>
    <row r="29" spans="1:29" ht="15">
      <c r="A29" s="293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3" t="s">
        <v>550</v>
      </c>
      <c r="Q29" s="1573" t="str">
        <f t="shared" si="11"/>
        <v>建筑类型</v>
      </c>
      <c r="R29" s="1574" t="s">
        <v>8</v>
      </c>
      <c r="S29" s="1575">
        <f t="shared" si="12"/>
        <v>100</v>
      </c>
      <c r="T29" s="1574" t="s">
        <v>8</v>
      </c>
      <c r="U29" s="1575">
        <f t="shared" si="13"/>
        <v>100</v>
      </c>
      <c r="V29" s="1574" t="s">
        <v>8</v>
      </c>
      <c r="W29" s="1575">
        <f t="shared" si="14"/>
        <v>100</v>
      </c>
      <c r="X29" s="1568"/>
      <c r="Y29" s="342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4"/>
      <c r="Q30" s="1606" t="str">
        <f t="shared" si="11"/>
        <v>项目建筑规模</v>
      </c>
      <c r="R30" s="1578" t="s">
        <v>8</v>
      </c>
      <c r="S30" s="1579" t="e">
        <f t="shared" si="12"/>
        <v>#N/A</v>
      </c>
      <c r="T30" s="1578" t="s">
        <v>8</v>
      </c>
      <c r="U30" s="1579" t="e">
        <f t="shared" si="13"/>
        <v>#N/A</v>
      </c>
      <c r="V30" s="1578" t="s">
        <v>8</v>
      </c>
      <c r="W30" s="1579" t="e">
        <f t="shared" si="14"/>
        <v>#N/A</v>
      </c>
      <c r="X30" s="1580"/>
      <c r="Y30" s="342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4"/>
      <c r="Q31" s="1573" t="str">
        <f t="shared" si="11"/>
        <v>建筑结构</v>
      </c>
      <c r="R31" s="1574" t="s">
        <v>8</v>
      </c>
      <c r="S31" s="1575">
        <f t="shared" si="12"/>
        <v>100</v>
      </c>
      <c r="T31" s="1574" t="s">
        <v>8</v>
      </c>
      <c r="U31" s="1575">
        <f t="shared" si="13"/>
        <v>100</v>
      </c>
      <c r="V31" s="1574" t="s">
        <v>8</v>
      </c>
      <c r="W31" s="1575">
        <f t="shared" si="14"/>
        <v>100</v>
      </c>
      <c r="X31" s="1568"/>
      <c r="Y31" s="342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4"/>
      <c r="Q32" s="1573" t="str">
        <f t="shared" si="11"/>
        <v>公共部分装修</v>
      </c>
      <c r="R32" s="1574" t="s">
        <v>8</v>
      </c>
      <c r="S32" s="1575">
        <f t="shared" si="12"/>
        <v>100</v>
      </c>
      <c r="T32" s="1574" t="s">
        <v>8</v>
      </c>
      <c r="U32" s="1575">
        <f t="shared" si="13"/>
        <v>100</v>
      </c>
      <c r="V32" s="1574" t="s">
        <v>8</v>
      </c>
      <c r="W32" s="1575">
        <f t="shared" si="14"/>
        <v>100</v>
      </c>
      <c r="X32" s="1568"/>
      <c r="Y32" s="342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4"/>
      <c r="Q33" s="1573" t="str">
        <f t="shared" si="11"/>
        <v>成新度</v>
      </c>
      <c r="R33" s="1574" t="s">
        <v>8</v>
      </c>
      <c r="S33" s="1575" t="e">
        <f t="shared" si="12"/>
        <v>#N/A</v>
      </c>
      <c r="T33" s="1574" t="s">
        <v>8</v>
      </c>
      <c r="U33" s="1575" t="e">
        <f t="shared" si="13"/>
        <v>#N/A</v>
      </c>
      <c r="V33" s="1574" t="s">
        <v>8</v>
      </c>
      <c r="W33" s="1575" t="e">
        <f t="shared" si="14"/>
        <v>#N/A</v>
      </c>
      <c r="X33" s="1568"/>
      <c r="Y33" s="342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4"/>
      <c r="Q34" s="1151" t="str">
        <f t="shared" si="11"/>
        <v>物业管理</v>
      </c>
      <c r="R34" s="1569" t="s">
        <v>8</v>
      </c>
      <c r="S34" s="1570">
        <f t="shared" si="12"/>
        <v>100</v>
      </c>
      <c r="T34" s="1569" t="s">
        <v>8</v>
      </c>
      <c r="U34" s="1570">
        <f t="shared" si="13"/>
        <v>100</v>
      </c>
      <c r="V34" s="1569" t="s">
        <v>8</v>
      </c>
      <c r="W34" s="1570">
        <f t="shared" si="14"/>
        <v>100</v>
      </c>
      <c r="X34" s="1571"/>
      <c r="Y34" s="3424"/>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4" t="s">
        <v>550</v>
      </c>
      <c r="Q35" s="1573" t="str">
        <f t="shared" si="11"/>
        <v>市政基础设施</v>
      </c>
      <c r="R35" s="1574" t="s">
        <v>8</v>
      </c>
      <c r="S35" s="1575">
        <f t="shared" si="12"/>
        <v>100</v>
      </c>
      <c r="T35" s="1574" t="s">
        <v>8</v>
      </c>
      <c r="U35" s="1575">
        <f t="shared" si="13"/>
        <v>100</v>
      </c>
      <c r="V35" s="1574" t="s">
        <v>8</v>
      </c>
      <c r="W35" s="1575">
        <f t="shared" si="14"/>
        <v>100</v>
      </c>
      <c r="X35" s="1568"/>
      <c r="Y35" s="342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4"/>
      <c r="Q36" s="1573" t="str">
        <f t="shared" si="11"/>
        <v>内部装修</v>
      </c>
      <c r="R36" s="1574" t="s">
        <v>8</v>
      </c>
      <c r="S36" s="1575">
        <f t="shared" si="12"/>
        <v>100</v>
      </c>
      <c r="T36" s="1574" t="s">
        <v>8</v>
      </c>
      <c r="U36" s="1575">
        <f t="shared" si="13"/>
        <v>100</v>
      </c>
      <c r="V36" s="1574" t="s">
        <v>8</v>
      </c>
      <c r="W36" s="1575">
        <f t="shared" si="14"/>
        <v>100</v>
      </c>
      <c r="X36" s="1568"/>
      <c r="Y36" s="342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4"/>
      <c r="Q37" s="1573" t="str">
        <f t="shared" si="11"/>
        <v>内部装修状况</v>
      </c>
      <c r="R37" s="1574" t="s">
        <v>8</v>
      </c>
      <c r="S37" s="1575">
        <f t="shared" si="12"/>
        <v>100</v>
      </c>
      <c r="T37" s="1574" t="s">
        <v>8</v>
      </c>
      <c r="U37" s="1575">
        <f t="shared" si="13"/>
        <v>100</v>
      </c>
      <c r="V37" s="1574" t="s">
        <v>8</v>
      </c>
      <c r="W37" s="1575">
        <f t="shared" si="14"/>
        <v>100</v>
      </c>
      <c r="X37" s="1568"/>
      <c r="Y37" s="342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4"/>
      <c r="Q38" s="1606">
        <f t="shared" si="11"/>
        <v>111</v>
      </c>
      <c r="R38" s="1578" t="s">
        <v>8</v>
      </c>
      <c r="S38" s="1579">
        <f t="shared" si="12"/>
        <v>100</v>
      </c>
      <c r="T38" s="1578" t="s">
        <v>8</v>
      </c>
      <c r="U38" s="1579">
        <f t="shared" si="13"/>
        <v>100</v>
      </c>
      <c r="V38" s="1578" t="s">
        <v>8</v>
      </c>
      <c r="W38" s="1579">
        <f t="shared" si="14"/>
        <v>100</v>
      </c>
      <c r="X38" s="1580"/>
      <c r="Y38" s="342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4"/>
      <c r="Q39" s="1573">
        <f t="shared" si="11"/>
        <v>111</v>
      </c>
      <c r="R39" s="1574" t="s">
        <v>8</v>
      </c>
      <c r="S39" s="1575">
        <f t="shared" si="12"/>
        <v>100</v>
      </c>
      <c r="T39" s="1574" t="s">
        <v>8</v>
      </c>
      <c r="U39" s="1575">
        <f t="shared" si="13"/>
        <v>100</v>
      </c>
      <c r="V39" s="1574" t="s">
        <v>8</v>
      </c>
      <c r="W39" s="1575">
        <f t="shared" si="14"/>
        <v>100</v>
      </c>
      <c r="X39" s="1568"/>
      <c r="Y39" s="342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9"/>
      <c r="Q40" s="1573">
        <f t="shared" si="11"/>
        <v>111</v>
      </c>
      <c r="R40" s="1574" t="s">
        <v>8</v>
      </c>
      <c r="S40" s="1575">
        <f t="shared" si="12"/>
        <v>100</v>
      </c>
      <c r="T40" s="1574" t="s">
        <v>8</v>
      </c>
      <c r="U40" s="1575">
        <f t="shared" si="13"/>
        <v>100</v>
      </c>
      <c r="V40" s="1574" t="s">
        <v>8</v>
      </c>
      <c r="W40" s="1575">
        <f t="shared" si="14"/>
        <v>100</v>
      </c>
      <c r="X40" s="1568"/>
      <c r="Y40" s="3499"/>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419" t="str">
        <f>A41</f>
        <v>成交单价（元/平方米）</v>
      </c>
      <c r="Q41" s="3419"/>
      <c r="R41" s="3498">
        <f>E41</f>
        <v>0</v>
      </c>
      <c r="S41" s="3498"/>
      <c r="T41" s="3498">
        <f>G41</f>
        <v>0</v>
      </c>
      <c r="U41" s="3498"/>
      <c r="V41" s="3498">
        <f>I41</f>
        <v>0</v>
      </c>
      <c r="W41" s="3498"/>
      <c r="X41" s="1560"/>
      <c r="Y41" s="1582"/>
      <c r="Z41" s="1560"/>
      <c r="AA41" s="1560"/>
      <c r="AB41" s="1560"/>
      <c r="AC41" s="1560"/>
    </row>
    <row r="42" spans="1:29" ht="15.7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419" t="str">
        <f>A42</f>
        <v>比较价格（元/平方米）</v>
      </c>
      <c r="Q42" s="3419"/>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60"/>
      <c r="Y42" s="1560"/>
      <c r="Z42" s="1560"/>
      <c r="AA42" s="1560"/>
      <c r="AB42" s="1560"/>
      <c r="AC42" s="1560"/>
    </row>
    <row r="43" spans="1:29" ht="15.75" thickBot="1">
      <c r="A43" s="621" t="s">
        <v>2933</v>
      </c>
      <c r="B43" s="622"/>
      <c r="C43" s="2662" t="e">
        <f>R43</f>
        <v>#DIV/0!</v>
      </c>
      <c r="D43" s="2662"/>
      <c r="E43" s="2662"/>
      <c r="F43" s="2662"/>
      <c r="G43" s="2662"/>
      <c r="H43" s="2662"/>
      <c r="I43" s="2662"/>
      <c r="J43" s="2662"/>
      <c r="K43" s="1614"/>
      <c r="L43" s="2146"/>
      <c r="M43" s="2147"/>
      <c r="N43" s="2147"/>
      <c r="O43" s="2147"/>
      <c r="P43" s="3440" t="str">
        <f>A43</f>
        <v>估价对象XX用房的比较价格（楼面单价，元/平方米）</v>
      </c>
      <c r="Q43" s="3441"/>
      <c r="R43" s="3497" t="e">
        <f>IF(F1="售价",ROUND(AVERAGE(R42:V42),0),ROUND(AVERAGE(R42:V42),1))</f>
        <v>#DIV/0!</v>
      </c>
      <c r="S43" s="3497"/>
      <c r="T43" s="3497"/>
      <c r="U43" s="3497"/>
      <c r="V43" s="3497"/>
      <c r="W43" s="349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7" spans="1:4" ht="93.75">
      <c r="A7" s="2899" t="s">
        <v>2748</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2070</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根据《国有土地使用证》[]，估价对象（分摊）出让国有建设用地使用权面积为19651.2平方米。根据《建设工程规划许可证》[]、《出让合同》[]，估价对象规划建筑面积为88257.98平方米。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1" t="s">
        <v>2749</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5" t="s">
        <v>798</v>
      </c>
      <c r="D4" s="3426"/>
      <c r="E4" s="3425" t="s">
        <v>799</v>
      </c>
      <c r="F4" s="3426"/>
      <c r="G4" s="3425" t="s">
        <v>800</v>
      </c>
      <c r="H4" s="3426"/>
      <c r="I4" s="3425" t="s">
        <v>801</v>
      </c>
      <c r="J4" s="3426"/>
      <c r="K4" s="514" t="s">
        <v>802</v>
      </c>
      <c r="L4" s="2135"/>
      <c r="M4" s="2136"/>
      <c r="N4" s="2136"/>
      <c r="O4" s="2136"/>
      <c r="P4" s="3427" t="s">
        <v>803</v>
      </c>
      <c r="Q4" s="3428"/>
      <c r="R4" s="3413" t="s">
        <v>799</v>
      </c>
      <c r="S4" s="3414"/>
      <c r="T4" s="3413" t="s">
        <v>800</v>
      </c>
      <c r="U4" s="3414"/>
      <c r="V4" s="3433" t="s">
        <v>801</v>
      </c>
      <c r="W4" s="3433"/>
      <c r="X4" s="1568"/>
      <c r="Y4" s="3413" t="s">
        <v>803</v>
      </c>
      <c r="Z4" s="3414"/>
      <c r="AA4" s="3408" t="s">
        <v>799</v>
      </c>
      <c r="AB4" s="3409" t="s">
        <v>800</v>
      </c>
      <c r="AC4" s="3408" t="s">
        <v>801</v>
      </c>
    </row>
    <row r="5" spans="1:29" ht="15">
      <c r="A5" s="515"/>
      <c r="B5" s="516"/>
      <c r="C5" s="3436" t="s">
        <v>2927</v>
      </c>
      <c r="D5" s="3437"/>
      <c r="E5" s="3436" t="s">
        <v>2928</v>
      </c>
      <c r="F5" s="3437"/>
      <c r="G5" s="3436" t="s">
        <v>2929</v>
      </c>
      <c r="H5" s="3437"/>
      <c r="I5" s="3436" t="s">
        <v>2930</v>
      </c>
      <c r="J5" s="3437"/>
      <c r="K5" s="514"/>
      <c r="L5" s="2135"/>
      <c r="M5" s="2136"/>
      <c r="N5" s="2136"/>
      <c r="O5" s="2136"/>
      <c r="P5" s="3429"/>
      <c r="Q5" s="3430"/>
      <c r="R5" s="3415"/>
      <c r="S5" s="3416"/>
      <c r="T5" s="3415"/>
      <c r="U5" s="3416"/>
      <c r="V5" s="3433"/>
      <c r="W5" s="3433"/>
      <c r="X5" s="1568"/>
      <c r="Y5" s="3415"/>
      <c r="Z5" s="3416"/>
      <c r="AA5" s="3409"/>
      <c r="AB5" s="3409"/>
      <c r="AC5" s="3409"/>
    </row>
    <row r="6" spans="1:29" ht="15.75" thickBot="1">
      <c r="A6" s="517"/>
      <c r="B6" s="518"/>
      <c r="C6" s="3434" t="s">
        <v>2931</v>
      </c>
      <c r="D6" s="3435"/>
      <c r="E6" s="3438" t="s">
        <v>2931</v>
      </c>
      <c r="F6" s="3439"/>
      <c r="G6" s="3434" t="s">
        <v>2931</v>
      </c>
      <c r="H6" s="3435"/>
      <c r="I6" s="3434" t="s">
        <v>2931</v>
      </c>
      <c r="J6" s="3435"/>
      <c r="K6" s="514" t="s">
        <v>528</v>
      </c>
      <c r="L6" s="2135"/>
      <c r="M6" s="2136"/>
      <c r="N6" s="2136"/>
      <c r="O6" s="2136"/>
      <c r="P6" s="3431"/>
      <c r="Q6" s="3432"/>
      <c r="R6" s="3415"/>
      <c r="S6" s="3416"/>
      <c r="T6" s="3417"/>
      <c r="U6" s="3418"/>
      <c r="V6" s="3433"/>
      <c r="W6" s="3433"/>
      <c r="X6" s="1568"/>
      <c r="Y6" s="3417"/>
      <c r="Z6" s="3418"/>
      <c r="AA6" s="3410"/>
      <c r="AB6" s="3410"/>
      <c r="AC6" s="3410"/>
    </row>
    <row r="7" spans="1:29" s="1220" customFormat="1" ht="15.75" thickBot="1">
      <c r="A7" s="2938"/>
      <c r="B7" s="2945" t="s">
        <v>529</v>
      </c>
      <c r="C7" s="519">
        <f>'数据-取费表'!B2</f>
        <v>43248</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1" t="s">
        <v>530</v>
      </c>
      <c r="Q7" s="3420"/>
      <c r="R7" s="1569" t="s">
        <v>8</v>
      </c>
      <c r="S7" s="1570">
        <f t="shared" ref="S7:S14" si="0">F7</f>
        <v>0</v>
      </c>
      <c r="T7" s="1569" t="s">
        <v>8</v>
      </c>
      <c r="U7" s="1570">
        <f t="shared" ref="U7:U14" si="1">H7</f>
        <v>0</v>
      </c>
      <c r="V7" s="1569" t="s">
        <v>8</v>
      </c>
      <c r="W7" s="1570">
        <f t="shared" ref="W7:W14" si="2">J7</f>
        <v>0</v>
      </c>
      <c r="X7" s="1571"/>
      <c r="Y7" s="3411" t="s">
        <v>530</v>
      </c>
      <c r="Z7" s="3412"/>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1" t="s">
        <v>533</v>
      </c>
      <c r="Q8" s="3412"/>
      <c r="R8" s="1569" t="s">
        <v>8</v>
      </c>
      <c r="S8" s="1570">
        <f t="shared" si="0"/>
        <v>0</v>
      </c>
      <c r="T8" s="1569" t="s">
        <v>8</v>
      </c>
      <c r="U8" s="1570">
        <f t="shared" si="1"/>
        <v>0</v>
      </c>
      <c r="V8" s="1569" t="s">
        <v>8</v>
      </c>
      <c r="W8" s="1570">
        <f t="shared" si="2"/>
        <v>0</v>
      </c>
      <c r="X8" s="1571"/>
      <c r="Y8" s="3411" t="s">
        <v>533</v>
      </c>
      <c r="Z8" s="3412"/>
      <c r="AA8" s="1572" t="e">
        <f t="shared" ref="AA8:AA36" si="3">D8/F8</f>
        <v>#DIV/0!</v>
      </c>
      <c r="AB8" s="1572" t="e">
        <f t="shared" ref="AB8:AB36" si="4">D8/H8</f>
        <v>#DIV/0!</v>
      </c>
      <c r="AC8" s="1572" t="e">
        <f t="shared" ref="AC8:AC36" si="5">D8/J8</f>
        <v>#DIV/0!</v>
      </c>
    </row>
    <row r="9" spans="1:29" s="1220" customFormat="1" ht="15">
      <c r="A9" s="2940"/>
      <c r="B9" s="2947"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19" t="s">
        <v>535</v>
      </c>
      <c r="Q9" s="1151" t="str">
        <f t="shared" ref="Q9:Q14" si="6">B9</f>
        <v>用途</v>
      </c>
      <c r="R9" s="1569" t="s">
        <v>8</v>
      </c>
      <c r="S9" s="1570">
        <f t="shared" si="0"/>
        <v>100</v>
      </c>
      <c r="T9" s="1569" t="s">
        <v>8</v>
      </c>
      <c r="U9" s="1570">
        <f t="shared" si="1"/>
        <v>100</v>
      </c>
      <c r="V9" s="1569" t="s">
        <v>8</v>
      </c>
      <c r="W9" s="1570">
        <f t="shared" si="2"/>
        <v>100</v>
      </c>
      <c r="X9" s="1571"/>
      <c r="Y9" s="3376"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19"/>
      <c r="Q10" s="1151" t="str">
        <f t="shared" si="6"/>
        <v>土地使用年限（年）</v>
      </c>
      <c r="R10" s="1569" t="s">
        <v>8</v>
      </c>
      <c r="S10" s="1570">
        <f t="shared" si="0"/>
        <v>100</v>
      </c>
      <c r="T10" s="1569" t="s">
        <v>8</v>
      </c>
      <c r="U10" s="1570">
        <f t="shared" si="1"/>
        <v>100</v>
      </c>
      <c r="V10" s="1569" t="s">
        <v>8</v>
      </c>
      <c r="W10" s="1570">
        <f t="shared" si="2"/>
        <v>100</v>
      </c>
      <c r="X10" s="1571"/>
      <c r="Y10" s="3376"/>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19"/>
      <c r="Q11" s="1151">
        <f t="shared" si="6"/>
        <v>111</v>
      </c>
      <c r="R11" s="1569" t="s">
        <v>8</v>
      </c>
      <c r="S11" s="1570">
        <f t="shared" si="0"/>
        <v>100</v>
      </c>
      <c r="T11" s="1569" t="s">
        <v>8</v>
      </c>
      <c r="U11" s="1570">
        <f t="shared" si="1"/>
        <v>100</v>
      </c>
      <c r="V11" s="1569" t="s">
        <v>8</v>
      </c>
      <c r="W11" s="1570">
        <f t="shared" si="2"/>
        <v>100</v>
      </c>
      <c r="X11" s="1571"/>
      <c r="Y11" s="3376"/>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19"/>
      <c r="Q12" s="1151">
        <f t="shared" si="6"/>
        <v>111</v>
      </c>
      <c r="R12" s="1569" t="s">
        <v>8</v>
      </c>
      <c r="S12" s="1570">
        <f t="shared" si="0"/>
        <v>100</v>
      </c>
      <c r="T12" s="1569" t="s">
        <v>8</v>
      </c>
      <c r="U12" s="1570">
        <f t="shared" si="1"/>
        <v>100</v>
      </c>
      <c r="V12" s="1569" t="s">
        <v>8</v>
      </c>
      <c r="W12" s="1570">
        <f t="shared" si="2"/>
        <v>100</v>
      </c>
      <c r="X12" s="1571"/>
      <c r="Y12" s="3376"/>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19"/>
      <c r="Q13" s="1151">
        <f t="shared" si="6"/>
        <v>111</v>
      </c>
      <c r="R13" s="1569" t="s">
        <v>8</v>
      </c>
      <c r="S13" s="1570">
        <f t="shared" si="0"/>
        <v>100</v>
      </c>
      <c r="T13" s="1569" t="s">
        <v>8</v>
      </c>
      <c r="U13" s="1570">
        <f t="shared" si="1"/>
        <v>100</v>
      </c>
      <c r="V13" s="1569" t="s">
        <v>8</v>
      </c>
      <c r="W13" s="1570">
        <f t="shared" si="2"/>
        <v>100</v>
      </c>
      <c r="X13" s="1571"/>
      <c r="Y13" s="3376"/>
      <c r="Z13" s="1150">
        <f t="shared" si="7"/>
        <v>111</v>
      </c>
      <c r="AA13" s="1572">
        <f t="shared" si="3"/>
        <v>1</v>
      </c>
      <c r="AB13" s="1572">
        <f t="shared" si="4"/>
        <v>1</v>
      </c>
      <c r="AC13" s="1572">
        <f t="shared" si="5"/>
        <v>1</v>
      </c>
    </row>
    <row r="14" spans="1:29" ht="142.5">
      <c r="A14" s="2936" t="s">
        <v>2754</v>
      </c>
      <c r="B14" s="547"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1" t="s">
        <v>540</v>
      </c>
      <c r="Q14" s="1573" t="str">
        <f t="shared" si="6"/>
        <v>交通便捷度</v>
      </c>
      <c r="R14" s="1574" t="s">
        <v>8</v>
      </c>
      <c r="S14" s="1575">
        <f t="shared" si="0"/>
        <v>100</v>
      </c>
      <c r="T14" s="1574" t="s">
        <v>8</v>
      </c>
      <c r="U14" s="1575">
        <f t="shared" si="1"/>
        <v>100</v>
      </c>
      <c r="V14" s="1574" t="s">
        <v>8</v>
      </c>
      <c r="W14" s="1575">
        <f t="shared" si="2"/>
        <v>100</v>
      </c>
      <c r="X14" s="1568"/>
      <c r="Y14" s="342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2"/>
      <c r="Q15" s="1573"/>
      <c r="R15" s="1574"/>
      <c r="S15" s="1575"/>
      <c r="T15" s="1574"/>
      <c r="U15" s="1575"/>
      <c r="V15" s="1574"/>
      <c r="W15" s="1575"/>
      <c r="X15" s="1568"/>
      <c r="Y15" s="3422"/>
      <c r="Z15" s="1576"/>
      <c r="AA15" s="1577">
        <v>1</v>
      </c>
      <c r="AB15" s="1577">
        <v>1</v>
      </c>
      <c r="AC15" s="1577">
        <v>1</v>
      </c>
    </row>
    <row r="16" spans="1:29" ht="42.75">
      <c r="A16" s="515"/>
      <c r="B16" s="2629" t="s">
        <v>2546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2"/>
      <c r="Q16" s="1573" t="str">
        <f>B16</f>
        <v>公共配套设施</v>
      </c>
      <c r="R16" s="1574" t="s">
        <v>8</v>
      </c>
      <c r="S16" s="1575">
        <f>F16</f>
        <v>100</v>
      </c>
      <c r="T16" s="1574" t="s">
        <v>8</v>
      </c>
      <c r="U16" s="1575">
        <f>H16</f>
        <v>100</v>
      </c>
      <c r="V16" s="1574" t="s">
        <v>8</v>
      </c>
      <c r="W16" s="1575">
        <f>J16</f>
        <v>100</v>
      </c>
      <c r="X16" s="1568"/>
      <c r="Y16" s="342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2"/>
      <c r="Q17" s="1573"/>
      <c r="R17" s="1574"/>
      <c r="S17" s="1575"/>
      <c r="T17" s="1574"/>
      <c r="U17" s="1575"/>
      <c r="V17" s="1574"/>
      <c r="W17" s="1575"/>
      <c r="X17" s="1568"/>
      <c r="Y17" s="3422"/>
      <c r="Z17" s="1576"/>
      <c r="AA17" s="1577">
        <v>1</v>
      </c>
      <c r="AB17" s="1577">
        <v>1</v>
      </c>
      <c r="AC17" s="1577">
        <v>1</v>
      </c>
    </row>
    <row r="18" spans="1:29" ht="42.75">
      <c r="A18" s="515"/>
      <c r="B18" s="2617" t="s">
        <v>2558</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2"/>
      <c r="Q18" s="2605" t="str">
        <f>B18</f>
        <v>基础设施水平</v>
      </c>
      <c r="R18" s="1574" t="s">
        <v>8</v>
      </c>
      <c r="S18" s="1575">
        <f>F18</f>
        <v>100</v>
      </c>
      <c r="T18" s="1574" t="s">
        <v>8</v>
      </c>
      <c r="U18" s="1575">
        <f>H18</f>
        <v>100</v>
      </c>
      <c r="V18" s="1574" t="s">
        <v>8</v>
      </c>
      <c r="W18" s="1575">
        <f>J18</f>
        <v>100</v>
      </c>
      <c r="X18" s="2607"/>
      <c r="Y18" s="3422"/>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22"/>
      <c r="Q19" s="2605"/>
      <c r="R19" s="1574"/>
      <c r="S19" s="1575"/>
      <c r="T19" s="1574"/>
      <c r="U19" s="1575"/>
      <c r="V19" s="1574"/>
      <c r="W19" s="1575"/>
      <c r="X19" s="2607"/>
      <c r="Y19" s="3422"/>
      <c r="Z19" s="2606"/>
      <c r="AA19" s="1577">
        <v>1</v>
      </c>
      <c r="AB19" s="1577">
        <v>1</v>
      </c>
      <c r="AC19" s="1577">
        <v>1</v>
      </c>
    </row>
    <row r="20" spans="1:29" ht="114">
      <c r="A20" s="515"/>
      <c r="B20" s="560" t="s">
        <v>804</v>
      </c>
      <c r="C20" s="872" t="str">
        <f>IF(B1="工业",估价对象房地状况!G7,估价对象房地状况!C9)</f>
        <v>区域自然环境：四川北路公园、交通公园；人文环境：上海城建职业学院、上海铁路博物馆；综合评价环境状况较好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2"/>
      <c r="Q20" s="1573" t="str">
        <f>B20</f>
        <v>自然及人文环境</v>
      </c>
      <c r="R20" s="1574" t="s">
        <v>8</v>
      </c>
      <c r="S20" s="1575">
        <f>F20</f>
        <v>100</v>
      </c>
      <c r="T20" s="1574" t="s">
        <v>8</v>
      </c>
      <c r="U20" s="1575">
        <f>H20</f>
        <v>100</v>
      </c>
      <c r="V20" s="1574" t="s">
        <v>8</v>
      </c>
      <c r="W20" s="1575">
        <f>J20</f>
        <v>100</v>
      </c>
      <c r="X20" s="1568"/>
      <c r="Y20" s="342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2"/>
      <c r="Q21" s="1573"/>
      <c r="R21" s="1574"/>
      <c r="S21" s="1575"/>
      <c r="T21" s="1574"/>
      <c r="U21" s="1575"/>
      <c r="V21" s="1574"/>
      <c r="W21" s="1575"/>
      <c r="X21" s="1568"/>
      <c r="Y21" s="342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2"/>
      <c r="Q22" s="1573" t="str">
        <f>B22</f>
        <v>楼层</v>
      </c>
      <c r="R22" s="1574" t="s">
        <v>8</v>
      </c>
      <c r="S22" s="1575">
        <f>F22</f>
        <v>100</v>
      </c>
      <c r="T22" s="1574" t="s">
        <v>8</v>
      </c>
      <c r="U22" s="1575">
        <f>H22</f>
        <v>100</v>
      </c>
      <c r="V22" s="1574" t="s">
        <v>8</v>
      </c>
      <c r="W22" s="1575">
        <f>J22</f>
        <v>100</v>
      </c>
      <c r="X22" s="1568"/>
      <c r="Y22" s="342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2"/>
      <c r="Q23" s="1573">
        <f>B23</f>
        <v>111</v>
      </c>
      <c r="R23" s="1574" t="s">
        <v>8</v>
      </c>
      <c r="S23" s="1575">
        <f>F23</f>
        <v>100</v>
      </c>
      <c r="T23" s="1574" t="s">
        <v>8</v>
      </c>
      <c r="U23" s="1575">
        <f>H23</f>
        <v>100</v>
      </c>
      <c r="V23" s="1574" t="s">
        <v>8</v>
      </c>
      <c r="W23" s="1575">
        <f>J23</f>
        <v>100</v>
      </c>
      <c r="X23" s="1568"/>
      <c r="Y23" s="342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2"/>
      <c r="Q24" s="1573">
        <f t="shared" ref="Q24:Q36" si="11">B24</f>
        <v>111</v>
      </c>
      <c r="R24" s="1574" t="s">
        <v>8</v>
      </c>
      <c r="S24" s="1575">
        <f>F24</f>
        <v>100</v>
      </c>
      <c r="T24" s="1574" t="s">
        <v>8</v>
      </c>
      <c r="U24" s="1575">
        <f>H24</f>
        <v>100</v>
      </c>
      <c r="V24" s="1574" t="s">
        <v>8</v>
      </c>
      <c r="W24" s="1575">
        <f>J24</f>
        <v>100</v>
      </c>
      <c r="X24" s="1568"/>
      <c r="Y24" s="342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2"/>
      <c r="Q25" s="1151">
        <f t="shared" si="11"/>
        <v>111</v>
      </c>
      <c r="R25" s="1569" t="s">
        <v>8</v>
      </c>
      <c r="S25" s="1570">
        <f>F25</f>
        <v>100</v>
      </c>
      <c r="T25" s="1569" t="s">
        <v>8</v>
      </c>
      <c r="U25" s="1570">
        <f>H25</f>
        <v>100</v>
      </c>
      <c r="V25" s="1569" t="s">
        <v>8</v>
      </c>
      <c r="W25" s="1570">
        <f>J25</f>
        <v>100</v>
      </c>
      <c r="X25" s="1571"/>
      <c r="Y25" s="3422"/>
      <c r="Z25" s="1150">
        <f>Q25</f>
        <v>111</v>
      </c>
      <c r="AA25" s="1577">
        <f>D25/F25</f>
        <v>1</v>
      </c>
      <c r="AB25" s="1577">
        <f>D25/H25</f>
        <v>1</v>
      </c>
      <c r="AC25" s="1577">
        <f>D25/J25</f>
        <v>1</v>
      </c>
    </row>
    <row r="26" spans="1:29" ht="15">
      <c r="A26" s="293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4"/>
      <c r="Q27" s="1606" t="str">
        <f t="shared" si="11"/>
        <v>项目停车位配比</v>
      </c>
      <c r="R27" s="1578" t="s">
        <v>8</v>
      </c>
      <c r="S27" s="1579">
        <f t="shared" si="12"/>
        <v>100</v>
      </c>
      <c r="T27" s="1578" t="s">
        <v>8</v>
      </c>
      <c r="U27" s="1579">
        <f t="shared" si="13"/>
        <v>100</v>
      </c>
      <c r="V27" s="1578" t="s">
        <v>8</v>
      </c>
      <c r="W27" s="1579">
        <f t="shared" si="14"/>
        <v>100</v>
      </c>
      <c r="X27" s="1580"/>
      <c r="Y27" s="342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4"/>
      <c r="Q28" s="1573" t="str">
        <f t="shared" si="11"/>
        <v>公共部分装修</v>
      </c>
      <c r="R28" s="1574" t="s">
        <v>8</v>
      </c>
      <c r="S28" s="1575">
        <f t="shared" si="12"/>
        <v>100</v>
      </c>
      <c r="T28" s="1574" t="s">
        <v>8</v>
      </c>
      <c r="U28" s="1575">
        <f t="shared" si="13"/>
        <v>100</v>
      </c>
      <c r="V28" s="1574" t="s">
        <v>8</v>
      </c>
      <c r="W28" s="1575">
        <f t="shared" si="14"/>
        <v>100</v>
      </c>
      <c r="X28" s="1568"/>
      <c r="Y28" s="342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4"/>
      <c r="Q29" s="1573" t="str">
        <f t="shared" si="11"/>
        <v>成新率</v>
      </c>
      <c r="R29" s="1574" t="s">
        <v>8</v>
      </c>
      <c r="S29" s="1575" t="e">
        <f t="shared" si="12"/>
        <v>#N/A</v>
      </c>
      <c r="T29" s="1574" t="s">
        <v>8</v>
      </c>
      <c r="U29" s="1575" t="e">
        <f t="shared" si="13"/>
        <v>#N/A</v>
      </c>
      <c r="V29" s="1574" t="s">
        <v>8</v>
      </c>
      <c r="W29" s="1575" t="e">
        <f t="shared" si="14"/>
        <v>#N/A</v>
      </c>
      <c r="X29" s="1568"/>
      <c r="Y29" s="342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4"/>
      <c r="Q30" s="1573" t="str">
        <f t="shared" si="11"/>
        <v>物业等级</v>
      </c>
      <c r="R30" s="1574" t="s">
        <v>8</v>
      </c>
      <c r="S30" s="1575">
        <f t="shared" si="12"/>
        <v>100</v>
      </c>
      <c r="T30" s="1574" t="s">
        <v>8</v>
      </c>
      <c r="U30" s="1575">
        <f t="shared" si="13"/>
        <v>100</v>
      </c>
      <c r="V30" s="1574" t="s">
        <v>8</v>
      </c>
      <c r="W30" s="1575">
        <f t="shared" si="14"/>
        <v>100</v>
      </c>
      <c r="X30" s="1568"/>
      <c r="Y30" s="342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4"/>
      <c r="Q31" s="1151" t="str">
        <f t="shared" si="11"/>
        <v>停车位面积</v>
      </c>
      <c r="R31" s="1569" t="s">
        <v>8</v>
      </c>
      <c r="S31" s="1570" t="e">
        <f t="shared" si="12"/>
        <v>#N/A</v>
      </c>
      <c r="T31" s="1569" t="s">
        <v>8</v>
      </c>
      <c r="U31" s="1570" t="e">
        <f t="shared" si="13"/>
        <v>#N/A</v>
      </c>
      <c r="V31" s="1569" t="s">
        <v>8</v>
      </c>
      <c r="W31" s="1570" t="e">
        <f t="shared" si="14"/>
        <v>#N/A</v>
      </c>
      <c r="X31" s="1571"/>
      <c r="Y31" s="342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4" t="s">
        <v>550</v>
      </c>
      <c r="Q32" s="1573" t="str">
        <f t="shared" si="11"/>
        <v>车位类型</v>
      </c>
      <c r="R32" s="1574" t="s">
        <v>8</v>
      </c>
      <c r="S32" s="1575">
        <f t="shared" si="12"/>
        <v>100</v>
      </c>
      <c r="T32" s="1574" t="s">
        <v>8</v>
      </c>
      <c r="U32" s="1575">
        <f t="shared" si="13"/>
        <v>100</v>
      </c>
      <c r="V32" s="1574" t="s">
        <v>8</v>
      </c>
      <c r="W32" s="1575">
        <f t="shared" si="14"/>
        <v>100</v>
      </c>
      <c r="X32" s="1568"/>
      <c r="Y32" s="342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4"/>
      <c r="Q33" s="1573" t="str">
        <f t="shared" si="11"/>
        <v>是否直接入户</v>
      </c>
      <c r="R33" s="1574" t="s">
        <v>8</v>
      </c>
      <c r="S33" s="1575">
        <f t="shared" si="12"/>
        <v>100</v>
      </c>
      <c r="T33" s="1574" t="s">
        <v>8</v>
      </c>
      <c r="U33" s="1575">
        <f t="shared" si="13"/>
        <v>100</v>
      </c>
      <c r="V33" s="1574" t="s">
        <v>8</v>
      </c>
      <c r="W33" s="1575">
        <f t="shared" si="14"/>
        <v>100</v>
      </c>
      <c r="X33" s="1568"/>
      <c r="Y33" s="342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4"/>
      <c r="Q34" s="1573">
        <f t="shared" si="11"/>
        <v>111</v>
      </c>
      <c r="R34" s="1574" t="s">
        <v>8</v>
      </c>
      <c r="S34" s="1575">
        <f t="shared" si="12"/>
        <v>100</v>
      </c>
      <c r="T34" s="1574" t="s">
        <v>8</v>
      </c>
      <c r="U34" s="1575">
        <f t="shared" si="13"/>
        <v>100</v>
      </c>
      <c r="V34" s="1574" t="s">
        <v>8</v>
      </c>
      <c r="W34" s="1575">
        <f t="shared" si="14"/>
        <v>100</v>
      </c>
      <c r="X34" s="1568"/>
      <c r="Y34" s="342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4"/>
      <c r="Q35" s="1606">
        <f t="shared" si="11"/>
        <v>111</v>
      </c>
      <c r="R35" s="1578" t="s">
        <v>8</v>
      </c>
      <c r="S35" s="1579">
        <f t="shared" si="12"/>
        <v>100</v>
      </c>
      <c r="T35" s="1578" t="s">
        <v>8</v>
      </c>
      <c r="U35" s="1579">
        <f t="shared" si="13"/>
        <v>100</v>
      </c>
      <c r="V35" s="1578" t="s">
        <v>8</v>
      </c>
      <c r="W35" s="1579">
        <f t="shared" si="14"/>
        <v>100</v>
      </c>
      <c r="X35" s="1580"/>
      <c r="Y35" s="342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4"/>
      <c r="Q36" s="1573">
        <f t="shared" si="11"/>
        <v>111</v>
      </c>
      <c r="R36" s="1574" t="s">
        <v>8</v>
      </c>
      <c r="S36" s="1575">
        <f t="shared" si="12"/>
        <v>100</v>
      </c>
      <c r="T36" s="1574" t="s">
        <v>8</v>
      </c>
      <c r="U36" s="1575">
        <f t="shared" si="13"/>
        <v>100</v>
      </c>
      <c r="V36" s="1574" t="s">
        <v>8</v>
      </c>
      <c r="W36" s="1575">
        <f t="shared" si="14"/>
        <v>100</v>
      </c>
      <c r="X36" s="1568"/>
      <c r="Y36" s="3424"/>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419" t="str">
        <f>A37</f>
        <v>成交单价</v>
      </c>
      <c r="Q37" s="3419"/>
      <c r="R37" s="3498">
        <f>E37</f>
        <v>0</v>
      </c>
      <c r="S37" s="3498"/>
      <c r="T37" s="3498">
        <f>G37</f>
        <v>0</v>
      </c>
      <c r="U37" s="3498"/>
      <c r="V37" s="3498">
        <f>I37</f>
        <v>0</v>
      </c>
      <c r="W37" s="3498"/>
      <c r="X37" s="1560"/>
      <c r="Y37" s="1582"/>
      <c r="Z37" s="1560"/>
      <c r="AA37" s="1560"/>
      <c r="AB37" s="1560"/>
      <c r="AC37" s="1560"/>
    </row>
    <row r="38" spans="1:29" ht="15.7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419" t="str">
        <f>A38</f>
        <v>比较价格（元/平方米）</v>
      </c>
      <c r="Q38" s="3419"/>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60"/>
      <c r="Y38" s="1560"/>
      <c r="Z38" s="1560"/>
      <c r="AA38" s="1560"/>
      <c r="AB38" s="1560"/>
      <c r="AC38" s="1560"/>
    </row>
    <row r="39" spans="1:29" ht="15.75" thickBot="1">
      <c r="A39" s="621" t="s">
        <v>2933</v>
      </c>
      <c r="B39" s="622"/>
      <c r="C39" s="2662" t="e">
        <f>R39</f>
        <v>#DIV/0!</v>
      </c>
      <c r="D39" s="2662"/>
      <c r="E39" s="2662"/>
      <c r="F39" s="2662"/>
      <c r="G39" s="2662"/>
      <c r="H39" s="2662"/>
      <c r="I39" s="2662"/>
      <c r="J39" s="2662"/>
      <c r="K39" s="1614"/>
      <c r="L39" s="2146"/>
      <c r="M39" s="2147"/>
      <c r="N39" s="2147"/>
      <c r="O39" s="2147"/>
      <c r="P39" s="3440" t="str">
        <f>A39</f>
        <v>估价对象XX用房的比较价格（楼面单价，元/平方米）</v>
      </c>
      <c r="Q39" s="3441"/>
      <c r="R39" s="3497" t="e">
        <f>IF(F1="售价",ROUND(AVERAGE(R38:V38),0),ROUND(AVERAGE(R38:V38),1))</f>
        <v>#DIV/0!</v>
      </c>
      <c r="S39" s="3497"/>
      <c r="T39" s="3497"/>
      <c r="U39" s="3497"/>
      <c r="V39" s="3497"/>
      <c r="W39" s="349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5" t="s">
        <v>798</v>
      </c>
      <c r="D4" s="3426"/>
      <c r="E4" s="3449" t="s">
        <v>799</v>
      </c>
      <c r="F4" s="3450"/>
      <c r="G4" s="3425" t="s">
        <v>800</v>
      </c>
      <c r="H4" s="3426"/>
      <c r="I4" s="3425" t="s">
        <v>801</v>
      </c>
      <c r="J4" s="3426"/>
      <c r="K4" s="514" t="s">
        <v>802</v>
      </c>
      <c r="L4" s="2135"/>
      <c r="M4" s="2136"/>
      <c r="N4" s="2136"/>
      <c r="O4" s="2136"/>
      <c r="P4" s="3427" t="s">
        <v>803</v>
      </c>
      <c r="Q4" s="3428"/>
      <c r="R4" s="3413" t="s">
        <v>799</v>
      </c>
      <c r="S4" s="3414"/>
      <c r="T4" s="3413" t="s">
        <v>800</v>
      </c>
      <c r="U4" s="3414"/>
      <c r="V4" s="3433" t="s">
        <v>801</v>
      </c>
      <c r="W4" s="3433"/>
      <c r="X4" s="1568"/>
      <c r="Y4" s="3413" t="s">
        <v>803</v>
      </c>
      <c r="Z4" s="3414"/>
      <c r="AA4" s="3408" t="s">
        <v>799</v>
      </c>
      <c r="AB4" s="3409" t="s">
        <v>800</v>
      </c>
      <c r="AC4" s="3408" t="s">
        <v>801</v>
      </c>
    </row>
    <row r="5" spans="1:29" ht="15">
      <c r="A5" s="515"/>
      <c r="B5" s="516"/>
      <c r="C5" s="3436" t="s">
        <v>2927</v>
      </c>
      <c r="D5" s="3437"/>
      <c r="E5" s="3451" t="s">
        <v>2928</v>
      </c>
      <c r="F5" s="3452"/>
      <c r="G5" s="3436" t="s">
        <v>2929</v>
      </c>
      <c r="H5" s="3437"/>
      <c r="I5" s="3436" t="s">
        <v>2930</v>
      </c>
      <c r="J5" s="3437"/>
      <c r="K5" s="514"/>
      <c r="L5" s="2135"/>
      <c r="M5" s="2136"/>
      <c r="N5" s="2136"/>
      <c r="O5" s="2136"/>
      <c r="P5" s="3429"/>
      <c r="Q5" s="3430"/>
      <c r="R5" s="3415"/>
      <c r="S5" s="3416"/>
      <c r="T5" s="3415"/>
      <c r="U5" s="3416"/>
      <c r="V5" s="3433"/>
      <c r="W5" s="3433"/>
      <c r="X5" s="1568"/>
      <c r="Y5" s="3415"/>
      <c r="Z5" s="3416"/>
      <c r="AA5" s="3409"/>
      <c r="AB5" s="3409"/>
      <c r="AC5" s="3409"/>
    </row>
    <row r="6" spans="1:29" ht="15.75" thickBot="1">
      <c r="A6" s="517"/>
      <c r="B6" s="518"/>
      <c r="C6" s="3434" t="s">
        <v>2931</v>
      </c>
      <c r="D6" s="3435"/>
      <c r="E6" s="3453" t="s">
        <v>2931</v>
      </c>
      <c r="F6" s="3454"/>
      <c r="G6" s="3434" t="s">
        <v>2931</v>
      </c>
      <c r="H6" s="3435"/>
      <c r="I6" s="3434" t="s">
        <v>2931</v>
      </c>
      <c r="J6" s="3435"/>
      <c r="K6" s="514" t="s">
        <v>528</v>
      </c>
      <c r="L6" s="2135"/>
      <c r="M6" s="2136"/>
      <c r="N6" s="2136"/>
      <c r="O6" s="2136"/>
      <c r="P6" s="3431"/>
      <c r="Q6" s="3432"/>
      <c r="R6" s="3415"/>
      <c r="S6" s="3416"/>
      <c r="T6" s="3417"/>
      <c r="U6" s="3418"/>
      <c r="V6" s="3433"/>
      <c r="W6" s="3433"/>
      <c r="X6" s="1568"/>
      <c r="Y6" s="3417"/>
      <c r="Z6" s="3418"/>
      <c r="AA6" s="3410"/>
      <c r="AB6" s="3410"/>
      <c r="AC6" s="3410"/>
    </row>
    <row r="7" spans="1:29" s="1220" customFormat="1" ht="15.75" thickBot="1">
      <c r="A7" s="2938"/>
      <c r="B7" s="2945" t="s">
        <v>529</v>
      </c>
      <c r="C7" s="519">
        <f>'数据-取费表'!B2</f>
        <v>43248</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1" t="s">
        <v>530</v>
      </c>
      <c r="Q7" s="3420"/>
      <c r="R7" s="1569" t="s">
        <v>8</v>
      </c>
      <c r="S7" s="1570">
        <f t="shared" ref="S7:S14" si="0">F7</f>
        <v>0</v>
      </c>
      <c r="T7" s="1569" t="s">
        <v>8</v>
      </c>
      <c r="U7" s="1570">
        <f t="shared" ref="U7:U14" si="1">H7</f>
        <v>0</v>
      </c>
      <c r="V7" s="1569" t="s">
        <v>8</v>
      </c>
      <c r="W7" s="1570">
        <f t="shared" ref="W7:W14" si="2">J7</f>
        <v>0</v>
      </c>
      <c r="X7" s="1571"/>
      <c r="Y7" s="3411" t="s">
        <v>530</v>
      </c>
      <c r="Z7" s="3412"/>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1" t="s">
        <v>533</v>
      </c>
      <c r="Q8" s="3412"/>
      <c r="R8" s="1569" t="s">
        <v>8</v>
      </c>
      <c r="S8" s="1570">
        <f t="shared" si="0"/>
        <v>0</v>
      </c>
      <c r="T8" s="1569" t="s">
        <v>8</v>
      </c>
      <c r="U8" s="1570">
        <f t="shared" si="1"/>
        <v>0</v>
      </c>
      <c r="V8" s="1569" t="s">
        <v>8</v>
      </c>
      <c r="W8" s="1570">
        <f t="shared" si="2"/>
        <v>0</v>
      </c>
      <c r="X8" s="1571"/>
      <c r="Y8" s="3411" t="s">
        <v>533</v>
      </c>
      <c r="Z8" s="3412"/>
      <c r="AA8" s="1572" t="e">
        <f t="shared" ref="AA8:AA34" si="3">D8/F8</f>
        <v>#DIV/0!</v>
      </c>
      <c r="AB8" s="1572" t="e">
        <f t="shared" ref="AB8:AB34" si="4">D8/H8</f>
        <v>#DIV/0!</v>
      </c>
      <c r="AC8" s="1572" t="e">
        <f t="shared" ref="AC8:AC34" si="5">D8/J8</f>
        <v>#DIV/0!</v>
      </c>
    </row>
    <row r="9" spans="1:29" s="1220" customFormat="1" ht="15">
      <c r="A9" s="2940"/>
      <c r="B9" s="2947"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19" t="s">
        <v>535</v>
      </c>
      <c r="Q9" s="1151" t="str">
        <f t="shared" ref="Q9:Q14" si="6">B9</f>
        <v>用途</v>
      </c>
      <c r="R9" s="1569" t="s">
        <v>8</v>
      </c>
      <c r="S9" s="1570">
        <f t="shared" si="0"/>
        <v>100</v>
      </c>
      <c r="T9" s="1569" t="s">
        <v>8</v>
      </c>
      <c r="U9" s="1570">
        <f t="shared" si="1"/>
        <v>100</v>
      </c>
      <c r="V9" s="1569" t="s">
        <v>8</v>
      </c>
      <c r="W9" s="1570">
        <f t="shared" si="2"/>
        <v>100</v>
      </c>
      <c r="X9" s="1571"/>
      <c r="Y9" s="3376"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19"/>
      <c r="Q10" s="1151" t="str">
        <f t="shared" si="6"/>
        <v>土地使用年限（年）</v>
      </c>
      <c r="R10" s="1569" t="s">
        <v>8</v>
      </c>
      <c r="S10" s="1570">
        <f t="shared" si="0"/>
        <v>100</v>
      </c>
      <c r="T10" s="1569" t="s">
        <v>8</v>
      </c>
      <c r="U10" s="1570">
        <f t="shared" si="1"/>
        <v>100</v>
      </c>
      <c r="V10" s="1569" t="s">
        <v>8</v>
      </c>
      <c r="W10" s="1570">
        <f t="shared" si="2"/>
        <v>100</v>
      </c>
      <c r="X10" s="1571"/>
      <c r="Y10" s="3376"/>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19"/>
      <c r="Q11" s="1151">
        <f t="shared" si="6"/>
        <v>111</v>
      </c>
      <c r="R11" s="1569" t="s">
        <v>8</v>
      </c>
      <c r="S11" s="1570">
        <f t="shared" si="0"/>
        <v>100</v>
      </c>
      <c r="T11" s="1569" t="s">
        <v>8</v>
      </c>
      <c r="U11" s="1570">
        <f t="shared" si="1"/>
        <v>100</v>
      </c>
      <c r="V11" s="1569" t="s">
        <v>8</v>
      </c>
      <c r="W11" s="1570">
        <f t="shared" si="2"/>
        <v>100</v>
      </c>
      <c r="X11" s="1571"/>
      <c r="Y11" s="3376"/>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19"/>
      <c r="Q12" s="1151">
        <f t="shared" si="6"/>
        <v>111</v>
      </c>
      <c r="R12" s="1569" t="s">
        <v>8</v>
      </c>
      <c r="S12" s="1570">
        <f t="shared" si="0"/>
        <v>100</v>
      </c>
      <c r="T12" s="1569" t="s">
        <v>8</v>
      </c>
      <c r="U12" s="1570">
        <f t="shared" si="1"/>
        <v>100</v>
      </c>
      <c r="V12" s="1569" t="s">
        <v>8</v>
      </c>
      <c r="W12" s="1570">
        <f t="shared" si="2"/>
        <v>100</v>
      </c>
      <c r="X12" s="1571"/>
      <c r="Y12" s="3376"/>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19"/>
      <c r="Q13" s="1151">
        <f t="shared" si="6"/>
        <v>111</v>
      </c>
      <c r="R13" s="1569" t="s">
        <v>8</v>
      </c>
      <c r="S13" s="1570">
        <f t="shared" si="0"/>
        <v>100</v>
      </c>
      <c r="T13" s="1569" t="s">
        <v>8</v>
      </c>
      <c r="U13" s="1570">
        <f t="shared" si="1"/>
        <v>100</v>
      </c>
      <c r="V13" s="1569" t="s">
        <v>8</v>
      </c>
      <c r="W13" s="1570">
        <f t="shared" si="2"/>
        <v>100</v>
      </c>
      <c r="X13" s="1571"/>
      <c r="Y13" s="3376"/>
      <c r="Z13" s="1150">
        <f t="shared" si="7"/>
        <v>111</v>
      </c>
      <c r="AA13" s="1572">
        <f t="shared" si="3"/>
        <v>1</v>
      </c>
      <c r="AB13" s="1572">
        <f t="shared" si="4"/>
        <v>1</v>
      </c>
      <c r="AC13" s="1572">
        <f t="shared" si="5"/>
        <v>1</v>
      </c>
    </row>
    <row r="14" spans="1:29" ht="142.5">
      <c r="A14" s="2936" t="s">
        <v>2754</v>
      </c>
      <c r="B14" s="166"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1" t="s">
        <v>540</v>
      </c>
      <c r="Q14" s="1573" t="str">
        <f t="shared" si="6"/>
        <v>交通便捷度</v>
      </c>
      <c r="R14" s="1574" t="s">
        <v>8</v>
      </c>
      <c r="S14" s="1575">
        <f t="shared" si="0"/>
        <v>100</v>
      </c>
      <c r="T14" s="1574" t="s">
        <v>8</v>
      </c>
      <c r="U14" s="1575">
        <f t="shared" si="1"/>
        <v>100</v>
      </c>
      <c r="V14" s="1574" t="s">
        <v>8</v>
      </c>
      <c r="W14" s="1575">
        <f t="shared" si="2"/>
        <v>100</v>
      </c>
      <c r="X14" s="1568"/>
      <c r="Y14" s="342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2"/>
      <c r="Q15" s="1573"/>
      <c r="R15" s="1574"/>
      <c r="S15" s="1575"/>
      <c r="T15" s="1574"/>
      <c r="U15" s="1575"/>
      <c r="V15" s="1574"/>
      <c r="W15" s="1575"/>
      <c r="X15" s="1568"/>
      <c r="Y15" s="3422"/>
      <c r="Z15" s="1576"/>
      <c r="AA15" s="1577">
        <v>1</v>
      </c>
      <c r="AB15" s="1577">
        <v>1</v>
      </c>
      <c r="AC15" s="1577">
        <v>1</v>
      </c>
    </row>
    <row r="16" spans="1:29" ht="42.75">
      <c r="A16" s="532"/>
      <c r="B16" s="2629" t="s">
        <v>2546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2"/>
      <c r="Q16" s="1573" t="str">
        <f>B16</f>
        <v>公共配套设施</v>
      </c>
      <c r="R16" s="1574" t="s">
        <v>8</v>
      </c>
      <c r="S16" s="1575">
        <f>F16</f>
        <v>100</v>
      </c>
      <c r="T16" s="1574" t="s">
        <v>8</v>
      </c>
      <c r="U16" s="1575">
        <f>H16</f>
        <v>100</v>
      </c>
      <c r="V16" s="1574" t="s">
        <v>8</v>
      </c>
      <c r="W16" s="1575">
        <f>J16</f>
        <v>100</v>
      </c>
      <c r="X16" s="1568"/>
      <c r="Y16" s="342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2"/>
      <c r="Q17" s="1573"/>
      <c r="R17" s="1574"/>
      <c r="S17" s="1575"/>
      <c r="T17" s="1574"/>
      <c r="U17" s="1575"/>
      <c r="V17" s="1574"/>
      <c r="W17" s="1575"/>
      <c r="X17" s="1568"/>
      <c r="Y17" s="3422"/>
      <c r="Z17" s="1576"/>
      <c r="AA17" s="1577">
        <v>1</v>
      </c>
      <c r="AB17" s="1577">
        <v>1</v>
      </c>
      <c r="AC17" s="1577">
        <v>1</v>
      </c>
    </row>
    <row r="18" spans="1:29" ht="42.75">
      <c r="A18" s="532"/>
      <c r="B18" s="2617" t="s">
        <v>2558</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2"/>
      <c r="Q18" s="2605" t="str">
        <f>B18</f>
        <v>基础设施水平</v>
      </c>
      <c r="R18" s="1574" t="s">
        <v>8</v>
      </c>
      <c r="S18" s="1575">
        <f>F18</f>
        <v>100</v>
      </c>
      <c r="T18" s="1574" t="s">
        <v>8</v>
      </c>
      <c r="U18" s="1575">
        <f>H18</f>
        <v>100</v>
      </c>
      <c r="V18" s="1574" t="s">
        <v>8</v>
      </c>
      <c r="W18" s="1575">
        <f>J18</f>
        <v>100</v>
      </c>
      <c r="X18" s="2607"/>
      <c r="Y18" s="3422"/>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22"/>
      <c r="Q19" s="2605"/>
      <c r="R19" s="1574"/>
      <c r="S19" s="1575"/>
      <c r="T19" s="1574"/>
      <c r="U19" s="1575"/>
      <c r="V19" s="1574"/>
      <c r="W19" s="1575"/>
      <c r="X19" s="2607"/>
      <c r="Y19" s="3422"/>
      <c r="Z19" s="2606"/>
      <c r="AA19" s="1577">
        <v>1</v>
      </c>
      <c r="AB19" s="1577">
        <v>1</v>
      </c>
      <c r="AC19" s="1577">
        <v>1</v>
      </c>
    </row>
    <row r="20" spans="1:29" ht="114">
      <c r="A20" s="532"/>
      <c r="B20" s="871" t="s">
        <v>804</v>
      </c>
      <c r="C20" s="872" t="str">
        <f>IF(B1="工业",估价对象房地状况!G7,估价对象房地状况!C9)</f>
        <v>区域自然环境：四川北路公园、交通公园；人文环境：上海城建职业学院、上海铁路博物馆；综合评价环境状况较好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2"/>
      <c r="Q20" s="1573" t="str">
        <f>B20</f>
        <v>自然及人文环境</v>
      </c>
      <c r="R20" s="1574" t="s">
        <v>8</v>
      </c>
      <c r="S20" s="1575">
        <f>F20</f>
        <v>100</v>
      </c>
      <c r="T20" s="1574" t="s">
        <v>8</v>
      </c>
      <c r="U20" s="1575">
        <f>H20</f>
        <v>100</v>
      </c>
      <c r="V20" s="1574" t="s">
        <v>8</v>
      </c>
      <c r="W20" s="1575">
        <f>J20</f>
        <v>100</v>
      </c>
      <c r="X20" s="1568"/>
      <c r="Y20" s="342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2"/>
      <c r="Q21" s="1573"/>
      <c r="R21" s="1574"/>
      <c r="S21" s="1575"/>
      <c r="T21" s="1574"/>
      <c r="U21" s="1575"/>
      <c r="V21" s="1574"/>
      <c r="W21" s="1575"/>
      <c r="X21" s="1568"/>
      <c r="Y21" s="342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2"/>
      <c r="Q22" s="1573" t="str">
        <f>B22</f>
        <v>楼层</v>
      </c>
      <c r="R22" s="1574" t="s">
        <v>8</v>
      </c>
      <c r="S22" s="1575">
        <f>F22</f>
        <v>100</v>
      </c>
      <c r="T22" s="1574" t="s">
        <v>8</v>
      </c>
      <c r="U22" s="1575">
        <f>H22</f>
        <v>100</v>
      </c>
      <c r="V22" s="1574" t="s">
        <v>8</v>
      </c>
      <c r="W22" s="1575">
        <f>J22</f>
        <v>100</v>
      </c>
      <c r="X22" s="1568"/>
      <c r="Y22" s="342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2"/>
      <c r="Q23" s="1573">
        <f>B23</f>
        <v>111</v>
      </c>
      <c r="R23" s="1574" t="s">
        <v>8</v>
      </c>
      <c r="S23" s="1575">
        <f>F23</f>
        <v>100</v>
      </c>
      <c r="T23" s="1574" t="s">
        <v>8</v>
      </c>
      <c r="U23" s="1575">
        <f>H23</f>
        <v>100</v>
      </c>
      <c r="V23" s="1574" t="s">
        <v>8</v>
      </c>
      <c r="W23" s="1575">
        <f>J23</f>
        <v>100</v>
      </c>
      <c r="X23" s="1568"/>
      <c r="Y23" s="342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2"/>
      <c r="Q24" s="1573">
        <f t="shared" ref="Q24:Q34" si="11">B24</f>
        <v>111</v>
      </c>
      <c r="R24" s="1574" t="s">
        <v>8</v>
      </c>
      <c r="S24" s="1575">
        <f>F24</f>
        <v>100</v>
      </c>
      <c r="T24" s="1574" t="s">
        <v>8</v>
      </c>
      <c r="U24" s="1575">
        <f>H24</f>
        <v>100</v>
      </c>
      <c r="V24" s="1574" t="s">
        <v>8</v>
      </c>
      <c r="W24" s="1575">
        <f>J24</f>
        <v>100</v>
      </c>
      <c r="X24" s="1568"/>
      <c r="Y24" s="342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2"/>
      <c r="Q25" s="1151">
        <f t="shared" si="11"/>
        <v>111</v>
      </c>
      <c r="R25" s="1569" t="s">
        <v>8</v>
      </c>
      <c r="S25" s="1570">
        <f>F25</f>
        <v>100</v>
      </c>
      <c r="T25" s="1569" t="s">
        <v>8</v>
      </c>
      <c r="U25" s="1570">
        <f>H25</f>
        <v>100</v>
      </c>
      <c r="V25" s="1569" t="s">
        <v>8</v>
      </c>
      <c r="W25" s="1570">
        <f>J25</f>
        <v>100</v>
      </c>
      <c r="X25" s="1571"/>
      <c r="Y25" s="3422"/>
      <c r="Z25" s="1150">
        <f>Q25</f>
        <v>111</v>
      </c>
      <c r="AA25" s="1577">
        <f>D25/F25</f>
        <v>1</v>
      </c>
      <c r="AB25" s="1577">
        <f>D25/H25</f>
        <v>1</v>
      </c>
      <c r="AC25" s="1577">
        <f>D25/J25</f>
        <v>1</v>
      </c>
    </row>
    <row r="26" spans="1:29" ht="15">
      <c r="A26" s="293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4"/>
      <c r="Q27" s="1606" t="str">
        <f t="shared" si="11"/>
        <v>成新率</v>
      </c>
      <c r="R27" s="1578" t="s">
        <v>8</v>
      </c>
      <c r="S27" s="1579" t="e">
        <f t="shared" si="12"/>
        <v>#N/A</v>
      </c>
      <c r="T27" s="1578" t="s">
        <v>8</v>
      </c>
      <c r="U27" s="1579" t="e">
        <f t="shared" si="13"/>
        <v>#N/A</v>
      </c>
      <c r="V27" s="1578" t="s">
        <v>8</v>
      </c>
      <c r="W27" s="1579" t="e">
        <f t="shared" si="14"/>
        <v>#N/A</v>
      </c>
      <c r="X27" s="1580"/>
      <c r="Y27" s="342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4"/>
      <c r="Q28" s="1573" t="str">
        <f t="shared" si="11"/>
        <v>物业等级</v>
      </c>
      <c r="R28" s="1574" t="s">
        <v>8</v>
      </c>
      <c r="S28" s="1575">
        <f t="shared" si="12"/>
        <v>100</v>
      </c>
      <c r="T28" s="1574" t="s">
        <v>8</v>
      </c>
      <c r="U28" s="1575">
        <f t="shared" si="13"/>
        <v>100</v>
      </c>
      <c r="V28" s="1574" t="s">
        <v>8</v>
      </c>
      <c r="W28" s="1575">
        <f t="shared" si="14"/>
        <v>100</v>
      </c>
      <c r="X28" s="1568"/>
      <c r="Y28" s="342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4"/>
      <c r="Q29" s="1573" t="str">
        <f t="shared" si="11"/>
        <v>有无电梯</v>
      </c>
      <c r="R29" s="1574" t="s">
        <v>8</v>
      </c>
      <c r="S29" s="1575">
        <f t="shared" si="12"/>
        <v>100</v>
      </c>
      <c r="T29" s="1574" t="s">
        <v>8</v>
      </c>
      <c r="U29" s="1575">
        <f t="shared" si="13"/>
        <v>100</v>
      </c>
      <c r="V29" s="1574" t="s">
        <v>8</v>
      </c>
      <c r="W29" s="1575">
        <f t="shared" si="14"/>
        <v>100</v>
      </c>
      <c r="X29" s="1568"/>
      <c r="Y29" s="342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4"/>
      <c r="Q30" s="1573" t="str">
        <f t="shared" si="11"/>
        <v>建筑面积</v>
      </c>
      <c r="R30" s="1574" t="s">
        <v>8</v>
      </c>
      <c r="S30" s="1575" t="e">
        <f t="shared" si="12"/>
        <v>#N/A</v>
      </c>
      <c r="T30" s="1574" t="s">
        <v>8</v>
      </c>
      <c r="U30" s="1575" t="e">
        <f t="shared" si="13"/>
        <v>#N/A</v>
      </c>
      <c r="V30" s="1574" t="s">
        <v>8</v>
      </c>
      <c r="W30" s="1575" t="e">
        <f t="shared" si="14"/>
        <v>#N/A</v>
      </c>
      <c r="X30" s="1568"/>
      <c r="Y30" s="342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4"/>
      <c r="Q31" s="1151" t="str">
        <f t="shared" si="11"/>
        <v>是否封闭</v>
      </c>
      <c r="R31" s="1569" t="s">
        <v>8</v>
      </c>
      <c r="S31" s="1570">
        <f t="shared" si="12"/>
        <v>100</v>
      </c>
      <c r="T31" s="1569" t="s">
        <v>8</v>
      </c>
      <c r="U31" s="1570">
        <f t="shared" si="13"/>
        <v>100</v>
      </c>
      <c r="V31" s="1569" t="s">
        <v>8</v>
      </c>
      <c r="W31" s="1570">
        <f t="shared" si="14"/>
        <v>100</v>
      </c>
      <c r="X31" s="1571"/>
      <c r="Y31" s="342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4" t="s">
        <v>550</v>
      </c>
      <c r="Q32" s="1573">
        <f t="shared" si="11"/>
        <v>111</v>
      </c>
      <c r="R32" s="1574" t="s">
        <v>8</v>
      </c>
      <c r="S32" s="1575">
        <f t="shared" si="12"/>
        <v>100</v>
      </c>
      <c r="T32" s="1574" t="s">
        <v>8</v>
      </c>
      <c r="U32" s="1575">
        <f t="shared" si="13"/>
        <v>100</v>
      </c>
      <c r="V32" s="1574" t="s">
        <v>8</v>
      </c>
      <c r="W32" s="1575">
        <f t="shared" si="14"/>
        <v>100</v>
      </c>
      <c r="X32" s="1568"/>
      <c r="Y32" s="342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4"/>
      <c r="Q33" s="1573">
        <f t="shared" si="11"/>
        <v>111</v>
      </c>
      <c r="R33" s="1574" t="s">
        <v>8</v>
      </c>
      <c r="S33" s="1575">
        <f t="shared" si="12"/>
        <v>100</v>
      </c>
      <c r="T33" s="1574" t="s">
        <v>8</v>
      </c>
      <c r="U33" s="1575">
        <f t="shared" si="13"/>
        <v>100</v>
      </c>
      <c r="V33" s="1574" t="s">
        <v>8</v>
      </c>
      <c r="W33" s="1575">
        <f t="shared" si="14"/>
        <v>100</v>
      </c>
      <c r="X33" s="1568"/>
      <c r="Y33" s="342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4"/>
      <c r="Q34" s="1573">
        <f t="shared" si="11"/>
        <v>111</v>
      </c>
      <c r="R34" s="1574" t="s">
        <v>8</v>
      </c>
      <c r="S34" s="1575">
        <f t="shared" si="12"/>
        <v>100</v>
      </c>
      <c r="T34" s="1574" t="s">
        <v>8</v>
      </c>
      <c r="U34" s="1575">
        <f t="shared" si="13"/>
        <v>100</v>
      </c>
      <c r="V34" s="1574" t="s">
        <v>8</v>
      </c>
      <c r="W34" s="1575">
        <f t="shared" si="14"/>
        <v>100</v>
      </c>
      <c r="X34" s="1568"/>
      <c r="Y34" s="3424"/>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419" t="str">
        <f>A35</f>
        <v>成交单价（元/平方米）</v>
      </c>
      <c r="Q35" s="3419"/>
      <c r="R35" s="3498">
        <f>E35</f>
        <v>0</v>
      </c>
      <c r="S35" s="3498"/>
      <c r="T35" s="3498">
        <f>G35</f>
        <v>0</v>
      </c>
      <c r="U35" s="3498"/>
      <c r="V35" s="3498">
        <f>I35</f>
        <v>0</v>
      </c>
      <c r="W35" s="3498"/>
      <c r="X35" s="1560"/>
      <c r="Y35" s="1582"/>
      <c r="Z35" s="1560"/>
      <c r="AA35" s="1560"/>
      <c r="AB35" s="1560"/>
      <c r="AC35" s="1560"/>
    </row>
    <row r="36" spans="1:29" ht="15.7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419" t="str">
        <f>A36</f>
        <v>比较价格（元/平方米）</v>
      </c>
      <c r="Q36" s="3419"/>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60"/>
      <c r="Y36" s="1560"/>
      <c r="Z36" s="1560"/>
      <c r="AA36" s="1560"/>
      <c r="AB36" s="1560"/>
      <c r="AC36" s="1560"/>
    </row>
    <row r="37" spans="1:29" ht="15.75" thickBot="1">
      <c r="A37" s="621" t="s">
        <v>2933</v>
      </c>
      <c r="B37" s="622"/>
      <c r="C37" s="2662" t="e">
        <f>R37</f>
        <v>#DIV/0!</v>
      </c>
      <c r="D37" s="2662"/>
      <c r="E37" s="2662"/>
      <c r="F37" s="2662"/>
      <c r="G37" s="2662"/>
      <c r="H37" s="2662"/>
      <c r="I37" s="2662"/>
      <c r="J37" s="2662"/>
      <c r="K37" s="1614"/>
      <c r="L37" s="2146"/>
      <c r="M37" s="2147"/>
      <c r="N37" s="2147"/>
      <c r="O37" s="2147"/>
      <c r="P37" s="3440" t="str">
        <f>A37</f>
        <v>估价对象XX用房的比较价格（楼面单价，元/平方米）</v>
      </c>
      <c r="Q37" s="3441"/>
      <c r="R37" s="3497" t="e">
        <f>IF(F1="售价",ROUND(AVERAGE(R36:V36),0),ROUND(AVERAGE(R36:V36),1))</f>
        <v>#DIV/0!</v>
      </c>
      <c r="S37" s="3497"/>
      <c r="T37" s="3497"/>
      <c r="U37" s="3497"/>
      <c r="V37" s="3497"/>
      <c r="W37" s="349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530" t="s">
        <v>2303</v>
      </c>
      <c r="D1" s="3531"/>
      <c r="E1" s="3531"/>
      <c r="F1" s="3531"/>
      <c r="G1" s="3531"/>
      <c r="H1" s="3531"/>
      <c r="I1" s="3531"/>
      <c r="J1" s="3531"/>
      <c r="K1" s="3531"/>
      <c r="L1" s="3531"/>
      <c r="M1" s="3531"/>
      <c r="N1" s="3531"/>
      <c r="O1" s="3531"/>
      <c r="P1" s="3531"/>
      <c r="Q1" s="3531"/>
      <c r="R1" s="3531"/>
      <c r="S1" s="3532"/>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3"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5"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5"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4"/>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3"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3"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3"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7" t="s">
        <v>20</v>
      </c>
      <c r="D22" s="3528"/>
      <c r="E22" s="3528"/>
      <c r="F22" s="3528"/>
      <c r="G22" s="3528"/>
      <c r="H22" s="3528"/>
      <c r="I22" s="3528"/>
      <c r="J22" s="3528"/>
      <c r="K22" s="3528"/>
      <c r="L22" s="3528"/>
      <c r="M22" s="3528"/>
      <c r="N22" s="3528"/>
      <c r="O22" s="3528"/>
      <c r="P22" s="3528"/>
      <c r="Q22" s="352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2788</v>
      </c>
      <c r="C1" s="3030">
        <f>项目基本情况!D3</f>
        <v>43248</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2819</v>
      </c>
      <c r="C2" s="3031">
        <f>'数据-取费表'!B22</f>
        <v>2</v>
      </c>
      <c r="D2" s="3026" t="s">
        <v>2789</v>
      </c>
      <c r="E2" s="3029">
        <f ca="1">INDIRECT("I"&amp;$I$1)/100</f>
        <v>4.7500000000000001E-2</v>
      </c>
      <c r="G2" s="2966"/>
      <c r="H2" s="2966"/>
      <c r="I2" s="2966" t="s">
        <v>2790</v>
      </c>
      <c r="K2" s="2966"/>
      <c r="L2" s="2966"/>
      <c r="M2" s="2966"/>
      <c r="N2" s="2966" t="s">
        <v>2791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2821</v>
      </c>
      <c r="C3" s="3028">
        <f>'数据-取费表'!B19</f>
        <v>0</v>
      </c>
      <c r="D3" s="3026" t="s">
        <v>2789</v>
      </c>
      <c r="E3" s="3029">
        <f ca="1">INDIRECT("J"&amp;$J$1)/100</f>
        <v>0</v>
      </c>
      <c r="G3" s="2968" t="s">
        <v>2792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2820</v>
      </c>
      <c r="C4" s="3029">
        <f ca="1">N4/100</f>
        <v>1.4999999999999999E-2</v>
      </c>
      <c r="G4" s="2974" t="s">
        <v>2793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2798</v>
      </c>
      <c r="C10" s="2993"/>
      <c r="D10" s="2993"/>
      <c r="E10" s="2993"/>
      <c r="F10" s="2993"/>
      <c r="G10" s="2993"/>
      <c r="H10" s="2993"/>
      <c r="I10" s="2967"/>
      <c r="J10" s="2967"/>
      <c r="K10" s="2993"/>
      <c r="L10" s="2994" t="s">
        <v>2799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2800</v>
      </c>
      <c r="C11" s="2998" t="s">
        <v>2801</v>
      </c>
      <c r="D11" s="2999" t="s">
        <v>2802</v>
      </c>
      <c r="E11" s="3000"/>
      <c r="F11" s="2999" t="s">
        <v>2803</v>
      </c>
      <c r="G11" s="3001"/>
      <c r="H11" s="3000"/>
      <c r="I11" s="2999" t="s">
        <v>2804</v>
      </c>
      <c r="J11" s="3000"/>
      <c r="K11" s="2996"/>
      <c r="L11" s="2997" t="s">
        <v>2800</v>
      </c>
      <c r="M11" s="2998" t="s">
        <v>2801</v>
      </c>
      <c r="N11" s="2997" t="s">
        <v>2805</v>
      </c>
      <c r="O11" s="2999" t="s">
        <v>2806</v>
      </c>
      <c r="P11" s="3001"/>
      <c r="Q11" s="3001"/>
      <c r="R11" s="3001"/>
      <c r="S11" s="3001"/>
      <c r="T11" s="3000"/>
      <c r="U11" s="2999" t="s">
        <v>2807</v>
      </c>
      <c r="V11" s="3001"/>
      <c r="W11" s="3000"/>
      <c r="X11" s="2997" t="s">
        <v>2808</v>
      </c>
      <c r="Y11" s="2997" t="s">
        <v>2809</v>
      </c>
      <c r="Z11" s="2997" t="s">
        <v>2810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2811</v>
      </c>
      <c r="E12" s="3006" t="s">
        <v>2812</v>
      </c>
      <c r="F12" s="3006" t="s">
        <v>2813</v>
      </c>
      <c r="G12" s="3006" t="s">
        <v>2814</v>
      </c>
      <c r="H12" s="3006" t="s">
        <v>2796</v>
      </c>
      <c r="I12" s="3007" t="s">
        <v>2815</v>
      </c>
      <c r="J12" s="3007" t="s">
        <v>2815</v>
      </c>
      <c r="K12" s="3003"/>
      <c r="L12" s="3004"/>
      <c r="M12" s="3005"/>
      <c r="N12" s="3004"/>
      <c r="O12" s="3007" t="s">
        <v>2816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2817</v>
      </c>
      <c r="C13" s="3011">
        <v>42301</v>
      </c>
      <c r="D13" s="3012">
        <v>4.3499999999999996</v>
      </c>
      <c r="E13" s="3012">
        <v>4.3499999999999996</v>
      </c>
      <c r="F13" s="3012">
        <v>4.75</v>
      </c>
      <c r="G13" s="3012">
        <v>4.75</v>
      </c>
      <c r="H13" s="3012">
        <v>4.9000000000000004</v>
      </c>
      <c r="I13" s="3012">
        <v>2.75</v>
      </c>
      <c r="J13" s="3012">
        <v>3.25</v>
      </c>
      <c r="K13" s="3009"/>
      <c r="L13" s="3010" t="s">
        <v>2817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2818</v>
      </c>
      <c r="Y42" s="3016" t="s">
        <v>2818</v>
      </c>
      <c r="Z42" s="3016" t="s">
        <v>2818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2818</v>
      </c>
      <c r="Y43" s="3016" t="s">
        <v>2818</v>
      </c>
      <c r="Z43" s="3016" t="s">
        <v>2818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2818</v>
      </c>
      <c r="Y44" s="3016" t="s">
        <v>2818</v>
      </c>
      <c r="Z44" s="3016" t="s">
        <v>2818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2818</v>
      </c>
      <c r="Y45" s="3016" t="s">
        <v>2818</v>
      </c>
      <c r="Z45" s="3016" t="s">
        <v>2818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2818</v>
      </c>
      <c r="Y46" s="3016" t="s">
        <v>2818</v>
      </c>
      <c r="Z46" s="3016" t="s">
        <v>2818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2818</v>
      </c>
      <c r="Y47" s="3016" t="s">
        <v>2818</v>
      </c>
      <c r="Z47" s="3016" t="s">
        <v>2818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2818</v>
      </c>
      <c r="Y48" s="3016" t="s">
        <v>2818</v>
      </c>
      <c r="Z48" s="3016" t="s">
        <v>2818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2818</v>
      </c>
      <c r="Y49" s="3016" t="s">
        <v>2818</v>
      </c>
      <c r="Z49" s="3016" t="s">
        <v>2818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2818</v>
      </c>
      <c r="Y50" s="3016" t="s">
        <v>2818</v>
      </c>
      <c r="Z50" s="3016" t="s">
        <v>2818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2818</v>
      </c>
      <c r="V51" s="3016" t="s">
        <v>2818</v>
      </c>
      <c r="W51" s="3016" t="s">
        <v>2818</v>
      </c>
      <c r="X51" s="3016" t="s">
        <v>2818</v>
      </c>
      <c r="Y51" s="3016" t="s">
        <v>2818</v>
      </c>
      <c r="Z51" s="3016" t="s">
        <v>2818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2818</v>
      </c>
      <c r="J55" s="3016" t="s">
        <v>2818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2037</v>
      </c>
      <c r="B1" s="3226"/>
      <c r="C1" s="3226"/>
      <c r="D1" s="3226"/>
      <c r="E1" s="3226"/>
      <c r="F1" s="3226"/>
      <c r="G1" s="3226"/>
      <c r="H1" s="3226"/>
      <c r="I1" s="3226"/>
      <c r="J1" s="3226"/>
      <c r="K1" s="3226"/>
      <c r="L1" s="3226"/>
      <c r="M1" s="3226"/>
      <c r="N1" s="3226"/>
      <c r="O1" s="3226"/>
      <c r="P1" s="3226"/>
      <c r="Q1" s="3226"/>
      <c r="R1" s="3226"/>
    </row>
    <row r="2" spans="1:18">
      <c r="A2" s="1809" t="s">
        <v>2039</v>
      </c>
      <c r="B2" s="1809"/>
      <c r="C2" s="1809"/>
      <c r="D2" s="1809"/>
      <c r="E2" s="1809"/>
      <c r="F2" s="1809"/>
      <c r="G2" s="1809"/>
      <c r="H2" s="1809"/>
      <c r="I2" s="1810"/>
      <c r="J2" s="1810"/>
      <c r="K2" s="1811" t="str">
        <f>"估价期日："&amp;TEXT(项目基本情况!D3,"yyyy年m月d日;;")</f>
        <v>估价期日：2018年5月28日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7" t="s">
        <v>2028</v>
      </c>
      <c r="B3" s="3227" t="s">
        <v>2731</v>
      </c>
      <c r="C3" s="3228" t="s">
        <v>2029</v>
      </c>
      <c r="D3" s="3227" t="s">
        <v>2735</v>
      </c>
      <c r="E3" s="3230" t="s">
        <v>2030</v>
      </c>
      <c r="F3" s="3230"/>
      <c r="G3" s="3230"/>
      <c r="H3" s="3230" t="s">
        <v>2031</v>
      </c>
      <c r="I3" s="3230"/>
      <c r="J3" s="3230"/>
      <c r="K3" s="3228" t="s">
        <v>2032</v>
      </c>
      <c r="L3" s="3228" t="s">
        <v>2033</v>
      </c>
      <c r="M3" s="3227" t="s">
        <v>2732</v>
      </c>
      <c r="N3" s="3229" t="str">
        <f>"（分摊）"&amp;项目基本情况!B16&amp;"国有建设用地使用权面积/㎡"</f>
        <v>（分摊）出让国有建设用地使用权面积/㎡</v>
      </c>
      <c r="O3" s="3227" t="s">
        <v>2062</v>
      </c>
      <c r="P3" s="3228" t="s">
        <v>2042</v>
      </c>
      <c r="Q3" s="3228" t="s">
        <v>2063</v>
      </c>
      <c r="R3" s="3228" t="s">
        <v>2034</v>
      </c>
    </row>
    <row r="4" spans="1:18" ht="36.75" customHeight="1">
      <c r="A4" s="3227"/>
      <c r="B4" s="3227"/>
      <c r="C4" s="3228"/>
      <c r="D4" s="3227"/>
      <c r="E4" s="2675" t="s">
        <v>2041</v>
      </c>
      <c r="F4" s="2675" t="s">
        <v>2744</v>
      </c>
      <c r="G4" s="2675" t="s">
        <v>2035</v>
      </c>
      <c r="H4" s="2675" t="s">
        <v>2036</v>
      </c>
      <c r="I4" s="2675" t="s">
        <v>2745</v>
      </c>
      <c r="J4" s="2675" t="s">
        <v>2035</v>
      </c>
      <c r="K4" s="3228"/>
      <c r="L4" s="3228"/>
      <c r="M4" s="3227"/>
      <c r="N4" s="3229"/>
      <c r="O4" s="3227"/>
      <c r="P4" s="3228"/>
      <c r="Q4" s="3228"/>
      <c r="R4" s="3228"/>
    </row>
    <row r="5" spans="1:18" ht="135" customHeight="1">
      <c r="A5" s="1945" t="s">
        <v>2655</v>
      </c>
      <c r="B5" s="2893" t="s">
        <v>2653</v>
      </c>
      <c r="C5" s="2674">
        <v>22</v>
      </c>
      <c r="D5" s="2673" t="s">
        <v>2654</v>
      </c>
      <c r="E5" s="1812" t="str">
        <f>项目基本情况!B12</f>
        <v>商住</v>
      </c>
      <c r="F5" s="2673">
        <v>258</v>
      </c>
      <c r="G5" s="1812" t="str">
        <f>项目基本情况!B13</f>
        <v>住宅、商业、地下车库</v>
      </c>
      <c r="H5" s="2673">
        <v>1.5</v>
      </c>
      <c r="I5" s="2673">
        <v>1.5</v>
      </c>
      <c r="J5" s="2673">
        <v>1.5</v>
      </c>
      <c r="K5" s="1812" t="str">
        <f>"红线外"&amp;项目基本情况!T40&amp;"、宗地红线内"&amp;项目基本情况!B35</f>
        <v>红线外七通、宗地红线内宗地内已开工建设</v>
      </c>
      <c r="L5" s="1812" t="str">
        <f>"红线外"&amp;项目基本情况!T40&amp;"、宗地红线内场地"&amp;项目基本情况!D36</f>
        <v>红线外七通、宗地红线内场地平整</v>
      </c>
      <c r="M5" s="1812">
        <f>IF(项目基本情况!B16="出让",项目基本情况!D20,"——")</f>
        <v>0</v>
      </c>
      <c r="N5" s="1812">
        <f>项目基本情况!C22</f>
        <v>19651.2</v>
      </c>
      <c r="O5" s="1812">
        <f>项目基本情况!C21</f>
        <v>88257.98000000001</v>
      </c>
      <c r="P5" s="1812">
        <f ca="1">结果表!E42</f>
        <v>298875</v>
      </c>
      <c r="Q5" s="1812">
        <f ca="1">结果表!D42</f>
        <v>66547</v>
      </c>
      <c r="R5" s="1813">
        <f ca="1">结果表!C42</f>
        <v>587326</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814">
        <f ca="1">结果表!O39</f>
        <v>587326</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814" t="str">
        <f>结果表!O40</f>
        <v>——</v>
      </c>
    </row>
    <row r="8" spans="1:18">
      <c r="A8" s="3231">
        <f>IF(项目基本情况!B9="市场价格","——",项目基本情况!E9)</f>
        <v>0</v>
      </c>
      <c r="B8" s="3232"/>
      <c r="C8" s="3232"/>
      <c r="D8" s="3232"/>
      <c r="E8" s="3232"/>
      <c r="F8" s="3232"/>
      <c r="G8" s="3232"/>
      <c r="H8" s="3232"/>
      <c r="I8" s="3232"/>
      <c r="J8" s="3232"/>
      <c r="K8" s="3232"/>
      <c r="L8" s="3232"/>
      <c r="M8" s="3232"/>
      <c r="N8" s="3232"/>
      <c r="O8" s="3232"/>
      <c r="P8" s="3232"/>
      <c r="Q8" s="3233"/>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34" t="s">
        <v>2064</v>
      </c>
      <c r="B1" s="3234"/>
      <c r="C1" s="3234"/>
      <c r="D1" s="3234"/>
    </row>
    <row r="2" spans="1:4" ht="47.25" customHeight="1">
      <c r="A2" s="3238" t="str">
        <f>"1.权利限制："&amp;项目基本情况!L24&amp;"未设定租赁等其他他项权利。"</f>
        <v>1.权利限制：根据估价对象《不动产权证书》复印件、《国有土地使用权》复印件，截至估价期日，估价对象抵押权未见登记。未设定租赁等其他他项权利。</v>
      </c>
      <c r="B2" s="3238"/>
      <c r="C2" s="3238"/>
      <c r="D2" s="3238"/>
    </row>
    <row r="3" spans="1:4" ht="48" customHeight="1">
      <c r="A3" s="323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4"/>
      <c r="C3" s="3234"/>
      <c r="D3" s="3234"/>
    </row>
    <row r="4" spans="1:4" ht="36.75" customHeight="1">
      <c r="A4" s="3234" t="str">
        <f>"3.估价规划限制条件：详见"&amp;项目基本情况!E21&amp;"。"</f>
        <v>3.估价规划限制条件：详见《建设工程规划许可证》[]、《出让合同》[]。</v>
      </c>
      <c r="B4" s="3234"/>
      <c r="C4" s="3234"/>
      <c r="D4" s="3234"/>
    </row>
    <row r="5" spans="1:4">
      <c r="A5" s="3237" t="s">
        <v>2065</v>
      </c>
      <c r="B5" s="3237"/>
      <c r="C5" s="3237"/>
      <c r="D5" s="3237"/>
    </row>
    <row r="6" spans="1:4">
      <c r="A6" s="3234" t="s">
        <v>2043</v>
      </c>
      <c r="B6" s="3234"/>
      <c r="C6" s="3234"/>
      <c r="D6" s="3234"/>
    </row>
    <row r="7" spans="1:4" ht="33" customHeight="1">
      <c r="A7" s="3234" t="s">
        <v>2575</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（1）根据估价对象《不动产权证书》复印件、《国有土地使用权》复印件，截至估价期日，估价对象抵押权未见登记。</v>
      </c>
      <c r="B11" s="3236"/>
      <c r="C11" s="3236"/>
      <c r="D11" s="3236"/>
    </row>
    <row r="12" spans="1:4" ht="168" customHeight="1">
      <c r="A12" s="3237" t="s">
        <v>2067</v>
      </c>
      <c r="B12" s="3237"/>
      <c r="C12" s="3237"/>
      <c r="D12" s="3237"/>
    </row>
    <row r="13" spans="1:4">
      <c r="A13" s="3235" t="s">
        <v>2746</v>
      </c>
      <c r="B13" s="3235"/>
      <c r="C13" s="3235"/>
      <c r="D13" s="3235"/>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2702</v>
      </c>
      <c r="B17" s="3234"/>
      <c r="C17" s="3234"/>
      <c r="D17" s="3234"/>
    </row>
    <row r="18" spans="1:4">
      <c r="A18" s="3234" t="s">
        <v>2694</v>
      </c>
      <c r="B18" s="3234"/>
      <c r="C18" s="3234"/>
      <c r="D18" s="3234"/>
    </row>
    <row r="19" spans="1:4">
      <c r="A19" s="2894" t="s">
        <v>2695</v>
      </c>
      <c r="B19" s="2894" t="s">
        <v>2696</v>
      </c>
      <c r="C19" s="2894" t="s">
        <v>2697</v>
      </c>
      <c r="D19" s="2894" t="s">
        <v>2698</v>
      </c>
    </row>
    <row r="20" spans="1:4">
      <c r="A20" s="2894" t="str">
        <f>项目基本情况!B4</f>
        <v>赵雯</v>
      </c>
      <c r="B20" s="2894">
        <f ca="1">项目基本情况!C4</f>
        <v>2011110090</v>
      </c>
      <c r="C20" s="2896"/>
      <c r="D20" s="1802" t="s">
        <v>2703</v>
      </c>
    </row>
    <row r="21" spans="1:4">
      <c r="A21" s="2894" t="str">
        <f>项目基本情况!D4</f>
        <v>崔锴</v>
      </c>
      <c r="B21" s="2894">
        <f ca="1">项目基本情况!E4</f>
        <v>2010110070</v>
      </c>
      <c r="C21" s="2896"/>
      <c r="D21" s="1802" t="s">
        <v>2704</v>
      </c>
    </row>
    <row r="23" spans="1:4">
      <c r="A23" s="3234" t="s">
        <v>2699</v>
      </c>
      <c r="B23" s="3234"/>
      <c r="C23" s="3234"/>
      <c r="D23" s="3234"/>
    </row>
    <row r="24" spans="1:4">
      <c r="A24" s="2894" t="s">
        <v>2695</v>
      </c>
      <c r="B24" s="2894" t="s">
        <v>2700</v>
      </c>
      <c r="C24" s="2894" t="s">
        <v>2697</v>
      </c>
      <c r="D24" s="2894" t="s">
        <v>2698</v>
      </c>
    </row>
    <row r="25" spans="1:4">
      <c r="A25" s="2897" t="s">
        <v>2701</v>
      </c>
      <c r="B25" s="2894" t="s">
        <v>952</v>
      </c>
      <c r="C25" s="2896"/>
      <c r="D25" s="1802" t="s">
        <v>2704</v>
      </c>
    </row>
    <row r="29" spans="1:4">
      <c r="D29" s="2895" t="s">
        <v>2038</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6" t="s">
        <v>53</v>
      </c>
      <c r="B15" s="3247" t="s">
        <v>846</v>
      </c>
      <c r="C15" s="3243"/>
    </row>
    <row r="16" spans="1:7" ht="14.25">
      <c r="A16" s="3246"/>
      <c r="B16" s="3244" t="s">
        <v>54</v>
      </c>
      <c r="C16" s="1172" t="s">
        <v>53</v>
      </c>
    </row>
    <row r="17" spans="1:3" ht="14.25">
      <c r="A17" s="3246"/>
      <c r="B17" s="3244"/>
      <c r="C17" s="1172" t="s">
        <v>55</v>
      </c>
    </row>
    <row r="18" spans="1:3" ht="14.25">
      <c r="A18" s="3246"/>
      <c r="B18" s="3244"/>
      <c r="C18" s="1172" t="s">
        <v>56</v>
      </c>
    </row>
    <row r="19" spans="1:3" ht="14.25">
      <c r="A19" s="3246"/>
      <c r="B19" s="3242" t="s">
        <v>57</v>
      </c>
      <c r="C19" s="3243"/>
    </row>
    <row r="20" spans="1:3" ht="14.25">
      <c r="A20" s="1173" t="s">
        <v>58</v>
      </c>
      <c r="B20" s="1174"/>
      <c r="C20" s="1175"/>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6" t="s">
        <v>837</v>
      </c>
    </row>
    <row r="25" spans="1:3" ht="14.25">
      <c r="A25" s="3245"/>
      <c r="B25" s="3249"/>
      <c r="C25" s="1176" t="s">
        <v>838</v>
      </c>
    </row>
    <row r="26" spans="1:3" ht="14.25">
      <c r="A26" s="3245"/>
      <c r="B26" s="3249"/>
      <c r="C26" s="1176" t="s">
        <v>839</v>
      </c>
    </row>
    <row r="27" spans="1:3" ht="14.25">
      <c r="A27" s="3245"/>
      <c r="B27" s="3249"/>
      <c r="C27" s="1176" t="s">
        <v>840</v>
      </c>
    </row>
    <row r="28" spans="1:3" ht="14.25">
      <c r="A28" s="3245"/>
      <c r="B28" s="3249"/>
      <c r="C28" s="1176" t="s">
        <v>841</v>
      </c>
    </row>
    <row r="29" spans="1:3" ht="14.25">
      <c r="A29" s="3245"/>
      <c r="B29" s="3249"/>
      <c r="C29" s="1176" t="s">
        <v>842</v>
      </c>
    </row>
    <row r="30" spans="1:3" ht="14.25">
      <c r="A30" s="3245"/>
      <c r="B30" s="3249"/>
      <c r="C30" s="1176" t="s">
        <v>843</v>
      </c>
    </row>
    <row r="31" spans="1:3" ht="14.25">
      <c r="A31" s="3245"/>
      <c r="B31" s="3249"/>
      <c r="C31" s="1176" t="s">
        <v>844</v>
      </c>
    </row>
    <row r="32" spans="1:3" ht="14.25">
      <c r="A32" s="3245"/>
      <c r="B32" s="3249"/>
      <c r="C32" s="1176" t="s">
        <v>1647</v>
      </c>
    </row>
    <row r="33" spans="1:3" ht="14.25">
      <c r="A33" s="3245"/>
      <c r="B33" s="3239" t="s">
        <v>1653</v>
      </c>
      <c r="C33" s="1176" t="s">
        <v>1648</v>
      </c>
    </row>
    <row r="34" spans="1:3" ht="14.25">
      <c r="A34" s="3245"/>
      <c r="B34" s="3240"/>
      <c r="C34" s="1181" t="s">
        <v>1649</v>
      </c>
    </row>
    <row r="35" spans="1:3" ht="14.25">
      <c r="A35" s="3245"/>
      <c r="B35" s="3240"/>
      <c r="C35" s="1182" t="s">
        <v>1650</v>
      </c>
    </row>
    <row r="36" spans="1:3" ht="14.25">
      <c r="A36" s="3245"/>
      <c r="B36" s="3240"/>
      <c r="C36" s="1182" t="s">
        <v>1651</v>
      </c>
    </row>
    <row r="37" spans="1:3" ht="14.25">
      <c r="A37" s="3245"/>
      <c r="B37" s="324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1905</v>
      </c>
      <c r="B2" s="1658">
        <f ca="1">TODAY()</f>
        <v>43250</v>
      </c>
      <c r="C2" s="2341" t="s">
        <v>1906</v>
      </c>
      <c r="D2" s="2342"/>
    </row>
    <row r="3" spans="1:6" ht="20.25" customHeight="1">
      <c r="A3" s="2344" t="s">
        <v>1907</v>
      </c>
      <c r="B3" s="2345" t="s">
        <v>1908</v>
      </c>
      <c r="C3" s="2345" t="s">
        <v>1909</v>
      </c>
      <c r="D3" s="2346" t="s">
        <v>1910</v>
      </c>
      <c r="E3" s="2345" t="s">
        <v>1911</v>
      </c>
      <c r="F3" s="2345" t="s">
        <v>1909</v>
      </c>
    </row>
    <row r="4" spans="1:6" ht="20.25" customHeight="1">
      <c r="A4" s="2345" t="s">
        <v>1912</v>
      </c>
      <c r="B4" s="2345">
        <f ca="1">IF(C4&lt;B2,"已过期",1119970066)</f>
        <v>1119970066</v>
      </c>
      <c r="C4" s="3032">
        <v>43849</v>
      </c>
      <c r="D4" s="2345" t="s">
        <v>1912</v>
      </c>
      <c r="E4" s="2345">
        <f ca="1">IF(F4&lt;B2,"已过期",96010014)</f>
        <v>96010014</v>
      </c>
      <c r="F4" s="3033">
        <v>47118</v>
      </c>
    </row>
    <row r="5" spans="1:6" ht="20.25" customHeight="1">
      <c r="A5" s="2345" t="s">
        <v>1913</v>
      </c>
      <c r="B5" s="2345">
        <f ca="1">IF(C5&lt;B2,"已过期",1119970074)</f>
        <v>1119970074</v>
      </c>
      <c r="C5" s="3032">
        <v>43849</v>
      </c>
      <c r="D5" s="2345" t="s">
        <v>1913</v>
      </c>
      <c r="E5" s="2345">
        <f ca="1">IF(F5&lt;B2,"已过期",2002110027)</f>
        <v>2002110027</v>
      </c>
      <c r="F5" s="3033">
        <v>46752</v>
      </c>
    </row>
    <row r="6" spans="1:6" ht="20.25" customHeight="1">
      <c r="A6" s="2345" t="s">
        <v>1914</v>
      </c>
      <c r="B6" s="2345">
        <f ca="1">IF(C6&lt;B2,"已过期",1119970111)</f>
        <v>1119970111</v>
      </c>
      <c r="C6" s="3032">
        <v>43849</v>
      </c>
      <c r="D6" s="2345" t="s">
        <v>1914</v>
      </c>
      <c r="E6" s="2345">
        <f ca="1">IF(F6&lt;B2,"已过期",94010078)</f>
        <v>94010078</v>
      </c>
      <c r="F6" s="3033">
        <v>46387</v>
      </c>
    </row>
    <row r="7" spans="1:6" ht="20.25" customHeight="1">
      <c r="A7" s="2345" t="s">
        <v>1915</v>
      </c>
      <c r="B7" s="2345">
        <f ca="1">IF(C7&lt;B2,"已过期",1120050019)</f>
        <v>1120050019</v>
      </c>
      <c r="C7" s="3032">
        <v>43359</v>
      </c>
      <c r="D7" s="2345" t="s">
        <v>1915</v>
      </c>
      <c r="E7" s="2345">
        <f ca="1">IF(F7&lt;B2,"已过期",2002110030)</f>
        <v>2002110030</v>
      </c>
      <c r="F7" s="3033">
        <v>46387</v>
      </c>
    </row>
    <row r="8" spans="1:6" ht="20.25" customHeight="1">
      <c r="A8" s="2345" t="s">
        <v>1916</v>
      </c>
      <c r="B8" s="2345">
        <f ca="1">IF(C8&lt;B2,"已过期",1120000080)</f>
        <v>1120000080</v>
      </c>
      <c r="C8" s="3032">
        <v>43849</v>
      </c>
      <c r="D8" s="2345" t="s">
        <v>1916</v>
      </c>
      <c r="E8" s="2345">
        <f ca="1">IF(F8&lt;B2,"已过期",2000110082)</f>
        <v>2000110082</v>
      </c>
      <c r="F8" s="3033">
        <v>46387</v>
      </c>
    </row>
    <row r="9" spans="1:6" ht="20.25" customHeight="1">
      <c r="A9" s="2345" t="s">
        <v>1917</v>
      </c>
      <c r="B9" s="2345">
        <f ca="1">IF(C9&lt;B2,"已过期",1419970001)</f>
        <v>1419970001</v>
      </c>
      <c r="C9" s="3032">
        <v>43867</v>
      </c>
      <c r="D9" s="2345" t="s">
        <v>1917</v>
      </c>
      <c r="E9" s="2345">
        <f ca="1">IF(F9&lt;B2,"已过期",2002110125)</f>
        <v>2002110125</v>
      </c>
      <c r="F9" s="3033">
        <v>47118</v>
      </c>
    </row>
    <row r="10" spans="1:6" ht="20.25" customHeight="1">
      <c r="A10" s="2345" t="s">
        <v>1918</v>
      </c>
      <c r="B10" s="2345">
        <f ca="1">IF(C10&lt;B2,"已过期",1120060040)</f>
        <v>1120060040</v>
      </c>
      <c r="C10" s="3032">
        <v>43483</v>
      </c>
      <c r="D10" s="2345" t="s">
        <v>1918</v>
      </c>
      <c r="E10" s="2345">
        <f ca="1">IF(F10&lt;B2,"已过期",2004110096)</f>
        <v>2004110096</v>
      </c>
      <c r="F10" s="3033">
        <v>47118</v>
      </c>
    </row>
    <row r="11" spans="1:6" ht="20.25" customHeight="1">
      <c r="A11" s="2345" t="s">
        <v>1919</v>
      </c>
      <c r="B11" s="2345">
        <f ca="1">IF(C11&lt;B2,"已过期",1120100036)</f>
        <v>1120100036</v>
      </c>
      <c r="C11" s="3032">
        <v>43622</v>
      </c>
      <c r="D11" s="2345" t="s">
        <v>1919</v>
      </c>
      <c r="E11" s="2345">
        <f ca="1">IF(F11&lt;B2,"已过期",2010110070)</f>
        <v>2010110070</v>
      </c>
      <c r="F11" s="3033">
        <v>47907</v>
      </c>
    </row>
    <row r="12" spans="1:6" ht="20.25" customHeight="1">
      <c r="A12" s="2345" t="s">
        <v>2978</v>
      </c>
      <c r="B12" s="2345">
        <v>1120110054</v>
      </c>
      <c r="C12" s="3032">
        <v>43937</v>
      </c>
      <c r="D12" s="2345" t="s">
        <v>2978</v>
      </c>
      <c r="E12" s="2345">
        <v>2008110060</v>
      </c>
      <c r="F12" s="3033">
        <v>47177</v>
      </c>
    </row>
    <row r="13" spans="1:6" ht="20.25" customHeight="1">
      <c r="A13" s="2345" t="s">
        <v>1920</v>
      </c>
      <c r="B13" s="2345">
        <f ca="1">IF(C13&lt;B2,"已过期",1120070131)</f>
        <v>1120070131</v>
      </c>
      <c r="C13" s="3032">
        <v>43814</v>
      </c>
      <c r="D13" s="2345" t="s">
        <v>1920</v>
      </c>
      <c r="E13" s="2345">
        <v>2014110011</v>
      </c>
      <c r="F13" s="3033">
        <v>49302</v>
      </c>
    </row>
    <row r="14" spans="1:6" ht="20.25" customHeight="1">
      <c r="A14" s="2345" t="s">
        <v>1921</v>
      </c>
      <c r="B14" s="2345">
        <f ca="1">IF(C14&lt;B2,"已过期",1120130020)</f>
        <v>1120130020</v>
      </c>
      <c r="C14" s="3032">
        <v>43622</v>
      </c>
      <c r="D14" s="2345"/>
      <c r="E14" s="2345"/>
      <c r="F14" s="2345"/>
    </row>
    <row r="15" spans="1:6" ht="20.25" customHeight="1">
      <c r="A15" s="2345" t="s">
        <v>2574</v>
      </c>
      <c r="B15" s="2345">
        <v>1120070085</v>
      </c>
      <c r="C15" s="3032">
        <v>43814</v>
      </c>
      <c r="D15" s="2345" t="s">
        <v>2574</v>
      </c>
      <c r="E15" s="2345">
        <v>2004110128</v>
      </c>
      <c r="F15" s="3033">
        <v>47118</v>
      </c>
    </row>
    <row r="16" spans="1:6" ht="20.25" customHeight="1">
      <c r="A16" s="2345" t="s">
        <v>1922</v>
      </c>
      <c r="B16" s="2345">
        <f ca="1">IF(C16&lt;B2,"已过期",1120140022)</f>
        <v>1120140022</v>
      </c>
      <c r="C16" s="3032">
        <v>44029</v>
      </c>
      <c r="D16" s="2345" t="s">
        <v>1922</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1923</v>
      </c>
      <c r="E21" s="2345">
        <f ca="1">IF(F21&lt;B2,"已过期",2011110090)</f>
        <v>2011110090</v>
      </c>
      <c r="F21" s="3033">
        <v>48302</v>
      </c>
    </row>
    <row r="22" spans="1:7" ht="20.25" customHeight="1">
      <c r="A22" s="2345" t="s">
        <v>1924</v>
      </c>
      <c r="B22" s="2345">
        <f ca="1">IF(C22&lt;B2,"已过期",1120020033)</f>
        <v>1120020033</v>
      </c>
      <c r="C22" s="3032">
        <v>43304</v>
      </c>
      <c r="D22" s="2345" t="s">
        <v>1924</v>
      </c>
      <c r="E22" s="2345">
        <f ca="1">IF(F22&lt;B2,"已过期",2000110137)</f>
        <v>2000110137</v>
      </c>
      <c r="F22" s="3033">
        <v>46387</v>
      </c>
    </row>
    <row r="23" spans="1:7" ht="20.25" customHeight="1">
      <c r="A23" s="2345" t="s">
        <v>1925</v>
      </c>
      <c r="B23" s="2345">
        <f ca="1">IF(C23&lt;B2,"已过期",1120130048)</f>
        <v>1120130048</v>
      </c>
      <c r="C23" s="3032">
        <v>43686</v>
      </c>
      <c r="D23" s="2345"/>
      <c r="E23" s="2345"/>
      <c r="F23" s="2345"/>
    </row>
    <row r="24" spans="1:7" s="2349" customFormat="1" ht="20.25" customHeight="1">
      <c r="A24" s="2347" t="s">
        <v>2052</v>
      </c>
      <c r="B24" s="2347" t="s">
        <v>2052</v>
      </c>
      <c r="C24" s="3032"/>
      <c r="D24" s="3034" t="s">
        <v>2052</v>
      </c>
      <c r="E24" s="2347" t="s">
        <v>2052</v>
      </c>
      <c r="F24" s="2348"/>
    </row>
    <row r="25" spans="1:7" ht="20.25" customHeight="1">
      <c r="A25" s="3250" t="s">
        <v>1926</v>
      </c>
      <c r="B25" s="3250"/>
      <c r="C25" s="3250"/>
      <c r="D25" s="3250"/>
      <c r="E25" s="3250"/>
      <c r="F25" s="3250"/>
      <c r="G25" s="3250"/>
    </row>
    <row r="26" spans="1:7" ht="20.25" customHeight="1">
      <c r="A26" s="3251" t="s">
        <v>1927</v>
      </c>
      <c r="B26" s="3251"/>
      <c r="C26" s="3251"/>
      <c r="D26" s="3251" t="s">
        <v>1928</v>
      </c>
      <c r="E26" s="3251"/>
      <c r="F26" s="3251"/>
    </row>
    <row r="27" spans="1:7" s="2353" customFormat="1" ht="20.25" customHeight="1">
      <c r="A27" s="2350" t="s">
        <v>1929</v>
      </c>
      <c r="B27" s="2351" t="s">
        <v>1930</v>
      </c>
      <c r="C27" s="2351" t="s">
        <v>1931</v>
      </c>
      <c r="D27" s="2352" t="s">
        <v>1929</v>
      </c>
      <c r="E27" s="2351" t="s">
        <v>1930</v>
      </c>
      <c r="F27" s="2351" t="s">
        <v>1931</v>
      </c>
    </row>
    <row r="28" spans="1:7" s="2353" customFormat="1" ht="20.25" customHeight="1">
      <c r="A28" s="2354" t="s">
        <v>1932</v>
      </c>
      <c r="B28" s="2354" t="s">
        <v>1933</v>
      </c>
      <c r="C28" s="2355">
        <v>43725</v>
      </c>
      <c r="D28" s="2354" t="s">
        <v>1934</v>
      </c>
      <c r="E28" s="2354" t="s">
        <v>1935</v>
      </c>
      <c r="F28" s="2356">
        <v>44377</v>
      </c>
    </row>
    <row r="29" spans="1:7" s="2353" customFormat="1" ht="20.25" customHeight="1">
      <c r="A29" s="2354"/>
      <c r="B29" s="2354"/>
      <c r="C29" s="2357"/>
      <c r="D29" s="2354" t="s">
        <v>1936</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2545</v>
      </c>
      <c r="R1" s="2608" t="s">
        <v>2539</v>
      </c>
      <c r="S1" s="6" t="s">
        <v>146</v>
      </c>
      <c r="T1" s="7" t="s">
        <v>147</v>
      </c>
      <c r="U1" s="6" t="s">
        <v>148</v>
      </c>
      <c r="V1" s="6" t="s">
        <v>149</v>
      </c>
      <c r="W1" s="1004" t="s">
        <v>874</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1710</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1711</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3213" t="s">
        <v>3099</v>
      </c>
      <c r="C15" s="1555"/>
    </row>
    <row r="16" spans="1:23">
      <c r="A16" s="8" t="s">
        <v>117</v>
      </c>
      <c r="B16" s="3213" t="s">
        <v>3101</v>
      </c>
      <c r="C16" s="1555"/>
    </row>
    <row r="17" spans="1:3">
      <c r="A17" s="8" t="s">
        <v>118</v>
      </c>
      <c r="B17" s="3213" t="s">
        <v>3117</v>
      </c>
      <c r="C17" s="1555"/>
    </row>
    <row r="18" spans="1:3">
      <c r="A18" s="8" t="s">
        <v>119</v>
      </c>
      <c r="B18" s="3140" t="s">
        <v>2955</v>
      </c>
      <c r="C18" s="1555"/>
    </row>
    <row r="19" spans="1:3">
      <c r="A19" s="8" t="s">
        <v>120</v>
      </c>
      <c r="B19" s="3140"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1942</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恺冠臻房地产开发有限公司拟使用上海市静安区宝山路街道147街坊11丘出让国有建设用地使用权作为抵押担保物，向中国金谷国际信托有限责任公司办理贷款手续。中国金谷国际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1985</v>
      </c>
      <c r="B52" s="1770" t="s">
        <v>1986</v>
      </c>
      <c r="C52" s="1768" t="s">
        <v>1987</v>
      </c>
      <c r="D52" s="1768" t="s">
        <v>1988</v>
      </c>
      <c r="E52" s="1769"/>
    </row>
    <row r="53" spans="1:5">
      <c r="A53" s="3252" t="s">
        <v>1989</v>
      </c>
      <c r="B53" s="1768" t="s">
        <v>1995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c r="D53" s="1769"/>
      <c r="E53" s="1769"/>
    </row>
    <row r="54" spans="1:5">
      <c r="A54" s="3252"/>
      <c r="B54" s="1768" t="s">
        <v>1996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52"/>
      <c r="B55" s="1768" t="s">
        <v>1990</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52"/>
      <c r="B56" s="1768" t="s">
        <v>1991</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52"/>
      <c r="B57" s="1768" t="s">
        <v>1992</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不动产收益法住</vt:lpstr>
      <vt:lpstr>不动产收益法商</vt:lpstr>
      <vt:lpstr>不动产收益法车</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2018-05-30T02:20:11Z</dcterms:modified>
</cp:coreProperties>
</file>