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D7" i="61"/>
  <c r="D6" i="61"/>
  <c r="D3" i="61"/>
  <c r="D5" i="61"/>
  <c r="F6" i="61"/>
  <c r="F3" i="61"/>
  <c r="F4"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F7" i="15" l="1"/>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35"/>
  <c r="E2" i="11"/>
  <c r="C20" i="57"/>
  <c r="E2" i="37"/>
  <c r="E2" i="33"/>
  <c r="C19" i="57"/>
  <c r="E2" i="36"/>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<sst xmlns="http://schemas.openxmlformats.org/spreadsheetml/2006/main" count="6910" uniqueCount="2931">
  <si>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</si>
  <si>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</si>
  <si>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</si>
  <si>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</si>
  <si>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</si>
  <si>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</si>
  <si>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</si>
  <si>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</si>
  <si>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</si>
  <si>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</si>
  <si>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</si>
  <si>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</si>
  <si>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</si>
  <si>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</si>
  <si>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</si>
  <si>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</si>
  <si>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</si>
  <si>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</si>
  <si>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</si>
  <si>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</si>
  <si>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</si>
  <si>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</si>
  <si>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</si>
  <si>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</si>
  <si>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</si>
  <si>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</si>
  <si>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</si>
  <si>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</si>
  <si>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</si>
  <si>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</si>
  <si>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</si>
  <si>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</si>
  <si>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</si>
  <si>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</si>
  <si>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</si>
  <si>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</si>
  <si>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</si>
  <si>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</si>
  <si>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</si>
  <si>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</si>
  <si>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</si>
  <si>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</si>
  <si>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</si>
  <si>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</si>
  <si>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</si>
  <si>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</si>
  <si>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</si>
  <si>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</si>
  <si>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</si>
  <si>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</si>
  <si>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</si>
  <si>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</si>
  <si>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</si>
  <si>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</si>
  <si>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</si>
  <si>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</si>
  <si>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</si>
  <si>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</si>
  <si>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</si>
  <si>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</si>
  <si>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</si>
  <si>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</si>
  <si>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</si>
  <si>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</si>
  <si>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</si>
  <si>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</si>
  <si>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</si>
  <si>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</si>
  <si>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</si>
  <si>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</si>
  <si>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</si>
  <si>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</si>
  <si>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</si>
  <si>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</si>
  <si>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</si>
  <si>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</si>
  <si>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</si>
  <si>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</si>
  <si>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</si>
  <si>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</si>
  <si>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</si>
  <si>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</si>
  <si>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</si>
  <si>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</si>
  <si>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</si>
  <si>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</si>
  <si>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</si>
  <si>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</si>
  <si>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</si>
  <si>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</si>
  <si>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</si>
  <si>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</si>
  <si>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</si>
  <si>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</si>
  <si>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</si>
  <si>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</si>
  <si>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</si>
  <si>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</si>
  <si>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</si>
  <si>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</si>
  <si>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</si>
  <si>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</si>
  <si>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</si>
  <si>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</si>
  <si>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</si>
  <si>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</si>
  <si>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</si>
  <si>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</si>
  <si>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</si>
  <si>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</si>
  <si>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</si>
  <si>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</si>
  <si>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</si>
  <si>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</si>
  <si>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</si>
  <si>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</si>
  <si>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</si>
  <si>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</si>
  <si>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</si>
  <si>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</si>
  <si>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</si>
  <si>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</si>
  <si>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</si>
  <si>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</si>
  <si>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</si>
  <si>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</si>
  <si>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</si>
  <si>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</si>
  <si>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</si>
  <si>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</si>
  <si>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</si>
  <si>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</si>
  <si>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</si>
  <si>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</si>
  <si>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</si>
  <si>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</si>
  <si>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</si>
  <si>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</si>
  <si>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</si>
  <si>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</si>
  <si>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</si>
  <si>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</si>
  <si>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</si>
  <si>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</si>
  <si>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</si>
  <si>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</si>
  <si>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</si>
  <si>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</si>
  <si>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</si>
  <si>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</si>
  <si>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</si>
  <si>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</si>
  <si>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</si>
  <si>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</si>
  <si>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</si>
  <si>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</si>
  <si>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</si>
  <si>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</si>
  <si>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</si>
  <si>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</si>
  <si>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</si>
  <si>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</si>
  <si>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</si>
  <si>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</si>
  <si>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</si>
  <si>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</si>
  <si>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</si>
  <si>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</si>
  <si>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</si>
  <si>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</si>
  <si>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</si>
  <si>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</si>
  <si>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</si>
  <si>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</si>
  <si>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</si>
  <si>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</si>
  <si>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</si>
  <si>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</si>
  <si>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</si>
  <si>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</si>
  <si>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</si>
  <si>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</si>
  <si>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</si>
  <si>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</si>
  <si>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</si>
  <si>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</si>
  <si>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</si>
  <si>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</si>
  <si>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</si>
  <si>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</si>
  <si>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</si>
  <si>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</si>
  <si>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</si>
  <si>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</si>
  <si>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</si>
  <si>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</si>
  <si>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</si>
  <si>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</si>
  <si>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</si>
  <si>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</si>
  <si>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</si>
  <si>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</si>
  <si>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</si>
  <si>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</si>
  <si>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</si>
  <si>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</si>
  <si>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</si>
  <si>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</si>
  <si>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</si>
  <si>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</si>
  <si>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</si>
  <si>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</si>
  <si>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</si>
  <si>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</si>
  <si>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</si>
  <si>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</si>
  <si>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</si>
  <si>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</si>
  <si>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</si>
  <si>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</si>
  <si>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</si>
  <si>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</si>
  <si>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</si>
  <si>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</si>
  <si>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</si>
  <si>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</si>
  <si>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</si>
  <si>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</si>
  <si>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</si>
  <si>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</si>
  <si>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</si>
  <si>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</si>
  <si>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</si>
  <si>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</si>
  <si>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</si>
  <si>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</si>
  <si>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</si>
  <si>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</si>
  <si>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</si>
  <si>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</si>
  <si>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</si>
  <si>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</si>
  <si>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</si>
  <si>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</si>
  <si>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</si>
  <si>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</si>
  <si>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</si>
  <si>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</si>
  <si>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</si>
  <si>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</si>
  <si>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</si>
  <si>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</si>
  <si>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</si>
  <si>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</si>
  <si>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</si>
  <si>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</si>
  <si>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</si>
  <si>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</si>
  <si>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</si>
  <si>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</si>
  <si>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</si>
  <si>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</si>
  <si>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</si>
  <si>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</si>
  <si>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</si>
  <si>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</si>
  <si>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</si>
  <si>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</si>
  <si>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</si>
  <si>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</si>
  <si>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</si>
  <si>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</si>
  <si>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</si>
  <si>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</si>
  <si>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</si>
  <si>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</si>
  <si>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</si>
  <si>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</si>
  <si>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</si>
  <si>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</si>
  <si>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</si>
  <si>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</si>
  <si>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</si>
  <si>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</si>
  <si>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</si>
  <si>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</si>
  <si>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</si>
  <si>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</si>
  <si>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</si>
  <si>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</si>
  <si>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</si>
  <si>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</si>
  <si>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</si>
  <si>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</si>
  <si>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</si>
  <si>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</si>
  <si>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</si>
  <si>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</si>
  <si>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</si>
  <si>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</si>
  <si>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</si>
  <si>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</si>
  <si>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</si>
  <si>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</si>
  <si>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</si>
  <si>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</si>
  <si>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</si>
  <si>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</si>
  <si>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</si>
  <si>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</si>
  <si>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</si>
  <si>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</si>
  <si>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</si>
  <si>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</si>
  <si>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</si>
  <si>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</si>
  <si>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</si>
  <si>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</si>
  <si>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</si>
  <si>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</si>
  <si>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</si>
  <si>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</si>
  <si>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</si>
  <si>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</si>
  <si>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</si>
  <si>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</si>
  <si>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</si>
  <si>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</si>
  <si>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</si>
  <si>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</si>
  <si>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</si>
  <si>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</si>
  <si>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</si>
  <si>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</si>
  <si>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</si>
  <si>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</si>
  <si>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</si>
  <si>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</si>
  <si>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</si>
  <si>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</si>
  <si>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</si>
  <si>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</si>
  <si>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</si>
  <si>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</si>
  <si>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</si>
  <si>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</si>
  <si>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</si>
  <si>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</si>
  <si>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</si>
  <si>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</si>
  <si>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</si>
  <si>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</si>
  <si>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</si>
  <si>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</si>
  <si>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</si>
  <si>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</si>
  <si>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</si>
  <si>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</si>
  <si>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</si>
  <si>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</si>
  <si>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</si>
  <si>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</si>
  <si>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</si>
  <si>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</si>
  <si>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</si>
  <si>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</si>
  <si>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</si>
  <si>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</si>
  <si>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</si>
  <si>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</si>
  <si>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</si>
  <si>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</si>
  <si>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</si>
  <si>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</si>
  <si>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</si>
  <si>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</si>
  <si>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</si>
  <si>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</si>
  <si>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</si>
  <si>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</si>
  <si>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</si>
  <si>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</si>
  <si>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</si>
  <si>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</si>
  <si>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</si>
  <si>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</si>
  <si>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</si>
  <si>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</si>
  <si>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</si>
  <si>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</si>
  <si>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</si>
  <si>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</si>
  <si>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</si>
  <si>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</si>
  <si>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</si>
  <si>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</si>
  <si>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</si>
  <si>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</si>
  <si>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</si>
  <si>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</si>
  <si>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</si>
  <si>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</si>
  <si>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</si>
  <si>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</si>
  <si>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</si>
  <si>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</si>
  <si>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</si>
  <si>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</si>
  <si>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</si>
  <si>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</si>
  <si>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</si>
  <si>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</si>
  <si>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</si>
  <si>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</si>
  <si>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</si>
  <si>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</si>
  <si>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</si>
  <si>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</si>
  <si>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</si>
  <si>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</si>
  <si>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</si>
  <si>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</si>
  <si>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</si>
  <si>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</si>
  <si>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</si>
  <si>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</si>
  <si>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</si>
  <si>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</si>
  <si>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</si>
  <si>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</si>
  <si>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</si>
  <si>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</si>
  <si>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</si>
  <si>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</si>
  <si>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</si>
  <si>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</si>
  <si>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</si>
  <si>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</si>
  <si>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</si>
  <si>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</si>
  <si>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</si>
  <si>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</si>
  <si>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</si>
  <si>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</si>
  <si>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</si>
  <si>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</si>
  <si>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</si>
  <si>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</si>
  <si>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</si>
  <si>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</si>
  <si>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</si>
  <si>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</si>
  <si>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</si>
  <si>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</si>
  <si>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</si>
  <si>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</si>
  <si>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</si>
  <si>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</si>
  <si>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</si>
  <si>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</si>
  <si>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</si>
  <si>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</si>
  <si>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</si>
  <si>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</si>
  <si>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</si>
  <si>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</si>
  <si>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</si>
  <si>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</si>
  <si>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</si>
  <si>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</si>
  <si>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</si>
  <si>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</si>
  <si>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</si>
  <si>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</si>
  <si>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</si>
  <si>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</si>
  <si>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</si>
  <si>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</si>
  <si>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</si>
  <si>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</si>
  <si>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</si>
  <si>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</si>
  <si>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</si>
  <si>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</si>
  <si>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</si>
  <si>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</si>
  <si>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</si>
  <si>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</si>
  <si>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</si>
  <si>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</si>
  <si>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</si>
  <si>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</si>
  <si>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</si>
  <si>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</si>
  <si>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</si>
  <si>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</si>
  <si>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</si>
  <si>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</si>
  <si>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</si>
  <si>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</si>
  <si>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</si>
  <si>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</si>
  <si>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</si>
  <si>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</si>
  <si>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</si>
  <si>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</si>
  <si>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</si>
  <si>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</si>
  <si>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</si>
  <si>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</si>
  <si>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</si>
  <si>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</si>
  <si>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</si>
  <si>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</si>
  <si>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</si>
  <si>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</si>
  <si>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</si>
  <si>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</si>
  <si>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</si>
  <si>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</si>
  <si>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</si>
  <si>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</si>
  <si>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</si>
  <si>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</si>
  <si>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</si>
  <si>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</si>
  <si>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</si>
  <si>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</si>
  <si>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</si>
  <si>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</si>
  <si>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</si>
  <si>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</si>
  <si>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</si>
  <si>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</si>
  <si>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</si>
  <si>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</si>
  <si>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</si>
  <si>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</si>
  <si>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</si>
  <si>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</si>
  <si>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</si>
  <si>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</si>
  <si>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</si>
  <si>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</si>
  <si>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</si>
  <si>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</si>
  <si>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</si>
  <si>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</si>
  <si>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</si>
  <si>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</si>
  <si>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</si>
  <si>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</si>
  <si>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</si>
  <si>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</si>
  <si>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</si>
  <si>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</si>
  <si>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</si>
  <si>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</si>
  <si>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</si>
  <si>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</si>
  <si>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</si>
  <si>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</si>
  <si>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</si>
  <si>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</si>
  <si>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</si>
  <si>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</si>
  <si>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</si>
  <si>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</si>
  <si>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</si>
  <si>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</si>
  <si>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</si>
  <si>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</si>
  <si>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</si>
  <si>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</si>
  <si>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</si>
  <si>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</si>
  <si>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</si>
  <si>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</si>
  <si>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</si>
  <si>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</si>
  <si>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</si>
  <si>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</si>
  <si>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</si>
  <si>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</si>
  <si>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</si>
  <si>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</si>
  <si>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</si>
  <si>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</si>
  <si>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</si>
  <si>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</si>
  <si>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</si>
  <si>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</si>
  <si>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</si>
  <si>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</si>
  <si>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</si>
  <si>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</si>
  <si>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</si>
  <si>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</si>
  <si>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</si>
  <si>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</si>
  <si>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</si>
  <si>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</si>
  <si>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</si>
  <si>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</si>
  <si>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</si>
  <si>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</si>
  <si>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</si>
  <si>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</si>
  <si>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</si>
  <si>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</si>
  <si>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</si>
  <si>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</si>
  <si>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</si>
  <si>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</si>
  <si>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</si>
  <si>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</si>
  <si>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</si>
  <si>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</si>
  <si>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</si>
  <si>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</si>
  <si>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</si>
  <si>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</si>
  <si>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</si>
  <si>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</si>
  <si>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</si>
  <si>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</si>
  <si>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</si>
  <si>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</si>
  <si>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</si>
  <si>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</si>
  <si>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</si>
  <si>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</si>
  <si>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</si>
  <si>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</si>
  <si>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</si>
  <si>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</si>
  <si>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</si>
  <si>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</si>
  <si>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</si>
  <si>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</si>
  <si>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</si>
  <si>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</si>
  <si>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</si>
  <si>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</si>
  <si>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</si>
  <si>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</si>
  <si>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</si>
  <si>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</si>
  <si>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</si>
  <si>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</si>
  <si>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</si>
  <si>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</si>
  <si>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</si>
  <si>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</si>
  <si>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</si>
  <si>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</si>
  <si>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</si>
  <si>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</si>
  <si>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</si>
  <si>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</si>
  <si>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</si>
  <si>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</si>
  <si>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</si>
  <si>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</si>
  <si>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</si>
  <si>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</si>
  <si>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</si>
  <si>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</si>
  <si>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</si>
  <si>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</si>
  <si>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</si>
  <si>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</si>
  <si>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</si>
  <si>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</si>
  <si>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</si>
  <si>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</si>
  <si>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</si>
  <si>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</si>
  <si>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</si>
  <si>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</si>
  <si>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</si>
  <si>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</si>
  <si>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</si>
  <si>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</si>
  <si>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</si>
  <si>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</si>
  <si>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</si>
  <si>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</si>
  <si>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</si>
  <si>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</si>
  <si>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</si>
  <si>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</si>
  <si>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</si>
  <si>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</si>
  <si>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</si>
  <si>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</si>
  <si>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</si>
  <si>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</si>
  <si>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</si>
  <si>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</si>
  <si>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</si>
  <si>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</si>
  <si>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</si>
  <si>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</si>
  <si>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</si>
  <si>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</si>
  <si>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</si>
  <si>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</si>
  <si>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</si>
  <si>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</si>
  <si>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</si>
  <si>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</si>
  <si>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</si>
  <si>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</si>
  <si>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</si>
  <si>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</si>
  <si>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</si>
  <si>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</si>
  <si>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</si>
  <si>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</si>
  <si>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</si>
  <si>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</si>
  <si>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</si>
  <si>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</si>
  <si>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</si>
  <si>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</si>
  <si>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</si>
  <si>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</si>
  <si>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</si>
  <si>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</si>
  <si>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</si>
  <si>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</si>
  <si>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</si>
  <si>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</si>
  <si>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</si>
  <si>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</si>
  <si>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</si>
  <si>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</si>
  <si>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</si>
  <si>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</si>
  <si>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</si>
  <si>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</si>
  <si>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</si>
  <si>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</si>
  <si>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</si>
  <si>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</si>
  <si>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</si>
  <si>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</si>
  <si>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</si>
  <si>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</si>
  <si>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</si>
  <si>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</si>
  <si>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</si>
  <si>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</si>
  <si>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</si>
  <si>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</si>
  <si>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</si>
  <si>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</si>
  <si>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</si>
  <si>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</si>
  <si>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</si>
  <si>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</si>
  <si>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</si>
  <si>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</si>
  <si>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</si>
  <si>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</si>
  <si>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</si>
  <si>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</si>
  <si>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</si>
  <si>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</si>
  <si>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</si>
  <si>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</si>
  <si>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</si>
  <si>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</si>
  <si>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</si>
  <si>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</si>
  <si>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</si>
  <si>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</si>
  <si>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</si>
  <si>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</si>
  <si>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</si>
  <si>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</si>
  <si>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</si>
  <si>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</si>
  <si>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</si>
  <si>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</si>
  <si>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</si>
  <si>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</si>
  <si>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</si>
  <si>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</si>
  <si>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</si>
  <si>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</si>
  <si>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</si>
  <si>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</si>
  <si>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</si>
  <si>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</si>
  <si>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</si>
  <si>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</si>
  <si>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</si>
  <si>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</si>
  <si>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</si>
  <si>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</si>
  <si>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</si>
  <si>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</si>
  <si>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</si>
  <si>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</si>
  <si>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</si>
  <si>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</si>
  <si>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</si>
  <si>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</si>
  <si>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</si>
  <si>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</si>
  <si>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</si>
  <si>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</si>
  <si>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</si>
  <si>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</si>
  <si>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</si>
  <si>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</si>
  <si>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</si>
  <si>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</si>
  <si>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</si>
  <si>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</si>
  <si>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</si>
  <si>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</si>
  <si>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</si>
  <si>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</si>
  <si>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</si>
  <si>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</si>
  <si>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</si>
  <si>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</si>
  <si>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</si>
  <si>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</si>
  <si>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</si>
  <si>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</si>
  <si>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</si>
  <si>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</si>
  <si>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</si>
  <si>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</si>
  <si>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</si>
  <si>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</si>
  <si>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</si>
  <si>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</si>
  <si>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</si>
  <si>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</si>
  <si>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</si>
  <si>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</si>
  <si>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</si>
  <si>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</si>
  <si>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</si>
  <si>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</si>
  <si>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</si>
  <si>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</si>
  <si>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</si>
  <si>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</si>
  <si>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</si>
  <si>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</si>
  <si>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</si>
  <si>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</si>
  <si>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</si>
  <si>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</si>
  <si>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</si>
  <si>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</si>
  <si>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</si>
  <si>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</si>
  <si>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</si>
  <si>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</si>
  <si>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</si>
  <si>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</si>
  <si>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</si>
  <si>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</si>
  <si>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</si>
  <si>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</si>
  <si>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</si>
  <si>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</si>
  <si>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</si>
  <si>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</si>
  <si>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</si>
  <si>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</si>
  <si>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</si>
  <si>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</si>
  <si>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</si>
  <si>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</si>
  <si>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</si>
  <si>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</si>
  <si>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</si>
  <si>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</si>
  <si>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</si>
  <si>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</si>
  <si>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</si>
  <si>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</si>
  <si>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</si>
  <si>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</si>
  <si>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</si>
  <si>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</si>
  <si>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</si>
  <si>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</si>
  <si>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</si>
  <si>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</si>
  <si>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</si>
  <si>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</si>
  <si>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</si>
  <si>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</si>
  <si>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</si>
  <si>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</si>
  <si>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</si>
  <si>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</si>
  <si>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</si>
  <si>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</si>
  <si>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</si>
  <si>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</si>
  <si>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</si>
  <si>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</si>
  <si>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</si>
  <si>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</si>
  <si>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</si>
  <si>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</si>
  <si>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</si>
  <si>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</si>
  <si>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</si>
  <si>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</si>
  <si>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</si>
  <si>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</si>
  <si>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</si>
  <si>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</si>
  <si>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</si>
  <si>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</si>
  <si>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</si>
  <si>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</si>
  <si>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</si>
  <si>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</si>
  <si>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</si>
  <si>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</si>
  <si>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</si>
  <si>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</si>
  <si>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</si>
  <si>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</si>
  <si>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</si>
  <si>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</si>
  <si>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</si>
  <si>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</si>
  <si>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</si>
  <si>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</si>
  <si>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</si>
  <si>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</si>
  <si>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</si>
  <si>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</si>
  <si>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</si>
  <si>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</si>
  <si>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</si>
  <si>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</si>
  <si>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</si>
  <si>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</si>
  <si>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</si>
  <si>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</si>
  <si>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</si>
  <si>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</si>
  <si>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</si>
  <si>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</si>
  <si>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</si>
  <si>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</si>
  <si>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</si>
  <si>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</si>
  <si>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</si>
  <si>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</si>
  <si>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</si>
  <si>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</si>
  <si>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</si>
  <si>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</si>
  <si>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</si>
  <si>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</si>
  <si>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</si>
  <si>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</si>
  <si>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</si>
  <si>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</si>
  <si>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</si>
  <si>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</si>
  <si>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</si>
  <si>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</si>
  <si>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</si>
  <si>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</si>
  <si>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</si>
  <si>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</si>
  <si>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</si>
  <si>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</si>
  <si>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</si>
  <si>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</si>
  <si>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</si>
  <si>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</si>
  <si>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</si>
  <si>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</si>
  <si>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</si>
  <si>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</si>
  <si>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</si>
  <si>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</si>
  <si>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</si>
  <si>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</si>
  <si>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</si>
  <si>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</si>
  <si>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</si>
  <si>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</si>
  <si>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</si>
  <si>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</si>
  <si>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</si>
  <si>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</si>
  <si>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</si>
  <si>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</si>
  <si>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</si>
  <si>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</si>
  <si>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</si>
  <si>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</si>
  <si>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</si>
  <si>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</si>
  <si>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</si>
  <si>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</si>
  <si>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</si>
  <si>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</si>
  <si>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</si>
  <si>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</si>
  <si>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</si>
  <si>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</si>
  <si>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</si>
  <si>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</si>
  <si>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</si>
  <si>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</si>
  <si>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</si>
  <si>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</si>
  <si>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</si>
  <si>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</si>
  <si>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</si>
  <si>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</si>
  <si>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</si>
  <si>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</si>
  <si>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</si>
  <si>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</si>
  <si>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</si>
  <si>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</si>
  <si>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</si>
  <si>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</si>
  <si>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</si>
  <si>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</si>
  <si>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</si>
  <si>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</si>
  <si>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</si>
  <si>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</si>
  <si>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</si>
  <si>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</si>
  <si>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</si>
  <si>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</si>
  <si>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</si>
  <si>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</si>
  <si>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</si>
  <si>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</si>
  <si>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</si>
  <si>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</si>
  <si>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</si>
  <si>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</si>
  <si>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</si>
  <si>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</si>
  <si>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</si>
  <si>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</si>
  <si>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</si>
  <si>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</si>
  <si>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</si>
  <si>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</si>
  <si>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</si>
  <si>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</si>
  <si>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</si>
  <si>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</si>
  <si>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</si>
  <si>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</si>
  <si>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</si>
  <si>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</si>
  <si>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</si>
  <si>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</si>
  <si>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</si>
  <si>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</si>
  <si>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</si>
  <si>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</si>
  <si>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</si>
  <si>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</si>
  <si>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</si>
  <si>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</si>
  <si>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</si>
  <si>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</si>
  <si>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</si>
  <si>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</si>
  <si>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</si>
  <si>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</si>
  <si>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</si>
  <si>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</si>
  <si>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</si>
  <si>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</si>
  <si>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</si>
  <si>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</si>
  <si>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</si>
  <si>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</si>
  <si>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</si>
  <si>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</si>
  <si>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</si>
  <si>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</si>
  <si>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</si>
  <si>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</si>
  <si>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</si>
  <si>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</si>
  <si>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</si>
  <si>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</si>
  <si>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</si>
  <si>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</si>
  <si>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</si>
  <si>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</si>
  <si>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</si>
  <si>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</si>
  <si>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</si>
  <si>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</si>
  <si>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</si>
  <si>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</si>
  <si>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</si>
  <si>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</si>
  <si>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</si>
  <si>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</si>
  <si>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</si>
  <si>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</si>
  <si>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</si>
  <si>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</si>
  <si>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</si>
  <si>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</si>
  <si>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</si>
  <si>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</si>
  <si>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</si>
  <si>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</si>
  <si>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</si>
  <si>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</si>
  <si>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</si>
  <si>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</si>
  <si>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</si>
  <si>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</si>
  <si>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</si>
  <si>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</si>
  <si>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</si>
  <si>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</si>
  <si>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</si>
  <si>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</si>
  <si>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</si>
  <si>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</si>
  <si>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</si>
  <si>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</si>
  <si>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</si>
  <si>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</si>
  <si>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</si>
  <si>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</si>
  <si>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</si>
  <si>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</si>
  <si>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</si>
  <si>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</si>
  <si>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</si>
  <si>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</si>
  <si>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</si>
  <si>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</si>
  <si>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</si>
  <si>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</si>
  <si>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</si>
  <si>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</si>
  <si>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</si>
  <si>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</si>
  <si>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</si>
  <si>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</si>
  <si>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</si>
  <si>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</si>
  <si>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</si>
  <si>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</si>
  <si>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</si>
  <si>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</si>
  <si>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</si>
  <si>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</si>
  <si>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</si>
  <si>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</si>
  <si>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</si>
  <si>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</si>
  <si>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</si>
  <si>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</si>
  <si>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</si>
  <si>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</si>
  <si>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</si>
  <si>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</si>
  <si>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</si>
  <si>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</si>
  <si>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</si>
  <si>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</si>
  <si>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</si>
  <si>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</si>
  <si>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</si>
  <si>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</si>
  <si>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</si>
  <si>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</si>
  <si>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</si>
  <si>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</si>
  <si>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</si>
  <si>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</si>
  <si>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</si>
  <si>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</si>
  <si>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</si>
  <si>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</si>
  <si>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</si>
  <si>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</si>
  <si>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</si>
  <si>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</si>
  <si>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</si>
  <si>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</si>
  <si>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</si>
  <si>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</si>
  <si>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</si>
  <si>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</si>
  <si>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</si>
  <si>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</si>
  <si>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</si>
  <si>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</si>
  <si>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</si>
  <si>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</si>
  <si>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</si>
  <si>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</si>
  <si>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</si>
  <si>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</si>
  <si>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</si>
  <si>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</si>
  <si>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</si>
  <si>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</si>
  <si>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</si>
  <si>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</si>
  <si>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</si>
  <si>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</si>
  <si>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</si>
  <si>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</si>
  <si>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</si>
  <si>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</si>
  <si>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</si>
  <si>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</si>
  <si>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</si>
  <si>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</si>
  <si>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</si>
  <si>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</si>
  <si>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</si>
  <si>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</si>
  <si>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</si>
  <si>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</si>
  <si>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</si>
  <si>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</si>
  <si>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</si>
  <si>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</si>
  <si>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</si>
  <si>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</si>
  <si>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</si>
  <si>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</si>
  <si>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</si>
  <si>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</si>
  <si>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</si>
  <si>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</si>
  <si>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</si>
  <si>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</si>
  <si>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</si>
  <si>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</si>
  <si>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</si>
  <si>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</si>
  <si>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</si>
  <si>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</si>
  <si>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</si>
  <si>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</si>
  <si>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</si>
  <si>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</si>
  <si>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</si>
  <si>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</si>
  <si>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</si>
  <si>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</si>
  <si>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</si>
  <si>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</si>
  <si>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</si>
  <si>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</si>
  <si>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</si>
  <si>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</si>
  <si>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</si>
  <si>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</si>
  <si>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</si>
  <si>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</si>
  <si>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</si>
  <si>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</si>
  <si>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</si>
  <si>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</si>
  <si>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</si>
  <si>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</si>
  <si>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</si>
  <si>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</si>
  <si>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</si>
  <si>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</si>
  <si>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</si>
  <si>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</si>
  <si>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</si>
  <si>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</si>
  <si>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</si>
  <si>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</si>
  <si>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</si>
  <si>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</si>
  <si>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</si>
  <si>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</si>
  <si>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</si>
  <si>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</si>
  <si>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</si>
  <si>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</si>
  <si>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</si>
  <si>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</si>
  <si>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</si>
  <si>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</si>
  <si>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</si>
  <si>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</si>
  <si>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</si>
  <si>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</si>
  <si>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</si>
  <si>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</si>
  <si>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</si>
  <si>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</si>
  <si>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</si>
  <si>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</si>
  <si>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</si>
  <si>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</si>
  <si>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</si>
  <si>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</si>
  <si>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</si>
  <si>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</si>
  <si>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</si>
  <si>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</si>
  <si>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</si>
  <si>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</si>
  <si>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</si>
  <si>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</si>
  <si>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</si>
  <si>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</si>
  <si>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</si>
  <si>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</si>
  <si>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</si>
  <si>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</si>
  <si>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</si>
  <si>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</si>
  <si>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</si>
  <si>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</si>
  <si>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</si>
  <si>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</si>
  <si>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</si>
  <si>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</si>
  <si>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</si>
  <si>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</si>
  <si>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</si>
  <si>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</si>
  <si>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</si>
  <si>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</si>
  <si>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</si>
  <si>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</si>
  <si>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</si>
  <si>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</si>
  <si>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</si>
  <si>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</si>
  <si>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</si>
  <si>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</si>
  <si>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</si>
  <si>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</si>
  <si>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</si>
  <si>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</si>
  <si>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</si>
  <si>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</si>
  <si>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</si>
  <si>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</si>
  <si>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</si>
  <si>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</si>
  <si>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</si>
  <si>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</si>
  <si>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</si>
  <si>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</si>
  <si>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</si>
  <si>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</si>
  <si>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</si>
  <si>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</si>
  <si>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</si>
  <si>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</si>
  <si>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</si>
  <si>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</si>
  <si>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</si>
  <si>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</si>
  <si>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</si>
  <si>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</si>
  <si>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</si>
  <si>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</si>
  <si>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</si>
  <si>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</si>
  <si>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</si>
  <si>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</si>
  <si>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</si>
  <si>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</si>
  <si>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</si>
  <si>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</si>
  <si>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</si>
  <si>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</si>
  <si>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</si>
  <si>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</si>
  <si>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</si>
  <si>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</si>
  <si>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</si>
  <si>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</si>
  <si>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</si>
  <si>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</si>
  <si>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</si>
  <si>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</si>
  <si>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</si>
  <si>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</si>
  <si>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</si>
  <si>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</si>
  <si>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</si>
  <si>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</si>
  <si>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</si>
  <si>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</si>
  <si>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</si>
  <si>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</si>
  <si>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</si>
  <si>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</si>
  <si>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</si>
  <si>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</si>
  <si>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</si>
  <si>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</si>
  <si>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</si>
  <si>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</si>
  <si>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</si>
  <si>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</si>
  <si>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</si>
  <si>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</si>
  <si>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</si>
  <si>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</si>
  <si>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</si>
  <si>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</si>
  <si>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</si>
  <si>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</si>
  <si>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</si>
  <si>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</si>
  <si>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</si>
  <si>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</si>
  <si>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</si>
  <si>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</si>
  <si>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</si>
  <si>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</si>
  <si>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</si>
  <si>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</si>
  <si>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</si>
  <si>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</si>
  <si>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</si>
  <si>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</si>
  <si>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</si>
  <si>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</si>
  <si>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</si>
  <si>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</si>
  <si>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</si>
  <si>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</si>
  <si>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</si>
  <si>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</si>
  <si>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</si>
  <si>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</si>
  <si>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</si>
  <si>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</si>
  <si>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</si>
  <si>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</si>
  <si>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</si>
  <si>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</si>
  <si>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</si>
  <si>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</si>
  <si>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</si>
  <si>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</si>
  <si>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</si>
  <si>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</si>
  <si>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</si>
  <si>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</si>
  <si>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</si>
  <si>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</si>
  <si>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</si>
  <si>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</si>
  <si>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</si>
  <si>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</si>
  <si>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</si>
  <si>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</si>
  <si>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</si>
  <si>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</si>
  <si>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</si>
  <si>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</si>
  <si>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</si>
  <si>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</si>
  <si>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</si>
  <si>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</si>
  <si>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</si>
  <si>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</si>
  <si>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</si>
  <si>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</si>
  <si>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</si>
  <si>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</si>
  <si>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</si>
  <si>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</si>
  <si>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</si>
  <si>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</si>
  <si>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</si>
  <si>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</si>
  <si>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</si>
  <si>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</si>
  <si>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</si>
  <si>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</si>
  <si>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</si>
  <si>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</si>
  <si>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</si>
  <si>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</si>
  <si>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</si>
  <si>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</si>
  <si>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</si>
  <si>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</si>
  <si>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</si>
  <si>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</si>
  <si>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</si>
  <si>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</si>
  <si>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</si>
  <si>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</si>
  <si>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</si>
  <si>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</si>
  <si>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</si>
  <si>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</si>
  <si>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</si>
  <si>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</si>
  <si>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</si>
  <si>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</si>
  <si>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</si>
  <si>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</si>
  <si>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</si>
  <si>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</si>
  <si>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</si>
  <si>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</si>
  <si>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</si>
  <si>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</si>
  <si>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</si>
  <si>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</si>
  <si>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</si>
  <si>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</si>
  <si>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</si>
  <si>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</si>
  <si>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</si>
  <si>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</si>
  <si>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</si>
  <si>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</si>
  <si>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</si>
  <si>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</si>
  <si>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</si>
  <si>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</si>
  <si>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</si>
  <si>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</si>
  <si>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</si>
  <si>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</si>
  <si>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</si>
  <si>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</si>
  <si>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</si>
  <si>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</si>
  <si>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</si>
  <si>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</si>
  <si>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</si>
  <si>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</si>
  <si>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</si>
  <si>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</si>
  <si>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</si>
  <si>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</si>
  <si>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</si>
  <si>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</si>
  <si>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</si>
  <si>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</si>
  <si>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</si>
  <si>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</si>
  <si>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</si>
  <si>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</si>
  <si>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</si>
  <si>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</si>
  <si>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</si>
  <si>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</si>
  <si>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</si>
  <si>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</si>
  <si>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</si>
  <si>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</si>
  <si>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</si>
  <si>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</si>
  <si>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</si>
  <si>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</si>
  <si>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</si>
  <si>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</si>
  <si>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</si>
  <si>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</si>
  <si>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</si>
  <si>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</si>
  <si>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</si>
  <si>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</si>
  <si>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</si>
  <si>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</si>
  <si>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</si>
  <si>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</si>
  <si>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</si>
  <si>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</si>
  <si>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</si>
  <si>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</si>
  <si>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</si>
  <si>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</si>
  <si>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</si>
  <si>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</si>
  <si>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</si>
  <si>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</si>
  <si>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</si>
  <si>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</si>
  <si>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</si>
  <si>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</si>
  <si>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</si>
  <si>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</si>
  <si>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</si>
  <si>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</si>
  <si>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</si>
  <si>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</si>
  <si>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</si>
  <si>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</si>
  <si>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</si>
  <si>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</si>
  <si>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</si>
  <si>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</si>
  <si>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</si>
  <si>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</si>
  <si>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</si>
  <si>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</si>
  <si>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</si>
  <si>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</si>
  <si>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</si>
  <si>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</si>
  <si>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</si>
  <si>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</si>
  <si>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</si>
  <si>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</si>
  <si>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</si>
  <si>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</si>
  <si>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</si>
  <si>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</si>
  <si>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</si>
  <si>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</si>
  <si>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</si>
  <si>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</si>
  <si>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</si>
  <si>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</si>
  <si>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</si>
  <si>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</si>
  <si>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</si>
  <si>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</si>
  <si>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</si>
  <si>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</si>
  <si>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</si>
  <si>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</si>
  <si>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</si>
  <si>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</si>
  <si>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</si>
  <si>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</si>
  <si>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</si>
  <si>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</si>
  <si>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</si>
  <si>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</si>
  <si>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</si>
  <si>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</si>
  <si>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</si>
  <si>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</si>
  <si>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</si>
  <si>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</si>
  <si>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</si>
  <si>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</si>
  <si>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</si>
  <si>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</si>
  <si>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</si>
  <si>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</si>
  <si>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</si>
  <si>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</si>
  <si>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</si>
  <si>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</si>
  <si>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</si>
  <si>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</si>
  <si>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</si>
  <si>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</si>
  <si>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</si>
  <si>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</si>
  <si>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</si>
  <si>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</si>
  <si>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</si>
  <si>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</si>
  <si>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</si>
  <si>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</si>
  <si>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</si>
  <si>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</si>
  <si>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</si>
  <si>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</si>
  <si>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</si>
  <si>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</si>
  <si>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</si>
  <si>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</si>
  <si>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</si>
  <si>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</si>
  <si>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</si>
  <si>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</si>
  <si>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</si>
  <si>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</si>
  <si>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</si>
  <si>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</si>
  <si>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</si>
  <si>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</si>
  <si>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</si>
  <si>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</si>
  <si>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</si>
  <si>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</si>
  <si>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</si>
  <si>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</si>
  <si>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</si>
  <si>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</si>
  <si>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</si>
  <si>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</si>
  <si>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</si>
  <si>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</si>
  <si>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</si>
  <si>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</si>
  <si>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</si>
  <si>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</si>
  <si>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</si>
  <si>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</si>
  <si>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</si>
  <si>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</si>
  <si>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</si>
  <si>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</si>
  <si>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</si>
  <si>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</si>
  <si>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</si>
  <si>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</si>
  <si>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</si>
  <si>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</si>
  <si>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</si>
  <si>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</si>
  <si>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</si>
  <si>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</si>
  <si>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</si>
  <si>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</si>
  <si>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</si>
  <si>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</si>
  <si>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</si>
  <si>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</si>
  <si>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</si>
  <si>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</si>
  <si>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</si>
  <si>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</si>
  <si>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</si>
  <si>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</si>
  <si>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</si>
  <si>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</si>
  <si>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</si>
  <si>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</si>
  <si>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</si>
  <si>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</si>
  <si>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</si>
  <si>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</si>
  <si>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</si>
  <si>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</si>
  <si>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</si>
  <si>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</si>
  <si>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</si>
  <si>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</si>
  <si>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</si>
  <si>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</si>
  <si>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</si>
  <si>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</si>
  <si>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</si>
  <si>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</si>
  <si>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</si>
  <si>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</si>
  <si>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</si>
  <si>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</si>
  <si>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</si>
  <si>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</si>
  <si>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</si>
  <si>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</si>
  <si>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</si>
  <si>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</si>
  <si>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</si>
  <si>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</si>
  <si>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</si>
  <si>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</si>
  <si>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</si>
  <si>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</si>
  <si>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</si>
  <si>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</si>
  <si>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</si>
  <si>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</si>
  <si>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</si>
  <si>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</si>
  <si>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</si>
  <si>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</si>
  <si>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</si>
  <si>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</si>
  <si>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</si>
  <si>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</si>
  <si>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</si>
  <si>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</si>
  <si>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</si>
  <si>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</si>
  <si>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</si>
  <si>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</si>
  <si>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</si>
  <si>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</si>
  <si>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</si>
  <si>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</si>
  <si>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</si>
  <si>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</si>
  <si>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</si>
  <si>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</si>
  <si>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</si>
  <si>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</si>
  <si>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</si>
  <si>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</si>
  <si>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</si>
  <si>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</si>
  <si>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</si>
  <si>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</si>
  <si>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</si>
  <si>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</si>
  <si>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</si>
  <si>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</si>
  <si>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</si>
  <si>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</si>
  <si>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</si>
  <si>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</si>
  <si>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</si>
  <si>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</si>
  <si>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</si>
  <si>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</si>
  <si>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</si>
  <si>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</si>
  <si>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</si>
  <si>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</si>
  <si>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</si>
  <si>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</si>
  <si>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</si>
  <si>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</si>
  <si>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</si>
  <si>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</si>
  <si>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</si>
  <si>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</si>
  <si>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</si>
  <si>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</si>
  <si>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</si>
  <si>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</si>
  <si>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</si>
  <si>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</si>
  <si>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</si>
  <si>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</si>
  <si>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</si>
  <si>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</si>
  <si>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</si>
  <si>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</si>
  <si>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</si>
  <si>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</si>
  <si>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</si>
  <si>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</si>
  <si>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</si>
  <si>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</si>
  <si>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</si>
  <si>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</si>
  <si>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</si>
  <si>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</si>
  <si>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</si>
  <si>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</si>
  <si>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</si>
  <si>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</si>
  <si>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</si>
  <si>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</si>
  <si>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</si>
  <si>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</si>
  <si>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</si>
  <si>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</si>
  <si>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</si>
  <si>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</si>
  <si>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</si>
  <si>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</si>
  <si>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</si>
  <si>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</si>
  <si>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</si>
  <si>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</si>
  <si>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</si>
  <si>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</si>
  <si>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</si>
  <si>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</si>
  <si>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</si>
  <si>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</si>
  <si>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</si>
  <si>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</si>
  <si>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</si>
  <si>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</si>
  <si>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</si>
  <si>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</si>
  <si>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</si>
  <si>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</si>
  <si>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</si>
  <si>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</si>
  <si>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</si>
  <si>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</si>
  <si>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</si>
  <si>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</si>
  <si>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</si>
  <si>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</si>
  <si>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</si>
  <si>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</si>
  <si>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</si>
  <si>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</si>
  <si>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</si>
  <si>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</si>
  <si>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</si>
  <si>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</si>
  <si>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</si>
  <si>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</si>
  <si>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</si>
  <si>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</si>
  <si>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</si>
  <si>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</si>
  <si>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</si>
  <si>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</si>
  <si>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</si>
  <si>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</si>
  <si>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</si>
  <si>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</si>
  <si>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</si>
  <si>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</si>
  <si>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</si>
  <si>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</si>
  <si>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</si>
  <si>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</si>
  <si>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</si>
  <si>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</si>
  <si>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</si>
  <si>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</si>
  <si>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</si>
  <si>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</si>
  <si>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</si>
  <si>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</si>
  <si>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</si>
  <si>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</si>
  <si>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</si>
  <si>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</si>
  <si>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</si>
  <si>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</si>
  <si>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</si>
  <si>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</si>
  <si>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</si>
  <si>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</si>
  <si>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</si>
  <si>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</si>
  <si>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</si>
  <si>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</si>
  <si>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</si>
  <si>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</si>
  <si>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</si>
  <si>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</si>
  <si>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</si>
  <si>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</si>
  <si>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</si>
  <si>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</si>
  <si>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</si>
  <si>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</si>
  <si>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</si>
  <si>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</si>
  <si>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</si>
  <si>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</si>
  <si>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</si>
  <si>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</si>
  <si>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</si>
  <si>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</si>
  <si>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</si>
  <si>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</si>
  <si>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</si>
  <si>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</si>
  <si>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</si>
  <si>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</si>
  <si>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</si>
  <si>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</si>
  <si>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</si>
  <si>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</si>
  <si>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</si>
  <si>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</si>
  <si>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</si>
  <si>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</si>
  <si>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</si>
  <si>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</si>
  <si>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</si>
  <si>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</si>
  <si>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</si>
  <si>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</si>
  <si>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</si>
  <si>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</si>
  <si>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</si>
  <si>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</si>
  <si>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</si>
  <si>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</si>
  <si>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</si>
  <si>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</si>
  <si>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</si>
  <si>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</si>
  <si>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</si>
  <si>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</si>
  <si>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</si>
  <si>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</si>
  <si>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</si>
  <si>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</si>
  <si>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</si>
  <si>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</si>
  <si>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</si>
  <si>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</si>
  <si>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</si>
  <si>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</si>
  <si>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</si>
  <si>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</si>
  <si>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</si>
  <si>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</si>
  <si>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</si>
  <si>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</si>
  <si>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</si>
  <si>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</si>
  <si>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</si>
  <si>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</si>
  <si>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</si>
  <si>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</si>
  <si>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</si>
  <si>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</si>
  <si>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</si>
  <si>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</si>
  <si>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</si>
  <si>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</si>
  <si>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</si>
  <si>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</si>
  <si>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</si>
  <si>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</si>
  <si>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</si>
  <si>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</si>
  <si>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</si>
  <si>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</si>
  <si>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</si>
  <si>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</si>
  <si>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</si>
  <si>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</si>
  <si>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</si>
  <si>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</si>
  <si>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</si>
  <si>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</si>
  <si>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</si>
  <si>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</si>
  <si>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</si>
  <si>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</si>
  <si>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</si>
  <si>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</si>
  <si>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</si>
  <si>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</si>
  <si>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</si>
  <si>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</si>
  <si>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</si>
  <si>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</si>
  <si>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</si>
  <si>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</si>
  <si>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</si>
  <si>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</si>
  <si>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</si>
  <si>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</si>
  <si>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</si>
  <si>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</si>
  <si>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</si>
  <si>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</si>
  <si>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</si>
  <si>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</si>
  <si>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</si>
  <si>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</si>
  <si>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</si>
  <si>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</si>
  <si>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</si>
  <si>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</si>
  <si>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</si>
  <si>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</si>
  <si>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</si>
  <si>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</si>
  <si>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</si>
  <si>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</si>
  <si>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</si>
  <si>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</si>
  <si>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</si>
  <si>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</si>
  <si>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</si>
  <si>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</si>
  <si>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</si>
  <si>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</si>
  <si>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</si>
  <si>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</si>
  <si>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</si>
  <si>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</si>
  <si>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</si>
  <si>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</si>
  <si>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</si>
  <si>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</si>
  <si>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</si>
  <si>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</si>
  <si>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</si>
  <si>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</si>
  <si>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</si>
  <si>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</si>
  <si>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</si>
  <si>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</si>
  <si>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</si>
  <si>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</si>
  <si>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</si>
  <si>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</si>
  <si>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</si>
  <si>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</si>
  <si>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</si>
  <si>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</si>
  <si>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</si>
  <si>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</si>
  <si>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</si>
  <si>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</si>
  <si>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</si>
  <si>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</si>
  <si>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</si>
  <si>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</si>
  <si>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</si>
  <si>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</si>
  <si>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</si>
  <si>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</si>
  <si>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</si>
  <si>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</si>
  <si>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</si>
  <si>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</si>
  <si>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</si>
  <si>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</si>
  <si>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</si>
  <si>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</si>
  <si>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</si>
  <si>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</si>
  <si>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</si>
  <si>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</si>
  <si>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</si>
  <si>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</si>
  <si>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</si>
  <si>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</si>
  <si>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</si>
  <si>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</si>
  <si>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</si>
  <si>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</si>
  <si>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</si>
  <si>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</si>
  <si>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</si>
  <si>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</si>
  <si>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</si>
  <si>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</si>
  <si>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</si>
  <si>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</si>
  <si>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</si>
  <si>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</si>
  <si>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</si>
  <si>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</si>
  <si>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</si>
  <si>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</si>
  <si>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</si>
  <si>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</si>
  <si>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</si>
  <si>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</si>
  <si>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</si>
  <si>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</si>
  <si>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</si>
  <si>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</si>
  <si>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</si>
  <si>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</si>
  <si>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</si>
  <si>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</si>
  <si>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</si>
  <si>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</si>
  <si>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</si>
  <si>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</si>
  <si>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</si>
  <si>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</si>
  <si>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</si>
  <si>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</si>
  <si>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</si>
  <si>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</si>
  <si>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</si>
  <si>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</si>
  <si>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</si>
  <si>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</si>
  <si>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</si>
  <si>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</si>
  <si>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</si>
  <si>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</si>
  <si>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</si>
  <si>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</si>
  <si>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</si>
  <si>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</si>
  <si>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</si>
  <si>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</si>
  <si>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</si>
  <si>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</si>
  <si>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</si>
  <si>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</si>
  <si>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</si>
  <si>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</si>
  <si>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</si>
  <si>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</si>
  <si>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</si>
  <si>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</si>
  <si>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</si>
  <si>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</si>
  <si>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</si>
  <si>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</si>
  <si>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</si>
  <si>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</si>
  <si>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</si>
  <si>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</si>
  <si>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</si>
  <si>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</si>
  <si>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</si>
  <si>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</si>
  <si>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</si>
  <si>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</si>
  <si>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</si>
  <si>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</si>
  <si>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</si>
  <si>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</si>
  <si>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</si>
  <si>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</si>
  <si>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</si>
  <si>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</si>
  <si>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</si>
  <si>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</si>
  <si>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</si>
  <si>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</si>
  <si>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</si>
  <si>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</si>
  <si>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</si>
  <si>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</si>
  <si>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</si>
  <si>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</si>
  <si>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</si>
  <si>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</si>
  <si>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</si>
  <si>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</si>
  <si>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</si>
  <si>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</si>
  <si>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</si>
  <si>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</si>
  <si>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</si>
  <si>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</si>
  <si>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</si>
  <si>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</si>
  <si>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</si>
  <si>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</si>
  <si>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</si>
  <si>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</si>
  <si>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</si>
  <si>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</si>
  <si>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</si>
  <si>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</si>
  <si>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</si>
  <si>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</si>
  <si>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</si>
  <si>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</si>
  <si>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</si>
  <si>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</si>
  <si>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</si>
  <si>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</si>
  <si>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</si>
  <si>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</si>
  <si>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</si>
  <si>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</si>
  <si>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</si>
  <si>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</si>
  <si>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</si>
  <si>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</si>
  <si>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</si>
  <si>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</si>
  <si>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</si>
  <si>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</si>
  <si>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</si>
  <si>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</si>
  <si>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</si>
  <si>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</si>
  <si>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</si>
  <si>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</si>
  <si>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</si>
  <si>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</si>
  <si>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</si>
  <si>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</si>
  <si>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</si>
  <si>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</si>
  <si>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</si>
  <si>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</si>
  <si>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</si>
  <si>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</si>
  <si>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</si>
  <si>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</si>
  <si>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</si>
  <si>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</si>
  <si>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</si>
  <si>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</si>
  <si>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</si>
  <si>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</si>
  <si>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</si>
  <si>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</si>
  <si>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</si>
  <si>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</si>
  <si>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</si>
  <si>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</si>
  <si>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</si>
  <si>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</si>
  <si>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</si>
  <si>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</si>
  <si>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</si>
  <si>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</si>
  <si>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</si>
  <si>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</si>
  <si>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</si>
  <si>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</si>
  <si>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</si>
  <si>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</si>
  <si>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</si>
  <si>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</si>
  <si>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</si>
  <si>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</si>
  <si>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</si>
  <si>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</si>
  <si>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</si>
  <si>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</si>
  <si>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</si>
  <si>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</si>
  <si>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</si>
  <si>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</si>
  <si>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</si>
  <si>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</si>
  <si>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</si>
  <si>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</si>
  <si>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</si>
  <si>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</si>
  <si>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</si>
  <si>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</si>
  <si>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</si>
  <si>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</si>
  <si>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</si>
  <si>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</si>
  <si>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</si>
  <si>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</si>
  <si>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</si>
  <si>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</si>
  <si>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</si>
  <si>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</si>
  <si>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</si>
  <si>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</si>
  <si>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</si>
  <si>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</si>
  <si>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</si>
  <si>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</si>
  <si>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</si>
  <si>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</si>
  <si>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</si>
  <si>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</si>
  <si>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</si>
  <si>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</si>
  <si>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</si>
  <si>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</si>
  <si>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</si>
  <si>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</si>
  <si>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</si>
  <si>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</si>
  <si>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</si>
  <si>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</si>
  <si>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</si>
  <si>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</si>
  <si>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</si>
  <si>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</si>
  <si>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</si>
  <si>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</si>
  <si>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</si>
  <si>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</si>
  <si>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</si>
  <si>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</si>
  <si>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</si>
  <si>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</si>
  <si>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</si>
  <si>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</si>
  <si>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</si>
  <si>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</si>
  <si>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</si>
  <si>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</si>
  <si>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</si>
  <si>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</si>
  <si>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</si>
  <si>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</si>
  <si>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</si>
  <si>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</si>
  <si>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</si>
  <si>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</si>
  <si>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</si>
  <si>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</si>
  <si>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</si>
  <si>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</si>
  <si>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</si>
  <si>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</si>
  <si>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</si>
  <si>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</si>
  <si>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</si>
  <si>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</si>
  <si>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</si>
  <si>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</si>
  <si>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</si>
  <si>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</si>
  <si>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</si>
  <si>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</si>
  <si>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</si>
  <si>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</si>
  <si>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</si>
  <si>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</si>
  <si>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</si>
  <si>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</si>
  <si>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</si>
  <si>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</si>
  <si>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</si>
  <si>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</si>
  <si>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</si>
  <si>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</si>
  <si>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</si>
  <si>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</si>
  <si>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</si>
  <si>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</si>
  <si>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</si>
  <si>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</si>
  <si>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</si>
  <si>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</si>
  <si>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</si>
  <si>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</si>
  <si>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</si>
  <si>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</si>
  <si>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</si>
  <si>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</si>
  <si>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</si>
  <si>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</si>
  <si>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</si>
  <si>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</si>
  <si>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</si>
  <si>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</si>
  <si>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</si>
  <si>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</si>
  <si>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</si>
  <si>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</si>
  <si>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</si>
  <si>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</si>
  <si>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</si>
  <si>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</si>
  <si>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</si>
  <si>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</si>
  <si>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</si>
  <si>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</si>
  <si>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</si>
  <si>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</si>
  <si>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</si>
  <si>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</si>
  <si>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</si>
  <si>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</si>
  <si>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</si>
  <si>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</si>
  <si>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</si>
  <si>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</si>
  <si>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</si>
  <si>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</si>
  <si>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</si>
  <si>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</si>
  <si>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</si>
  <si>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</si>
  <si>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</si>
  <si>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</si>
  <si>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</si>
  <si>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</si>
  <si>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</si>
  <si>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</si>
  <si>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</si>
  <si>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</si>
  <si>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</si>
  <si>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</si>
  <si>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</si>
  <si>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</si>
  <si>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</si>
  <si>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</si>
  <si>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</si>
  <si>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</si>
  <si>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</si>
  <si>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</si>
  <si>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</si>
  <si>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</si>
  <si>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</si>
  <si>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</si>
  <si>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</si>
  <si>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</si>
  <si>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</si>
  <si>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</si>
  <si>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</si>
  <si>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</si>
  <si>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</si>
  <si>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</si>
  <si>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</si>
  <si>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</si>
  <si>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</si>
  <si>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</si>
  <si>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</si>
  <si>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</si>
  <si>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</si>
  <si>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</si>
  <si>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</si>
  <si>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</si>
  <si>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</si>
  <si>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</si>
  <si>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</si>
  <si>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</si>
  <si>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</si>
  <si>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</si>
  <si>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</si>
  <si>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</si>
  <si>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</si>
  <si>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</si>
  <si>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</si>
  <si>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</si>
  <si>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</si>
  <si>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</si>
  <si>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</si>
  <si>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</si>
  <si>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</si>
  <si>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</si>
  <si>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</si>
  <si>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</si>
  <si>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</si>
  <si>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</si>
  <si>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</si>
  <si>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</si>
  <si>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</si>
  <si>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</si>
  <si>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</si>
  <si>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</si>
  <si>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</si>
  <si>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</si>
  <si>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</si>
  <si>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</si>
  <si>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</si>
  <si>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</si>
  <si>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</si>
  <si>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</si>
  <si>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</si>
  <si>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</si>
  <si>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</si>
  <si>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</si>
  <si>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</si>
  <si>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</si>
  <si>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</si>
  <si>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</si>
  <si>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</si>
  <si>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</si>
  <si>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</si>
  <si>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</si>
  <si>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</si>
  <si>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</si>
  <si>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</si>
  <si>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</si>
  <si>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</si>
  <si>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</si>
  <si>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</si>
  <si>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</si>
  <si>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</si>
  <si>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</si>
  <si>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</si>
  <si>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</si>
  <si>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</si>
  <si>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</si>
  <si>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</si>
  <si>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</si>
  <si>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</si>
  <si>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</si>
  <si>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</si>
  <si>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</si>
  <si>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</si>
  <si>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</si>
  <si>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</si>
  <si>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</si>
  <si>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</si>
  <si>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</si>
  <si>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</si>
  <si>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</si>
  <si>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</si>
  <si>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</si>
  <si>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</si>
  <si>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</si>
  <si>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</si>
  <si>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</si>
  <si>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</si>
  <si>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</si>
  <si>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</si>
  <si>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</si>
  <si>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</si>
  <si>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</si>
  <si>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</si>
  <si>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</si>
  <si>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</si>
  <si>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</si>
  <si>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</si>
  <si>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</si>
  <si>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</si>
  <si>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</si>
  <si>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</si>
  <si>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</si>
  <si>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</si>
  <si>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</si>
  <si>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</si>
  <si>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</si>
  <si>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</si>
  <si>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</si>
  <si>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</si>
  <si>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</si>
  <si>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</si>
  <si>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</si>
  <si>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</si>
  <si>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</si>
  <si>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</si>
  <si>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</si>
  <si>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</si>
  <si>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</si>
  <si>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</si>
  <si>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</si>
  <si>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</si>
  <si>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</si>
  <si>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</si>
  <si>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</si>
  <si>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</si>
  <si>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</si>
  <si>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</si>
  <si>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</si>
  <si>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</si>
  <si>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</si>
  <si>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</si>
  <si>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</si>
  <si>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</si>
  <si>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</si>
  <si>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</si>
  <si>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</si>
  <si>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</si>
  <si>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</si>
  <si>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</si>
  <si>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</si>
  <si>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</si>
  <si>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</si>
  <si>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</si>
  <si>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</si>
  <si>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</si>
  <si>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</si>
  <si>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</si>
  <si>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</si>
  <si>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</si>
  <si>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</si>
  <si>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</si>
  <si>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</si>
  <si>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</si>
  <si>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</si>
  <si>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</si>
  <si>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</si>
  <si>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</si>
  <si>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</si>
  <si>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</si>
  <si>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</si>
  <si>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</si>
  <si>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</si>
  <si>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</si>
  <si>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</si>
  <si>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</si>
  <si>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</si>
  <si>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</si>
  <si>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</si>
  <si>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</si>
  <si>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</si>
  <si>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</si>
  <si>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</si>
  <si>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</si>
  <si>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</si>
  <si>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</si>
  <si>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</si>
  <si>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</si>
  <si>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</si>
  <si>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</si>
  <si>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</si>
  <si>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</si>
  <si>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</si>
  <si>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</si>
  <si>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</si>
  <si>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</si>
  <si>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</si>
  <si>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</si>
  <si>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</si>
  <si>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</si>
  <si>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</si>
  <si>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</si>
  <si>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</si>
  <si>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</si>
  <si>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</si>
  <si>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</si>
  <si>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</si>
  <si>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</si>
  <si>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</si>
  <si>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</si>
  <si>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</si>
  <si>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</si>
  <si>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</si>
  <si>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</si>
  <si>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</si>
  <si>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</si>
  <si>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</si>
  <si>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</si>
  <si>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</si>
  <si>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</si>
  <si>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</si>
  <si>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</si>
  <si>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</si>
  <si>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</si>
  <si>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</si>
  <si>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</si>
  <si>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</si>
  <si>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</si>
  <si>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</si>
  <si>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</si>
  <si>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</si>
  <si>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</si>
  <si>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</si>
  <si>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</si>
  <si>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</si>
  <si>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</si>
  <si>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</si>
  <si>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</si>
  <si>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</si>
  <si>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</si>
  <si>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</si>
  <si>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</si>
  <si>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</si>
  <si>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</si>
  <si>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</si>
  <si>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</si>
  <si>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</si>
  <si>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</si>
  <si>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</si>
  <si>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</si>
  <si>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</si>
  <si>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</si>
  <si>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</si>
  <si>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</si>
  <si>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</si>
  <si>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</si>
  <si>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</si>
  <si>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</si>
  <si>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</si>
  <si>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</si>
  <si>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</si>
  <si>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</si>
  <si>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</si>
  <si>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</si>
  <si>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</si>
  <si>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</si>
  <si>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</si>
  <si>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</si>
  <si>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</si>
  <si>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</si>
  <si>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</si>
  <si>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</si>
  <si>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</si>
  <si>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</si>
  <si>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</si>
  <si>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</si>
  <si>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</si>
  <si>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</si>
  <si>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</si>
  <si>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</si>
  <si>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</si>
  <si>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</si>
  <si>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</si>
  <si>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</si>
  <si>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</si>
  <si>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</si>
  <si>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</si>
  <si>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</si>
  <si>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</si>
  <si>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</si>
  <si>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</si>
  <si>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</si>
  <si>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</si>
  <si>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</si>
  <si>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</si>
  <si>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</si>
  <si>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</si>
  <si>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</si>
  <si>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</si>
  <si>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</si>
  <si>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</si>
  <si>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</si>
  <si>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</si>
  <si>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</si>
  <si>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</si>
  <si>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</si>
  <si>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</si>
  <si>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</si>
  <si>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</si>
  <si>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</si>
  <si>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</si>
  <si>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</si>
  <si>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</si>
  <si>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</si>
  <si>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</si>
  <si>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</si>
  <si>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</si>
  <si>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</si>
  <si>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</si>
  <si>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</si>
  <si>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</si>
  <si>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</si>
  <si>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</si>
  <si>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</si>
  <si>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</si>
  <si>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</si>
  <si>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</si>
  <si>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</si>
  <si>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</si>
  <si>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</si>
  <si>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</si>
  <si>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</si>
  <si>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</si>
  <si>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</si>
  <si>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</si>
  <si>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</si>
  <si>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</si>
  <si>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</si>
  <si>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</si>
  <si>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</si>
  <si>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</si>
  <si>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</si>
  <si>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</si>
  <si>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</si>
  <si>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</si>
  <si>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</si>
  <si>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</si>
  <si>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</si>
  <si>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</si>
  <si>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</si>
  <si>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</si>
  <si>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</si>
  <si>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</si>
  <si>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</si>
  <si>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</si>
  <si>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</si>
  <si>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</si>
  <si>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</si>
  <si>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</si>
  <si>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</si>
  <si>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</si>
  <si>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</si>
  <si>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</si>
  <si>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</si>
  <si>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</si>
  <si>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</si>
  <si>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</si>
  <si>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</si>
  <si>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</si>
  <si>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</si>
  <si>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</si>
  <si>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</si>
  <si>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</si>
  <si>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</si>
  <si>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</si>
  <si>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</si>
  <si>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</si>
  <si>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</si>
  <si>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估价对象所在区域公共配套设施齐备情况一般</t>
    <phoneticPr fontId="20" type="noConversion"/>
  </si>
  <si>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</si>
  <si>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</si>
  <si>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</si>
  <si>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</si>
  <si>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</si>
  <si>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</si>
  <si>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</si>
  <si>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</si>
  <si>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</si>
  <si>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</si>
  <si>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</si>
  <si>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</si>
  <si>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</si>
  <si>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</si>
  <si>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</si>
  <si>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</si>
  <si>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</si>
  <si>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</si>
  <si>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</si>
  <si>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</si>
  <si>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</si>
  <si>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</si>
  <si>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</si>
  <si>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</si>
  <si>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</si>
  <si>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</si>
  <si>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</si>
  <si>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</si>
  <si>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</si>
  <si>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</si>
  <si>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</si>
  <si>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</si>
  <si>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</si>
  <si>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</si>
  <si>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</si>
  <si>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</si>
  <si>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</si>
  <si>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</si>
  <si>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</si>
  <si>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</si>
  <si>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19</t>
    <phoneticPr fontId="4" type="noConversion"/>
  </si>
  <si>
    <t>估价对象周边有金福家园、金星小区、定福公寓、定福庄北里1号院等居住小区，小区规模和社区发展完善程度较好，综合评价居住社区成熟度较好</t>
  </si>
  <si>
    <t>估价对象周边有金福家园、金星小区、定福公寓、定福庄北里1号院等居住小区，小区规模和社区发展完善程度较好，综合评价居住社区成熟度较好</t>
    <phoneticPr fontId="35" type="noConversion"/>
  </si>
  <si>
    <t>估价对象紧邻城市支路——定福庄北街，临近地铁6号线（褡裢坡站）八通线（传媒大学站）；以估价对象为中心半径2公里范围内有306路、411路、488路、499路、517路等十余条公交线路，综合评价交通便捷度较好</t>
  </si>
  <si>
    <t>估价对象紧邻城市支路——定福庄北街，临近地铁6号线（褡裢坡站）八通线（传媒大学站）；以估价对象为中心半径2公里范围内有306路、411路、488路、499路、517路等十余条公交线路，综合评价交通便捷度较好</t>
    <phoneticPr fontId="35" type="noConversion"/>
  </si>
  <si>
    <t>估价对象所在区域基础设施水平——六通</t>
    <phoneticPr fontId="20" type="noConversion"/>
  </si>
  <si>
    <t>自然环境：兴隆公园、京城梨园、大黄庄苗圃花木基地等；人文环境：中国传媒大学、高进村史博物馆等，综合评价环境状况较好</t>
  </si>
  <si>
    <t>自然环境：兴隆公园、京城梨园、大黄庄苗圃花木基地等；人文环境：中国传媒大学、高进村史博物馆等，综合评价环境状况较好</t>
    <phoneticPr fontId="35" type="noConversion"/>
  </si>
  <si>
    <t>城市支路——定福庄北街</t>
    <phoneticPr fontId="20" type="noConversion"/>
  </si>
  <si>
    <t>六通</t>
  </si>
  <si>
    <t>自然环境：兴隆公园、京城梨园、大黄庄苗圃花木基地等；人文环境：中国传媒大学、高进村史博物馆等，综合评价环境状况较好</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</si>
</sst>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123825</xdr:colOff>
      <xdr:row>11</xdr:row>
      <xdr:rowOff>38100</xdr:rowOff>
    </xdr:from>
    <xdr:to>
      <xdr:col>18</xdr:col>
      <xdr:colOff>295417</xdr:colOff>
      <xdr:row>33</xdr:row>
      <xdr:rowOff>123825</xdr:rowOff>
    </xdr:to>
    <xdr:pic>
      <xdr:nvPicPr>
        <xdr:cNvPr id="5" name="图片 4"/>
        <xdr:cNvPicPr>
          <a:picLocks noChangeAspect="1"/>
        </xdr:cNvPicPr>
      </xdr:nvPicPr>
      <xdr:blipFill>
        <a:blip xmlns:r="http://schemas.openxmlformats.org/officeDocument/2006/relationships" r:embed="rId1"/>
        <a:stretch>
          <a:fillRect/>
        </a:stretch>
      </xdr:blipFill>
      <xdr:spPr>
        <a:xfrm>
          <a:off x="5610225" y="1924050"/>
          <a:ext cx="7029592" cy="3857625"/>
        </a:xfrm>
        <a:prstGeom prst="rect">
          <a:avLst/>
        </a:prstGeom>
      </xdr:spPr>
    </xdr:pic>
    <xdr:clientData/>
  </xdr:twoCellAnchor>
  <xdr:twoCellAnchor editAs="oneCell">
    <xdr:from>
      <xdr:col>0</xdr:col>
      <xdr:colOff>9525</xdr:colOff>
      <xdr:row>10</xdr:row>
      <xdr:rowOff>38100</xdr:rowOff>
    </xdr:from>
    <xdr:to>
      <xdr:col>8</xdr:col>
      <xdr:colOff>152400</xdr:colOff>
      <xdr:row>29</xdr:row>
      <xdr:rowOff>47540</xdr:rowOff>
    </xdr:to>
    <xdr:pic>
      <xdr:nvPicPr>
        <xdr:cNvPr id="16" name="图片 15"/>
        <xdr:cNvPicPr>
          <a:picLocks noChangeAspect="1"/>
        </xdr:cNvPicPr>
      </xdr:nvPicPr>
      <xdr:blipFill>
        <a:blip xmlns:r="http://schemas.openxmlformats.org/officeDocument/2006/relationships" r:embed="rId2"/>
        <a:stretch>
          <a:fillRect/>
        </a:stretch>
      </xdr:blipFill>
      <xdr:spPr>
        <a:xfrm>
          <a:off x="9525" y="1752600"/>
          <a:ext cx="5629275" cy="3266990"/>
        </a:xfrm>
        <a:prstGeom prst="rect">
          <a:avLst/>
        </a:prstGeom>
      </xdr:spPr>
    </xdr:pic>
    <xdr:clientData/>
  </xdr:twoCellAnchor>
  <xdr:twoCellAnchor editAs="oneCell">
    <xdr:from>
      <xdr:col>0</xdr:col>
      <xdr:colOff>657225</xdr:colOff>
      <xdr:row>0</xdr:row>
      <xdr:rowOff>104775</xdr:rowOff>
    </xdr:from>
    <xdr:to>
      <xdr:col>13</xdr:col>
      <xdr:colOff>8492</xdr:colOff>
      <xdr:row>11</xdr:row>
      <xdr:rowOff>56920</xdr:rowOff>
    </xdr:to>
    <xdr:pic>
      <xdr:nvPicPr>
        <xdr:cNvPr id="17" name="图片 16"/>
        <xdr:cNvPicPr>
          <a:picLocks noChangeAspect="1"/>
        </xdr:cNvPicPr>
      </xdr:nvPicPr>
      <xdr:blipFill>
        <a:blip xmlns:r="http://schemas.openxmlformats.org/officeDocument/2006/relationships" r:embed="rId3"/>
        <a:stretch>
          <a:fillRect/>
        </a:stretch>
      </xdr:blipFill>
      <xdr:spPr>
        <a:xfrm>
          <a:off x="657225" y="104775"/>
          <a:ext cx="8266667" cy="1838095"/>
        </a:xfrm>
        <a:prstGeom prst="rect">
          <a:avLst/>
        </a:prstGeom>
      </xdr:spPr>
    </xdr:pic>
    <xdr:clientData/>
  </xdr:twoCellAnchor>
  <xdr:twoCellAnchor editAs="oneCell">
    <xdr:from>
      <xdr:col>9</xdr:col>
      <xdr:colOff>314325</xdr:colOff>
      <xdr:row>43</xdr:row>
      <xdr:rowOff>28575</xdr:rowOff>
    </xdr:from>
    <xdr:to>
      <xdr:col>21</xdr:col>
      <xdr:colOff>27321</xdr:colOff>
      <xdr:row>68</xdr:row>
      <xdr:rowOff>120549</xdr:rowOff>
    </xdr:to>
    <xdr:pic>
      <xdr:nvPicPr>
        <xdr:cNvPr id="18" name="图片 17"/>
        <xdr:cNvPicPr>
          <a:picLocks noChangeAspect="1"/>
        </xdr:cNvPicPr>
      </xdr:nvPicPr>
      <xdr:blipFill>
        <a:blip xmlns:r="http://schemas.openxmlformats.org/officeDocument/2006/relationships" r:embed="rId4"/>
        <a:stretch>
          <a:fillRect/>
        </a:stretch>
      </xdr:blipFill>
      <xdr:spPr>
        <a:xfrm>
          <a:off x="6486525" y="7400925"/>
          <a:ext cx="7942596" cy="4378224"/>
        </a:xfrm>
        <a:prstGeom prst="rect">
          <a:avLst/>
        </a:prstGeom>
      </xdr:spPr>
    </xdr:pic>
    <xdr:clientData/>
  </xdr:twoCellAnchor>
  <xdr:twoCellAnchor editAs="oneCell">
    <xdr:from>
      <xdr:col>0</xdr:col>
      <xdr:colOff>666750</xdr:colOff>
      <xdr:row>44</xdr:row>
      <xdr:rowOff>19050</xdr:rowOff>
    </xdr:from>
    <xdr:to>
      <xdr:col>9</xdr:col>
      <xdr:colOff>258029</xdr:colOff>
      <xdr:row>63</xdr:row>
      <xdr:rowOff>9525</xdr:rowOff>
    </xdr:to>
    <xdr:pic>
      <xdr:nvPicPr>
        <xdr:cNvPr id="19" name="图片 18"/>
        <xdr:cNvPicPr>
          <a:picLocks noChangeAspect="1"/>
        </xdr:cNvPicPr>
      </xdr:nvPicPr>
      <xdr:blipFill>
        <a:blip xmlns:r="http://schemas.openxmlformats.org/officeDocument/2006/relationships" r:embed="rId5"/>
        <a:stretch>
          <a:fillRect/>
        </a:stretch>
      </xdr:blipFill>
      <xdr:spPr>
        <a:xfrm>
          <a:off x="666750" y="7562850"/>
          <a:ext cx="5763479" cy="3248025"/>
        </a:xfrm>
        <a:prstGeom prst="rect">
          <a:avLst/>
        </a:prstGeom>
      </xdr:spPr>
    </xdr:pic>
    <xdr:clientData/>
  </xdr:twoCellAnchor>
  <xdr:twoCellAnchor editAs="oneCell">
    <xdr:from>
      <xdr:col>1</xdr:col>
      <xdr:colOff>57150</xdr:colOff>
      <xdr:row>33</xdr:row>
      <xdr:rowOff>104775</xdr:rowOff>
    </xdr:from>
    <xdr:to>
      <xdr:col>13</xdr:col>
      <xdr:colOff>8503</xdr:colOff>
      <xdr:row>43</xdr:row>
      <xdr:rowOff>95037</xdr:rowOff>
    </xdr:to>
    <xdr:pic>
      <xdr:nvPicPr>
        <xdr:cNvPr id="20" name="图片 19"/>
        <xdr:cNvPicPr>
          <a:picLocks noChangeAspect="1"/>
        </xdr:cNvPicPr>
      </xdr:nvPicPr>
      <xdr:blipFill>
        <a:blip xmlns:r="http://schemas.openxmlformats.org/officeDocument/2006/relationships" r:embed="rId6"/>
        <a:stretch>
          <a:fillRect/>
        </a:stretch>
      </xdr:blipFill>
      <xdr:spPr>
        <a:xfrm>
          <a:off x="742950" y="5762625"/>
          <a:ext cx="8180953" cy="1704762"/>
        </a:xfrm>
        <a:prstGeom prst="rect">
          <a:avLst/>
        </a:prstGeom>
      </xdr:spPr>
    </xdr:pic>
    <xdr:clientData/>
  </xdr:twoCellAnchor>
  <xdr:twoCellAnchor editAs="oneCell">
    <xdr:from>
      <xdr:col>1</xdr:col>
      <xdr:colOff>0</xdr:colOff>
      <xdr:row>69</xdr:row>
      <xdr:rowOff>0</xdr:rowOff>
    </xdr:from>
    <xdr:to>
      <xdr:col>13</xdr:col>
      <xdr:colOff>160877</xdr:colOff>
      <xdr:row>78</xdr:row>
      <xdr:rowOff>142664</xdr:rowOff>
    </xdr:to>
    <xdr:pic>
      <xdr:nvPicPr>
        <xdr:cNvPr id="21" name="图片 20"/>
        <xdr:cNvPicPr>
          <a:picLocks noChangeAspect="1"/>
        </xdr:cNvPicPr>
      </xdr:nvPicPr>
      <xdr:blipFill>
        <a:blip xmlns:r="http://schemas.openxmlformats.org/officeDocument/2006/relationships" r:embed="rId7"/>
        <a:stretch>
          <a:fillRect/>
        </a:stretch>
      </xdr:blipFill>
      <xdr:spPr>
        <a:xfrm>
          <a:off x="685800" y="11830050"/>
          <a:ext cx="8390477" cy="1685714"/>
        </a:xfrm>
        <a:prstGeom prst="rect">
          <a:avLst/>
        </a:prstGeom>
      </xdr:spPr>
    </xdr:pic>
    <xdr:clientData/>
  </xdr:twoCellAnchor>
  <xdr:twoCellAnchor editAs="oneCell">
    <xdr:from>
      <xdr:col>8</xdr:col>
      <xdr:colOff>428624</xdr:colOff>
      <xdr:row>75</xdr:row>
      <xdr:rowOff>161925</xdr:rowOff>
    </xdr:from>
    <xdr:to>
      <xdr:col>21</xdr:col>
      <xdr:colOff>227335</xdr:colOff>
      <xdr:row>104</xdr:row>
      <xdr:rowOff>31048</xdr:rowOff>
    </xdr:to>
    <xdr:pic>
      <xdr:nvPicPr>
        <xdr:cNvPr id="22" name="图片 21"/>
        <xdr:cNvPicPr>
          <a:picLocks noChangeAspect="1"/>
        </xdr:cNvPicPr>
      </xdr:nvPicPr>
      <xdr:blipFill>
        <a:blip xmlns:r="http://schemas.openxmlformats.org/officeDocument/2006/relationships" r:embed="rId8"/>
        <a:stretch>
          <a:fillRect/>
        </a:stretch>
      </xdr:blipFill>
      <xdr:spPr>
        <a:xfrm>
          <a:off x="5915024" y="13020675"/>
          <a:ext cx="8714111" cy="4841173"/>
        </a:xfrm>
        <a:prstGeom prst="rect">
          <a:avLst/>
        </a:prstGeom>
      </xdr:spPr>
    </xdr:pic>
    <xdr:clientData/>
  </xdr:twoCellAnchor>
  <xdr:twoCellAnchor editAs="oneCell">
    <xdr:from>
      <xdr:col>1</xdr:col>
      <xdr:colOff>0</xdr:colOff>
      <xdr:row>79</xdr:row>
      <xdr:rowOff>0</xdr:rowOff>
    </xdr:from>
    <xdr:to>
      <xdr:col>8</xdr:col>
      <xdr:colOff>304800</xdr:colOff>
      <xdr:row>96</xdr:row>
      <xdr:rowOff>85267</xdr:rowOff>
    </xdr:to>
    <xdr:pic>
      <xdr:nvPicPr>
        <xdr:cNvPr id="23" name="图片 22"/>
        <xdr:cNvPicPr>
          <a:picLocks noChangeAspect="1"/>
        </xdr:cNvPicPr>
      </xdr:nvPicPr>
      <xdr:blipFill>
        <a:blip xmlns:r="http://schemas.openxmlformats.org/officeDocument/2006/relationships" r:embed="rId9"/>
        <a:stretch>
          <a:fillRect/>
        </a:stretch>
      </xdr:blipFill>
      <xdr:spPr>
        <a:xfrm>
          <a:off x="685800" y="13544550"/>
          <a:ext cx="5105400" cy="2999917"/>
        </a:xfrm>
        <a:prstGeom prst="rect">
          <a:avLst/>
        </a:prstGeom>
      </xdr:spPr>
    </xdr:pic>
    <xdr:clientData/>
  </xdr:twoCellAnchor>
  <xdr:twoCellAnchor editAs="oneCell">
    <xdr:from>
      <xdr:col>1</xdr:col>
      <xdr:colOff>0</xdr:colOff>
      <xdr:row>108</xdr:row>
      <xdr:rowOff>0</xdr:rowOff>
    </xdr:from>
    <xdr:to>
      <xdr:col>13</xdr:col>
      <xdr:colOff>227543</xdr:colOff>
      <xdr:row>131</xdr:row>
      <xdr:rowOff>28079</xdr:rowOff>
    </xdr:to>
    <xdr:pic>
      <xdr:nvPicPr>
        <xdr:cNvPr id="24" name="图片 23"/>
        <xdr:cNvPicPr>
          <a:picLocks noChangeAspect="1"/>
        </xdr:cNvPicPr>
      </xdr:nvPicPr>
      <xdr:blipFill>
        <a:blip xmlns:r="http://schemas.openxmlformats.org/officeDocument/2006/relationships" r:embed="rId10"/>
        <a:stretch>
          <a:fillRect/>
        </a:stretch>
      </xdr:blipFill>
      <xdr:spPr>
        <a:xfrm>
          <a:off x="685800" y="18516600"/>
          <a:ext cx="8457143" cy="3971429"/>
        </a:xfrm>
        <a:prstGeom prst="rect">
          <a:avLst/>
        </a:prstGeom>
      </xdr:spPr>
    </xdr:pic>
    <xdr:clientData/>
  </xdr:twoCellAnchor>
  <xdr:twoCellAnchor editAs="oneCell">
    <xdr:from>
      <xdr:col>1</xdr:col>
      <xdr:colOff>0</xdr:colOff>
      <xdr:row>132</xdr:row>
      <xdr:rowOff>0</xdr:rowOff>
    </xdr:from>
    <xdr:to>
      <xdr:col>16</xdr:col>
      <xdr:colOff>541572</xdr:colOff>
      <xdr:row>166</xdr:row>
      <xdr:rowOff>75462</xdr:rowOff>
    </xdr:to>
    <xdr:pic>
      <xdr:nvPicPr>
        <xdr:cNvPr id="2" name="图片 1"/>
        <xdr:cNvPicPr>
          <a:picLocks noChangeAspect="1"/>
        </xdr:cNvPicPr>
      </xdr:nvPicPr>
      <xdr:blipFill>
        <a:blip xmlns:r="http://schemas.openxmlformats.org/officeDocument/2006/relationships" r:embed="rId11"/>
        <a:stretch>
          <a:fillRect/>
        </a:stretch>
      </xdr:blipFill>
      <xdr:spPr>
        <a:xfrm>
          <a:off x="685800" y="22631400"/>
          <a:ext cx="10828572" cy="59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估价对象为房地产，为所有。根据《不动产权证书》[]，估价对象建筑面积为51.99平方米，（分摊）出让国有建设用地使用权面积为平方米。估价对象用途为。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2017年11月8日（评估专业人员实地查勘之日）</v>
      </c>
    </row>
    <row r="10" spans="1:2">
      <c r="A10" s="1708" t="s">
        <v>1120</v>
      </c>
      <c r="B10" s="1695" t="str">
        <f>'预评函-1'!A13</f>
        <v>本次估价的“房地产价值”是指在正常市场情况下，在价值时点2017年11月8日，估价对象规划用途为，假定未设立法定优先受偿款下的房地产市场价值。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51.99</v>
      </c>
    </row>
    <row r="19" spans="1:2">
      <c r="A19" s="1708" t="s">
        <v>1129</v>
      </c>
      <c r="B19" s="1695">
        <f ca="1">'预评函-2（1）'!D7</f>
        <v>2543455</v>
      </c>
    </row>
    <row r="20" spans="1:2">
      <c r="A20" s="1708" t="s">
        <v>1167</v>
      </c>
      <c r="B20" s="1695" t="str">
        <f>'预评函-2（1）'!C7</f>
        <v>总价（元）</v>
      </c>
    </row>
    <row r="21" spans="1:2">
      <c r="A21" s="1708" t="s">
        <v>1130</v>
      </c>
      <c r="B21" s="1695">
        <f ca="1">'预评函-2（1）'!D9</f>
        <v>48922</v>
      </c>
    </row>
    <row r="22" spans="1:2">
      <c r="A22" s="1708" t="s">
        <v>1131</v>
      </c>
      <c r="B22" s="1695" t="str">
        <f ca="1">'预评函-2（1）'!D8</f>
        <v>贰佰伍拾肆万叁仟肆佰伍拾伍元整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2543455</v>
      </c>
    </row>
    <row r="30" spans="1:2">
      <c r="A30" s="1708" t="s">
        <v>1137</v>
      </c>
      <c r="B30" s="1695" t="str">
        <f ca="1">'预评函-2（1）'!D16</f>
        <v>贰佰伍拾肆万叁仟肆佰伍拾伍元整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2393412</v>
      </c>
    </row>
    <row r="38" spans="1:2">
      <c r="A38" s="1708" t="s">
        <v>1145</v>
      </c>
      <c r="B38" s="1695">
        <f ca="1">'预评函-2（2）'!E4</f>
        <v>46036</v>
      </c>
    </row>
    <row r="39" spans="1:2">
      <c r="A39" s="1708" t="s">
        <v>1146</v>
      </c>
      <c r="B39" s="1695" t="str">
        <f ca="1">'预评函-2（2）'!D5</f>
        <v>贰佰叁拾玖万叁仟肆佰壹拾贰元整</v>
      </c>
    </row>
    <row r="40" spans="1:2">
      <c r="A40" s="1708" t="s">
        <v>1147</v>
      </c>
      <c r="B40" s="1695">
        <f ca="1">'预评函-2（2）'!F4</f>
        <v>150043</v>
      </c>
    </row>
    <row r="41" spans="1:2">
      <c r="A41" s="1708" t="s">
        <v>1148</v>
      </c>
      <c r="B41" s="1695">
        <f ca="1">'预评函-2（2）'!G4</f>
        <v>2886</v>
      </c>
    </row>
    <row r="42" spans="1:2" s="1705" customFormat="1" ht="15.75" thickBot="1">
      <c r="A42" s="1709" t="s">
        <v>1149</v>
      </c>
      <c r="B42" s="1697" t="str">
        <f ca="1">'预评函-2（2）'!F5</f>
        <v>壹拾伍万零肆拾叁元整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48922</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63" sqref="F6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43047</v>
      </c>
      <c r="C2" s="2005" t="s">
        <v>1550</v>
      </c>
      <c r="D2" s="1089">
        <v>43047</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822" t="s">
        <v>1560</v>
      </c>
      <c r="B8" s="2026" t="s">
        <v>1561</v>
      </c>
      <c r="C8" s="2834"/>
      <c r="D8" s="2835"/>
      <c r="E8" s="2027" t="s">
        <v>1562</v>
      </c>
      <c r="F8" s="2028" t="s">
        <v>1563</v>
      </c>
      <c r="G8" s="691">
        <f>C6</f>
        <v>0</v>
      </c>
    </row>
    <row r="9" spans="1:10">
      <c r="A9" s="2822"/>
      <c r="B9" s="345" t="s">
        <v>1564</v>
      </c>
      <c r="C9" s="2717" t="s">
        <v>2822</v>
      </c>
      <c r="D9" s="2029"/>
      <c r="E9" s="1011" t="s">
        <v>1565</v>
      </c>
      <c r="F9" s="997"/>
      <c r="G9" s="1013"/>
    </row>
    <row r="10" spans="1:10" ht="13.5" thickBot="1">
      <c r="A10" s="2822"/>
      <c r="B10" s="345" t="s">
        <v>1566</v>
      </c>
      <c r="C10" s="2836"/>
      <c r="D10" s="2837"/>
      <c r="E10" s="2030" t="s">
        <v>1567</v>
      </c>
      <c r="F10" s="1014"/>
      <c r="G10" s="1015"/>
    </row>
    <row r="11" spans="1:10" ht="13.5" thickBot="1">
      <c r="A11" s="2822"/>
      <c r="B11" s="2031" t="s">
        <v>1568</v>
      </c>
      <c r="C11" s="2838"/>
      <c r="D11" s="2839"/>
      <c r="E11" s="1023"/>
      <c r="F11" s="1022"/>
      <c r="G11" s="1075"/>
    </row>
    <row r="12" spans="1:10" ht="24.75" thickBot="1">
      <c r="A12" s="2825" t="s">
        <v>1569</v>
      </c>
      <c r="B12" s="2032" t="s">
        <v>1570</v>
      </c>
      <c r="C12" s="1017">
        <v>51.99</v>
      </c>
      <c r="D12" s="2032" t="s">
        <v>1571</v>
      </c>
      <c r="E12" s="2033" t="s">
        <v>1572</v>
      </c>
      <c r="F12" s="2034" t="s">
        <v>1573</v>
      </c>
      <c r="G12" s="1075"/>
    </row>
    <row r="13" spans="1:10" ht="21" customHeight="1" thickBot="1">
      <c r="A13" s="2826"/>
      <c r="B13" s="2035" t="s">
        <v>1574</v>
      </c>
      <c r="C13" s="1018"/>
      <c r="D13" s="2035" t="s">
        <v>1575</v>
      </c>
      <c r="E13" s="2036" t="s">
        <v>1572</v>
      </c>
      <c r="F13" s="1022"/>
      <c r="G13" s="1075"/>
      <c r="I13" s="2812"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2"/>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2"/>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0" t="s">
        <v>1583</v>
      </c>
      <c r="C17" s="2841"/>
      <c r="D17" s="2842" t="s">
        <v>1584</v>
      </c>
      <c r="E17" s="284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8" t="s">
        <v>1599</v>
      </c>
      <c r="D27" s="2829"/>
      <c r="E27" s="1005"/>
      <c r="F27" s="1012" t="s">
        <v>1599</v>
      </c>
      <c r="G27" s="1005"/>
      <c r="I27" s="1072"/>
      <c r="K27" s="1072"/>
    </row>
    <row r="28" spans="1:15">
      <c r="A28" s="1009" t="s">
        <v>1600</v>
      </c>
      <c r="B28" s="979"/>
      <c r="C28" s="2830" t="s">
        <v>1601</v>
      </c>
      <c r="D28" s="2831"/>
      <c r="E28" s="979"/>
      <c r="F28" s="1900" t="s">
        <v>1601</v>
      </c>
      <c r="G28" s="979"/>
      <c r="I28" s="1072"/>
      <c r="K28" s="1072"/>
    </row>
    <row r="29" spans="1:15">
      <c r="A29" s="1009" t="s">
        <v>1602</v>
      </c>
      <c r="B29" s="979"/>
      <c r="C29" s="2830" t="s">
        <v>1602</v>
      </c>
      <c r="D29" s="2831"/>
      <c r="E29" s="979"/>
      <c r="F29" s="1900" t="s">
        <v>1603</v>
      </c>
      <c r="G29" s="979"/>
      <c r="I29" s="1072"/>
      <c r="K29" s="1072"/>
    </row>
    <row r="30" spans="1:15">
      <c r="A30" s="1009" t="s">
        <v>1604</v>
      </c>
      <c r="B30" s="979"/>
      <c r="C30" s="2819" t="s">
        <v>1605</v>
      </c>
      <c r="D30" s="2074"/>
      <c r="E30" s="1024" t="str">
        <f>E31&amp;" "&amp;E32&amp;" "&amp;E33&amp;" "&amp;E34</f>
        <v xml:space="preserve">   </v>
      </c>
      <c r="F30" s="1900" t="s">
        <v>1606</v>
      </c>
      <c r="G30" s="979"/>
    </row>
    <row r="31" spans="1:15">
      <c r="A31" s="1009" t="s">
        <v>1607</v>
      </c>
      <c r="B31" s="979"/>
      <c r="C31" s="2820"/>
      <c r="D31" s="1899" t="s">
        <v>1608</v>
      </c>
      <c r="E31" s="979"/>
      <c r="F31" s="1900" t="s">
        <v>1609</v>
      </c>
      <c r="G31" s="979"/>
    </row>
    <row r="32" spans="1:15" ht="24.75" thickBot="1">
      <c r="A32" s="1010" t="s">
        <v>1610</v>
      </c>
      <c r="B32" s="1006"/>
      <c r="C32" s="2820"/>
      <c r="D32" s="1899" t="s">
        <v>1611</v>
      </c>
      <c r="E32" s="979"/>
      <c r="F32" s="1900" t="s">
        <v>1612</v>
      </c>
      <c r="G32" s="979"/>
    </row>
    <row r="33" spans="1:7">
      <c r="A33" s="1008" t="s">
        <v>1613</v>
      </c>
      <c r="B33" s="1005"/>
      <c r="C33" s="2820"/>
      <c r="D33" s="1899" t="s">
        <v>1614</v>
      </c>
      <c r="E33" s="979"/>
      <c r="F33" s="1900" t="s">
        <v>1615</v>
      </c>
      <c r="G33" s="979"/>
    </row>
    <row r="34" spans="1:7" ht="13.5" thickBot="1">
      <c r="A34" s="1009" t="s">
        <v>1616</v>
      </c>
      <c r="B34" s="979"/>
      <c r="C34" s="2821"/>
      <c r="D34" s="1899" t="s">
        <v>1617</v>
      </c>
      <c r="E34" s="979"/>
      <c r="F34" s="1901" t="s">
        <v>1618</v>
      </c>
      <c r="G34" s="1007"/>
    </row>
    <row r="35" spans="1:7">
      <c r="A35" s="1009" t="s">
        <v>1570</v>
      </c>
      <c r="B35" s="979"/>
      <c r="C35" s="2830" t="s">
        <v>1619</v>
      </c>
      <c r="D35" s="2831"/>
      <c r="E35" s="979"/>
      <c r="F35" s="1020" t="s">
        <v>1620</v>
      </c>
      <c r="G35" s="1005"/>
    </row>
    <row r="36" spans="1:7" ht="13.5" thickBot="1">
      <c r="A36" s="1009" t="s">
        <v>1621</v>
      </c>
      <c r="B36" s="979"/>
      <c r="C36" s="2832" t="s">
        <v>1622</v>
      </c>
      <c r="D36" s="2833"/>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23"/>
      <c r="D38" s="1899" t="s">
        <v>1616</v>
      </c>
      <c r="E38" s="979"/>
      <c r="F38" s="1012" t="s">
        <v>1628</v>
      </c>
      <c r="G38" s="1005"/>
    </row>
    <row r="39" spans="1:7">
      <c r="A39" s="1009" t="s">
        <v>1629</v>
      </c>
      <c r="B39" s="979"/>
      <c r="C39" s="2823" t="s">
        <v>1630</v>
      </c>
      <c r="D39" s="1899" t="s">
        <v>1570</v>
      </c>
      <c r="E39" s="979"/>
      <c r="F39" s="1900" t="s">
        <v>1631</v>
      </c>
      <c r="G39" s="979"/>
    </row>
    <row r="40" spans="1:7" ht="24.75" customHeight="1" thickBot="1">
      <c r="A40" s="1010" t="s">
        <v>1632</v>
      </c>
      <c r="B40" s="1006"/>
      <c r="C40" s="2824"/>
      <c r="D40" s="1902" t="s">
        <v>1574</v>
      </c>
      <c r="E40" s="1006"/>
      <c r="F40" s="1901" t="s">
        <v>1633</v>
      </c>
      <c r="G40" s="1006"/>
    </row>
    <row r="41" spans="1:7">
      <c r="A41" s="1011" t="s">
        <v>1634</v>
      </c>
      <c r="B41" s="1061"/>
      <c r="C41" s="2813" t="s">
        <v>1634</v>
      </c>
      <c r="D41" s="2814"/>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5" t="s">
        <v>1637</v>
      </c>
      <c r="D48" s="2816"/>
      <c r="E48" s="1056"/>
      <c r="F48" s="1901" t="s">
        <v>1638</v>
      </c>
      <c r="G48" s="1006"/>
    </row>
    <row r="49" spans="1:15">
      <c r="A49" s="1009" t="s">
        <v>1639</v>
      </c>
      <c r="B49" s="1055"/>
      <c r="C49" s="2817" t="s">
        <v>1640</v>
      </c>
      <c r="D49" s="2818"/>
      <c r="E49" s="1057"/>
      <c r="F49" s="1085"/>
      <c r="G49" s="1086"/>
    </row>
    <row r="50" spans="1:15" ht="13.5" thickBot="1">
      <c r="A50" s="1009" t="s">
        <v>1641</v>
      </c>
      <c r="B50" s="1055"/>
      <c r="C50" s="2824" t="s">
        <v>1642</v>
      </c>
      <c r="D50" s="282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43047</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51.99</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68614</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70</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1</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1700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88383</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0.72</v>
      </c>
      <c r="F20" s="1239"/>
      <c r="G20" s="1861"/>
      <c r="H20" s="2848" t="s">
        <v>2903</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v>
      </c>
      <c r="C21" s="1861"/>
      <c r="D21" s="2100" t="s">
        <v>1677</v>
      </c>
      <c r="E21" s="712">
        <v>0.03</v>
      </c>
      <c r="F21" s="1858" t="s">
        <v>1678</v>
      </c>
      <c r="G21" s="1861"/>
      <c r="H21" s="2747" t="s">
        <v>2904</v>
      </c>
      <c r="I21" s="2748">
        <v>0.02</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v>
      </c>
      <c r="C22" s="1861"/>
      <c r="D22" s="2100" t="s">
        <v>1680</v>
      </c>
      <c r="E22" s="40">
        <v>0.05</v>
      </c>
      <c r="F22" s="1858" t="s">
        <v>1681</v>
      </c>
      <c r="G22" s="1861"/>
      <c r="H22" s="2747" t="s">
        <v>2905</v>
      </c>
      <c r="I22" s="2750" t="s">
        <v>2920</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v>
      </c>
      <c r="C23" s="1861"/>
      <c r="D23" s="2100" t="s">
        <v>1683</v>
      </c>
      <c r="E23" s="37">
        <v>200</v>
      </c>
      <c r="F23" s="1858" t="s">
        <v>1684</v>
      </c>
      <c r="G23" s="1861"/>
      <c r="H23" s="2747" t="s">
        <v>2906</v>
      </c>
      <c r="I23" s="2750" t="s">
        <v>2907</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2747" t="s">
        <v>2908</v>
      </c>
      <c r="I24" s="2752">
        <f>ROUND(1-(1-I21)*I22/I23,2)</f>
        <v>0.69</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2909</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1998</v>
      </c>
      <c r="C26" s="1861"/>
      <c r="D26" s="2100" t="s">
        <v>1692</v>
      </c>
      <c r="E26" s="40">
        <v>0.02</v>
      </c>
      <c r="F26" s="1858" t="s">
        <v>1690</v>
      </c>
      <c r="G26" s="2083"/>
      <c r="H26" s="2849" t="s">
        <v>2910</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755" t="s">
        <v>2911</v>
      </c>
      <c r="I27" s="2756" t="s">
        <v>2912</v>
      </c>
      <c r="J27" s="2756" t="s">
        <v>2913</v>
      </c>
      <c r="K27" s="2756" t="s">
        <v>2914</v>
      </c>
      <c r="L27" s="2756" t="s">
        <v>2915</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5" t="s">
        <v>2916</v>
      </c>
      <c r="I28" s="2756">
        <v>100</v>
      </c>
      <c r="J28" s="2756" t="s">
        <v>2917</v>
      </c>
      <c r="K28" s="2756">
        <v>75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4000</v>
      </c>
      <c r="C29" s="1239"/>
      <c r="D29" s="2104" t="s">
        <v>1697</v>
      </c>
      <c r="E29" s="989">
        <f>E30+E31</f>
        <v>5.6000000000000001E-2</v>
      </c>
      <c r="F29" s="1855"/>
      <c r="G29" s="2083"/>
      <c r="H29" s="2755" t="s">
        <v>2918</v>
      </c>
      <c r="I29" s="2756">
        <v>100</v>
      </c>
      <c r="J29" s="2756" t="s">
        <v>2917</v>
      </c>
      <c r="K29" s="2756">
        <v>75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2919</v>
      </c>
      <c r="I30" s="2756">
        <v>100</v>
      </c>
      <c r="J30" s="2756" t="s">
        <v>2917</v>
      </c>
      <c r="K30" s="2756">
        <v>75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8" t="s">
        <v>2909</v>
      </c>
      <c r="I31" s="2759">
        <f>1-I25</f>
        <v>0.5</v>
      </c>
      <c r="J31" s="2756" t="s">
        <v>2908</v>
      </c>
      <c r="K31" s="2760">
        <v>0.75</v>
      </c>
      <c r="L31" s="2761"/>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-19</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2922</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108">
      <c r="A6" s="412"/>
      <c r="B6" s="1893" t="s">
        <v>1751</v>
      </c>
      <c r="C6" s="2722" t="s">
        <v>2924</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2879</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2925</v>
      </c>
      <c r="D8" s="2158"/>
      <c r="E8" s="2158"/>
      <c r="F8" s="1248"/>
      <c r="G8" s="1248"/>
      <c r="H8" s="2148"/>
      <c r="I8" s="2148"/>
      <c r="J8" s="2148"/>
      <c r="K8" s="2148"/>
      <c r="L8" s="2148"/>
      <c r="M8" s="2148"/>
      <c r="N8" s="2148"/>
      <c r="O8" s="2148"/>
      <c r="P8" s="2148"/>
      <c r="Q8" s="2148"/>
      <c r="R8" s="2148"/>
    </row>
    <row r="9" spans="1:29" ht="67.5">
      <c r="A9" s="412"/>
      <c r="B9" s="1893" t="s">
        <v>1756</v>
      </c>
      <c r="C9" s="2727" t="s">
        <v>2927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2928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估价对象周边有金福家园、金星小区、定福公寓、定福庄北里1号院等居住小区，小区规模和社区发展完善程度较好，综合评价居住社区成熟度较好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114">
      <c r="A18" s="630"/>
      <c r="B18" s="2187" t="s">
        <v>1751</v>
      </c>
      <c r="C18" s="52" t="str">
        <f>C6</f>
        <v>估价对象紧邻城市支路——定福庄北街，临近地铁6号线（褡裢坡站）八通线（传媒大学站）；以估价对象为中心半径2公里范围内有306路、411路、488路、499路、517路等十余条公交线路，综合评价交通便捷度较好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自然环境：兴隆公园、京城梨园、大黄庄苗圃花木基地等；人文环境：中国传媒大学、高进村史博物馆等，综合评价环境状况较好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估价对象所在区域基础设施水平——六通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城市支路——定福庄北街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12" zoomScaleNormal="100" zoomScaleSheetLayoutView="100" zoomScalePageLayoutView="80" workbookViewId="0">
      <selection sqref="A1:I146"/>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6" t="str">
        <f>项目基本情况!B1</f>
        <v>房地产市场价值预评估</v>
      </c>
      <c r="B2" s="2916"/>
      <c r="C2" s="2916"/>
      <c r="D2" s="2916"/>
      <c r="E2" s="2916"/>
      <c r="F2" s="2916"/>
      <c r="G2" s="2916"/>
      <c r="H2" s="2916"/>
      <c r="I2" s="2916"/>
    </row>
    <row r="3" spans="1:12" ht="12.75">
      <c r="A3" s="2919" t="s">
        <v>1772</v>
      </c>
      <c r="B3" s="2920"/>
      <c r="C3" s="2920"/>
      <c r="D3" s="2920"/>
      <c r="E3" s="2920"/>
      <c r="F3" s="2920"/>
      <c r="G3" s="2920"/>
      <c r="H3" s="2920"/>
      <c r="I3" s="2920"/>
    </row>
    <row r="4" spans="1:12" ht="14.25">
      <c r="A4" s="2203" t="s">
        <v>1773</v>
      </c>
      <c r="B4" s="2204" t="s">
        <v>1774</v>
      </c>
      <c r="C4" s="2205" t="s">
        <v>2867</v>
      </c>
      <c r="D4" s="2205" t="s">
        <v>2868</v>
      </c>
      <c r="E4" s="2900" t="s">
        <v>1775</v>
      </c>
      <c r="F4" s="2901"/>
      <c r="G4" s="2901"/>
      <c r="H4" s="2901"/>
      <c r="I4" s="2911"/>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3" t="s">
        <v>1776</v>
      </c>
      <c r="B5" s="2855">
        <v>25</v>
      </c>
      <c r="C5" s="2904">
        <v>80</v>
      </c>
      <c r="D5" s="2918">
        <f>100-C5</f>
        <v>20</v>
      </c>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2741485</v>
      </c>
      <c r="D19" s="60">
        <f ca="1">SUMIF(INDIRECT("'"&amp;D4&amp;"'"&amp;"!A:A"),结果表!B19,INDIRECT("'"&amp;D4&amp;"'"&amp;"!B:B"))</f>
        <v>1755472</v>
      </c>
      <c r="E19" s="2212" t="s">
        <v>1797</v>
      </c>
      <c r="F19" s="2213" t="s">
        <v>1796</v>
      </c>
      <c r="G19" s="61">
        <f ca="1">ROUND(C19*$C$18+D19*$D$18,0)</f>
        <v>2544282</v>
      </c>
      <c r="H19" s="2214" t="str">
        <f>'数据-取费表'!B3</f>
        <v>元</v>
      </c>
      <c r="I19" s="2201"/>
    </row>
    <row r="20" spans="1:35" ht="15">
      <c r="A20" s="2215"/>
      <c r="B20" s="2216" t="s">
        <v>1798</v>
      </c>
      <c r="C20" s="62">
        <f ca="1">SUMIF(INDIRECT("'"&amp;C4&amp;"'"&amp;"!A:A"),结果表!B20,INDIRECT("'"&amp;C4&amp;"'"&amp;"!B:B"))</f>
        <v>52731</v>
      </c>
      <c r="D20" s="63">
        <f ca="1">SUMIF(INDIRECT("'"&amp;D4&amp;"'"&amp;"!A:A"),结果表!B20,INDIRECT("'"&amp;D4&amp;"'"&amp;"!B:B"))</f>
        <v>33766</v>
      </c>
      <c r="E20" s="2215"/>
      <c r="F20" s="2216" t="s">
        <v>1798</v>
      </c>
      <c r="G20" s="64">
        <f ca="1">ROUND(C20*$C$18+D20*$D$18,0)</f>
        <v>48938</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0.56167970779368748</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8.1100000000000005E-2</v>
      </c>
      <c r="D24" s="995"/>
      <c r="E24" s="2201"/>
      <c r="F24" s="2201"/>
      <c r="G24" s="2201"/>
      <c r="H24" s="2201"/>
      <c r="I24" s="2201"/>
    </row>
    <row r="25" spans="1:35" ht="21.75" customHeight="1">
      <c r="A25" s="2925"/>
      <c r="B25" s="2216" t="s">
        <v>1798</v>
      </c>
      <c r="C25" s="66">
        <f>IF(B30=0,0,C30)</f>
        <v>16</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2902</v>
      </c>
      <c r="B27" s="67">
        <v>51.99</v>
      </c>
      <c r="C27" s="67">
        <v>1.56E-3</v>
      </c>
      <c r="D27" s="68">
        <f>ROUND(B27*C27,4)</f>
        <v>8.1100000000000005E-2</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51.99</v>
      </c>
      <c r="C30" s="69">
        <f>ROUND(D30*10000/B30,0)</f>
        <v>16</v>
      </c>
      <c r="D30" s="69">
        <f>SUM(D27:D29)</f>
        <v>8.1100000000000005E-2</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48922</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46036</v>
      </c>
      <c r="D34" s="1092">
        <f ca="1">IF(D33="自定义",ROUND(C34/C32,3),1-D35)</f>
        <v>0.94100000000000006</v>
      </c>
      <c r="E34" s="2239" t="s">
        <v>1811</v>
      </c>
      <c r="F34" s="1834">
        <v>2000</v>
      </c>
      <c r="G34" s="2201"/>
      <c r="H34" s="2201"/>
      <c r="I34" s="2201"/>
    </row>
    <row r="35" spans="1:16" ht="15.75" hidden="1" thickBot="1">
      <c r="A35" s="2240"/>
      <c r="B35" s="2241" t="s">
        <v>1812</v>
      </c>
      <c r="C35" s="74">
        <f ca="1">IF(D33="自定义",F35,ROUND(C32*D35,0))</f>
        <v>2886</v>
      </c>
      <c r="D35" s="1091">
        <f ca="1">IF(D33="自定义",ROUND(C35/C32,3),IF(D33="成本法成本比率",成本法!C56,IF(D33="收益法收益比率",收益法!J38,收益法!J41)))</f>
        <v>5.8999999999999997E-2</v>
      </c>
      <c r="E35" s="2242" t="s">
        <v>1813</v>
      </c>
      <c r="F35" s="80">
        <v>4460</v>
      </c>
      <c r="G35" s="2201"/>
      <c r="H35" s="2201"/>
      <c r="I35" s="2201"/>
    </row>
    <row r="36" spans="1:16" ht="15.75" hidden="1" thickBot="1">
      <c r="A36" s="2906" t="s">
        <v>1814</v>
      </c>
      <c r="B36" s="2243" t="s">
        <v>1815</v>
      </c>
      <c r="C36" s="70">
        <v>0</v>
      </c>
      <c r="D36" s="2244"/>
      <c r="E36" s="2245"/>
      <c r="F36" s="2245"/>
      <c r="G36" s="2201"/>
      <c r="H36" s="2201"/>
      <c r="I36" s="2201"/>
    </row>
    <row r="37" spans="1:16" ht="15.75" hidden="1" thickBot="1">
      <c r="A37" s="2907"/>
      <c r="B37" s="2246" t="s">
        <v>1816</v>
      </c>
      <c r="C37" s="72">
        <v>0</v>
      </c>
      <c r="D37" s="2211"/>
      <c r="E37" s="2211"/>
      <c r="F37" s="2245"/>
      <c r="G37" s="2211"/>
      <c r="H37" s="2211"/>
      <c r="I37" s="2211"/>
    </row>
    <row r="38" spans="1:16" ht="15.75" hidden="1" thickBot="1">
      <c r="A38" s="290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2" t="s">
        <v>1825</v>
      </c>
      <c r="B45" s="2913"/>
      <c r="C45" s="2914"/>
      <c r="D45" s="81">
        <f ca="1">ROUND(I102*F45,0)</f>
        <v>2543455</v>
      </c>
      <c r="E45" s="82" t="s">
        <v>1826</v>
      </c>
      <c r="F45" s="83">
        <v>1</v>
      </c>
      <c r="G45" s="84" t="s">
        <v>1827</v>
      </c>
      <c r="H45" s="2201"/>
      <c r="I45" s="2201"/>
      <c r="J45" s="2974" t="s">
        <v>1828</v>
      </c>
      <c r="K45" s="2974"/>
      <c r="L45" s="2974"/>
      <c r="M45" s="2974"/>
      <c r="N45" s="2974"/>
      <c r="O45" s="2974"/>
      <c r="P45" s="1851"/>
    </row>
    <row r="46" spans="1:16" ht="14.25" hidden="1" customHeight="1">
      <c r="A46" s="2897" t="s">
        <v>1829</v>
      </c>
      <c r="B46" s="2898"/>
      <c r="C46" s="2898"/>
      <c r="D46" s="2898"/>
      <c r="E46" s="2898"/>
      <c r="F46" s="2898"/>
      <c r="G46" s="2899"/>
      <c r="H46" s="2263"/>
      <c r="I46" s="1145"/>
      <c r="J46" s="1889">
        <v>1</v>
      </c>
      <c r="K46" s="2974" t="s">
        <v>1830</v>
      </c>
      <c r="L46" s="2974"/>
      <c r="M46" s="2975" t="str">
        <f>项目基本情况!B1</f>
        <v>房地产市场价值预评估</v>
      </c>
      <c r="N46" s="2975"/>
      <c r="O46" s="2975"/>
      <c r="P46" s="1851"/>
    </row>
    <row r="47" spans="1:16" ht="12" hidden="1" customHeight="1">
      <c r="A47" s="86" t="s">
        <v>1831</v>
      </c>
      <c r="B47" s="87"/>
      <c r="C47" s="88"/>
      <c r="D47" s="89" t="s">
        <v>1832</v>
      </c>
      <c r="E47" s="14" t="s">
        <v>1833</v>
      </c>
      <c r="F47" s="90" t="s">
        <v>1834</v>
      </c>
      <c r="G47" s="91" t="s">
        <v>1835</v>
      </c>
      <c r="H47" s="2263"/>
      <c r="I47" s="1145"/>
      <c r="J47" s="1889">
        <v>2</v>
      </c>
      <c r="K47" s="2974" t="s">
        <v>1836</v>
      </c>
      <c r="L47" s="2974"/>
      <c r="M47" s="2976">
        <f>'数据-取费表'!B2</f>
        <v>43047</v>
      </c>
      <c r="N47" s="2976"/>
      <c r="O47" s="2976"/>
      <c r="P47" s="1851"/>
    </row>
    <row r="48" spans="1:16" ht="25.5" hidden="1">
      <c r="A48" s="2909" t="s">
        <v>1837</v>
      </c>
      <c r="B48" s="2910"/>
      <c r="C48" s="2910"/>
      <c r="D48" s="56">
        <f ca="1">IF(H48="情况1",0,IF(H48="情况2",D52,IF(H48="情况3",D53,IF(H48="情况4",D54))))</f>
        <v>135651</v>
      </c>
      <c r="E48" s="1899" t="str">
        <f>IF(H48="情况4","(销售额-原购置价)×税（费）率","销售额×税（费）率")</f>
        <v>销售额×税（费）率</v>
      </c>
      <c r="F48" s="92">
        <f>IF(H48="情况1","免征",'数据-取费表'!E29)</f>
        <v>5.6000000000000001E-2</v>
      </c>
      <c r="G48" s="2264" t="s">
        <v>1838</v>
      </c>
      <c r="H48" s="2265" t="s">
        <v>1839</v>
      </c>
      <c r="I48" s="2263"/>
      <c r="J48" s="1889">
        <v>3</v>
      </c>
      <c r="K48" s="2974" t="s">
        <v>1840</v>
      </c>
      <c r="L48" s="2974"/>
      <c r="M48" s="2975">
        <f ca="1">I102</f>
        <v>2543455</v>
      </c>
      <c r="N48" s="2975"/>
      <c r="O48" s="2975"/>
      <c r="P48" s="1851"/>
    </row>
    <row r="49" spans="1:16" ht="25.5" hidden="1" customHeight="1">
      <c r="A49" s="93" t="s">
        <v>1841</v>
      </c>
      <c r="B49" s="2902" t="s">
        <v>1842</v>
      </c>
      <c r="C49" s="2902"/>
      <c r="D49" s="94">
        <v>0</v>
      </c>
      <c r="E49" s="13" t="s">
        <v>1843</v>
      </c>
      <c r="F49" s="18" t="s">
        <v>48</v>
      </c>
      <c r="G49" s="2967"/>
      <c r="H49" s="2201"/>
      <c r="I49" s="2266"/>
      <c r="J49" s="1889">
        <v>4</v>
      </c>
      <c r="K49" s="2974" t="str">
        <f>IF(项目基本情况!F5="房地产抵押价值","房地产抵押价值","抵押担保权已注销时的房地产抵押价值")</f>
        <v>抵押担保权已注销时的房地产抵押价值</v>
      </c>
      <c r="L49" s="2974"/>
      <c r="M49" s="2975" t="str">
        <f>IF(项目基本情况!E8="房地产抵押价值",I110,I112)</f>
        <v>——</v>
      </c>
      <c r="N49" s="2975"/>
      <c r="O49" s="2975"/>
      <c r="P49" s="1851"/>
    </row>
    <row r="50" spans="1:16" ht="25.5" hidden="1" customHeight="1">
      <c r="A50" s="95"/>
      <c r="B50" s="2902" t="s">
        <v>1844</v>
      </c>
      <c r="C50" s="2902"/>
      <c r="D50" s="96"/>
      <c r="E50" s="21"/>
      <c r="F50" s="97"/>
      <c r="G50" s="2968"/>
      <c r="H50" s="2201"/>
      <c r="I50" s="2266"/>
      <c r="J50" s="2974" t="s">
        <v>1845</v>
      </c>
      <c r="K50" s="2974"/>
      <c r="L50" s="2974"/>
      <c r="M50" s="2974"/>
      <c r="N50" s="2974"/>
      <c r="O50" s="2974"/>
      <c r="P50" s="1851"/>
    </row>
    <row r="51" spans="1:16" ht="12" hidden="1" customHeight="1">
      <c r="A51" s="98"/>
      <c r="B51" s="2902" t="s">
        <v>1846</v>
      </c>
      <c r="C51" s="2902"/>
      <c r="D51" s="99"/>
      <c r="E51" s="20"/>
      <c r="F51" s="97"/>
      <c r="G51" s="2969"/>
      <c r="H51" s="2201"/>
      <c r="I51" s="2266"/>
      <c r="J51" s="2267" t="s">
        <v>1847</v>
      </c>
      <c r="K51" s="2974" t="s">
        <v>1848</v>
      </c>
      <c r="L51" s="2974"/>
      <c r="M51" s="2267" t="s">
        <v>1849</v>
      </c>
      <c r="N51" s="2267" t="s">
        <v>1850</v>
      </c>
      <c r="O51" s="2267" t="s">
        <v>1851</v>
      </c>
      <c r="P51" s="1851"/>
    </row>
    <row r="52" spans="1:16" ht="24" hidden="1" customHeight="1">
      <c r="A52" s="100" t="s">
        <v>1852</v>
      </c>
      <c r="B52" s="2902" t="s">
        <v>1853</v>
      </c>
      <c r="C52" s="2902"/>
      <c r="D52" s="99">
        <f ca="1">ROUND(D45*'数据-取费表'!E29/(1+'数据-取费表'!F30),0)</f>
        <v>135651</v>
      </c>
      <c r="E52" s="10" t="s">
        <v>1854</v>
      </c>
      <c r="F52" s="101">
        <f>'数据-取费表'!E29</f>
        <v>5.6000000000000001E-2</v>
      </c>
      <c r="G52" s="2268"/>
      <c r="H52" s="2201"/>
      <c r="I52" s="2266"/>
      <c r="J52" s="1889">
        <v>1</v>
      </c>
      <c r="K52" s="2934" t="s">
        <v>1855</v>
      </c>
      <c r="L52" s="2934"/>
      <c r="M52" s="779">
        <f ca="1">D48</f>
        <v>135651</v>
      </c>
      <c r="N52" s="1889" t="str">
        <f>E48</f>
        <v>销售额×税（费）率</v>
      </c>
      <c r="O52" s="780">
        <f>F48</f>
        <v>5.6000000000000001E-2</v>
      </c>
      <c r="P52" s="1851"/>
    </row>
    <row r="53" spans="1:16" ht="12" hidden="1" customHeight="1">
      <c r="A53" s="100" t="s">
        <v>1856</v>
      </c>
      <c r="B53" s="2903" t="s">
        <v>1857</v>
      </c>
      <c r="C53" s="2831"/>
      <c r="D53" s="99">
        <f ca="1">ROUND(D45*'数据-取费表'!E29/(1+'数据-取费表'!F30),0)</f>
        <v>135651</v>
      </c>
      <c r="E53" s="10" t="s">
        <v>1854</v>
      </c>
      <c r="F53" s="101">
        <f>'数据-取费表'!E29</f>
        <v>5.6000000000000001E-2</v>
      </c>
      <c r="G53" s="2268"/>
      <c r="H53" s="2201"/>
      <c r="I53" s="2266"/>
      <c r="J53" s="1889">
        <v>2</v>
      </c>
      <c r="K53" s="2934" t="s">
        <v>1858</v>
      </c>
      <c r="L53" s="2934"/>
      <c r="M53" s="779">
        <f t="shared" ref="M53:O54" ca="1" si="1">D55</f>
        <v>1272</v>
      </c>
      <c r="N53" s="1889" t="str">
        <f t="shared" si="1"/>
        <v>销售额×税（费）率</v>
      </c>
      <c r="O53" s="780">
        <f t="shared" si="1"/>
        <v>5.0000000000000001E-4</v>
      </c>
      <c r="P53" s="1851"/>
    </row>
    <row r="54" spans="1:16" ht="12" hidden="1" customHeight="1">
      <c r="A54" s="100" t="s">
        <v>1859</v>
      </c>
      <c r="B54" s="2903" t="s">
        <v>1860</v>
      </c>
      <c r="C54" s="2831"/>
      <c r="D54" s="99">
        <f ca="1">C68</f>
        <v>135651</v>
      </c>
      <c r="E54" s="20" t="s">
        <v>1861</v>
      </c>
      <c r="F54" s="101">
        <f>'数据-取费表'!E29</f>
        <v>5.6000000000000001E-2</v>
      </c>
      <c r="G54" s="2268"/>
      <c r="H54" s="2269"/>
      <c r="I54" s="2266"/>
      <c r="J54" s="1889">
        <v>3</v>
      </c>
      <c r="K54" s="2934" t="s">
        <v>1862</v>
      </c>
      <c r="L54" s="2934"/>
      <c r="M54" s="779">
        <f t="shared" ca="1" si="1"/>
        <v>1439596</v>
      </c>
      <c r="N54" s="1889" t="str">
        <f t="shared" si="1"/>
        <v>增值额×税（费）率</v>
      </c>
      <c r="O54" s="781" t="str">
        <f t="shared" si="1"/>
        <v>——</v>
      </c>
      <c r="P54" s="1851"/>
    </row>
    <row r="55" spans="1:16" ht="24" hidden="1" customHeight="1">
      <c r="A55" s="2823" t="s">
        <v>1863</v>
      </c>
      <c r="B55" s="2910"/>
      <c r="C55" s="2910"/>
      <c r="D55" s="102">
        <f ca="1">IF(H55="个人住宅",0,ROUND(D45*I55,0))</f>
        <v>1272</v>
      </c>
      <c r="E55" s="10" t="s">
        <v>1864</v>
      </c>
      <c r="F55" s="101">
        <f>IF(H55="正常",I55,"免征")</f>
        <v>5.0000000000000001E-4</v>
      </c>
      <c r="G55" s="2268"/>
      <c r="H55" s="2265" t="s">
        <v>1865</v>
      </c>
      <c r="I55" s="103">
        <f>'数据-取费表'!E37</f>
        <v>5.0000000000000001E-4</v>
      </c>
      <c r="J55" s="1889">
        <f>IF(H59="非个人房产","",4)</f>
        <v>4</v>
      </c>
      <c r="K55" s="2934" t="str">
        <f>IF(H59="非个人房产","——","个人所得税")</f>
        <v>个人所得税</v>
      </c>
      <c r="L55" s="2934"/>
      <c r="M55" s="782">
        <f ca="1">D59</f>
        <v>25435</v>
      </c>
      <c r="N55" s="1892" t="str">
        <f>E59</f>
        <v>销售额×税（费）率</v>
      </c>
      <c r="O55" s="783">
        <f>F59</f>
        <v>0.01</v>
      </c>
      <c r="P55" s="1851"/>
    </row>
    <row r="56" spans="1:16" ht="24.75" hidden="1">
      <c r="A56" s="2823" t="s">
        <v>1866</v>
      </c>
      <c r="B56" s="2910"/>
      <c r="C56" s="2910"/>
      <c r="D56" s="102">
        <f ca="1">IF(H56="个人住宅",D57,D58)</f>
        <v>1439596</v>
      </c>
      <c r="E56" s="10" t="s">
        <v>1867</v>
      </c>
      <c r="F56" s="101" t="str">
        <f>IF(H56="正常",F58,"免征")</f>
        <v>——</v>
      </c>
      <c r="G56" s="2270" t="s">
        <v>1868</v>
      </c>
      <c r="H56" s="2271" t="s">
        <v>1865</v>
      </c>
      <c r="I56" s="1023"/>
      <c r="J56" s="1889" t="str">
        <f>IF(项目基本情况!I6="上海银行",IF(J55="",4,J55+1),"")</f>
        <v/>
      </c>
      <c r="K56" s="2952" t="str">
        <f>IF(项目基本情况!I6="上海银行","其他处置费用","")</f>
        <v/>
      </c>
      <c r="L56" s="2953"/>
      <c r="M56" s="779" t="str">
        <f>IF(项目基本情况!I6="上海银行",M69,"")</f>
        <v/>
      </c>
      <c r="N56" s="2965" t="str">
        <f>IF(项目基本情况!I6="上海银行","包含处置中涉及的律师、诉讼、拍卖、评估等费用","")</f>
        <v/>
      </c>
      <c r="O56" s="2966"/>
      <c r="P56" s="1851"/>
    </row>
    <row r="57" spans="1:16" ht="12.75" hidden="1">
      <c r="A57" s="100" t="s">
        <v>1841</v>
      </c>
      <c r="B57" s="2900" t="s">
        <v>1869</v>
      </c>
      <c r="C57" s="2911"/>
      <c r="D57" s="104">
        <v>0</v>
      </c>
      <c r="E57" s="13" t="s">
        <v>1843</v>
      </c>
      <c r="F57" s="71"/>
      <c r="G57" s="2268"/>
      <c r="H57" s="1023"/>
      <c r="I57" s="1023"/>
      <c r="J57" s="2934">
        <f>IF(AND(J55="",J56=""),4,IF(项目基本情况!I6="上海银行",J56+1,J55+1))</f>
        <v>5</v>
      </c>
      <c r="K57" s="2934" t="s">
        <v>1870</v>
      </c>
      <c r="L57" s="2272" t="s">
        <v>1871</v>
      </c>
      <c r="M57" s="784"/>
      <c r="N57" s="785">
        <f ca="1">SUMIF(M52:M56,"&lt;9e307")</f>
        <v>1601954</v>
      </c>
      <c r="O57" s="2273"/>
      <c r="P57" s="1847" t="e">
        <f ca="1">N57/M49</f>
        <v>#VALUE!</v>
      </c>
    </row>
    <row r="58" spans="1:16" ht="24.75" hidden="1">
      <c r="A58" s="100" t="s">
        <v>1852</v>
      </c>
      <c r="B58" s="2900" t="s">
        <v>1872</v>
      </c>
      <c r="C58" s="2901"/>
      <c r="D58" s="102">
        <f ca="1">IF(H58="转让取得",C81,C97)</f>
        <v>1439596</v>
      </c>
      <c r="E58" s="10" t="s">
        <v>1867</v>
      </c>
      <c r="F58" s="14" t="s">
        <v>48</v>
      </c>
      <c r="G58" s="2268"/>
      <c r="H58" s="2271" t="s">
        <v>1873</v>
      </c>
      <c r="I58" s="1023"/>
      <c r="J58" s="2934"/>
      <c r="K58" s="2934"/>
      <c r="L58" s="2272" t="s">
        <v>1874</v>
      </c>
      <c r="M58" s="786"/>
      <c r="N58" s="2274" t="str">
        <f ca="1">IF(H19="元",NUMBERSTRING(INT(N57),2)&amp;"元整",NUMBERSTRING(INT(N57*10000),2)&amp;"元整")</f>
        <v>壹佰陆拾万壹仟玖佰伍拾肆元整</v>
      </c>
      <c r="O58" s="2275"/>
      <c r="P58" s="1851"/>
    </row>
    <row r="59" spans="1:16" ht="26.25" hidden="1" thickBot="1">
      <c r="A59" s="2824" t="s">
        <v>1875</v>
      </c>
      <c r="B59" s="2827"/>
      <c r="C59" s="2827"/>
      <c r="D59" s="105">
        <f ca="1">IF(H59="非个人房产","——",IF(H59="个人住宅",0,ROUND(D45*I59,0)))</f>
        <v>25435</v>
      </c>
      <c r="E59" s="106" t="str">
        <f>IF(H59="非个人房产","——","销售额×税（费）率")</f>
        <v>销售额×税（费）率</v>
      </c>
      <c r="F59" s="107">
        <f>IF(H59="非个人房产","——",IF(H59="个人住宅","免征",I59))</f>
        <v>0.01</v>
      </c>
      <c r="G59" s="2276" t="s">
        <v>1868</v>
      </c>
      <c r="H59" s="2271" t="s">
        <v>1876</v>
      </c>
      <c r="I59" s="108">
        <v>0.01</v>
      </c>
      <c r="J59" s="2932">
        <f>J57+1</f>
        <v>6</v>
      </c>
      <c r="K59" s="293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3"/>
      <c r="K60" s="2934"/>
      <c r="L60" s="2272" t="s">
        <v>1874</v>
      </c>
      <c r="M60" s="786"/>
      <c r="N60" s="2274" t="e">
        <f ca="1">IF(H19="元",NUMBERSTRING(INT(N59),2)&amp;"元整",NUMBERSTRING(INT(N59*10000),2)&amp;"元整")</f>
        <v>#VALUE!</v>
      </c>
      <c r="O60" s="2275"/>
      <c r="P60" s="1851"/>
    </row>
    <row r="61" spans="1:16" ht="13.5" hidden="1" thickBot="1">
      <c r="A61" s="2915" t="s">
        <v>1878</v>
      </c>
      <c r="B61" s="2915"/>
      <c r="C61" s="2915"/>
      <c r="D61" s="2915"/>
      <c r="E61" s="2915"/>
      <c r="F61" s="1023"/>
      <c r="G61" s="1023"/>
      <c r="H61" s="2254"/>
      <c r="I61" s="2201"/>
      <c r="J61" s="1889">
        <f>J59+1</f>
        <v>7</v>
      </c>
      <c r="K61" s="2934" t="s">
        <v>1879</v>
      </c>
      <c r="L61" s="2934"/>
      <c r="M61" s="789"/>
      <c r="N61" s="790" t="e">
        <f ca="1">IF(H19="元",ROUND(N59/项目基本情况!C12,0),ROUND(N59*10000/项目基本情况!C12,0))</f>
        <v>#VALUE!</v>
      </c>
      <c r="O61" s="2278"/>
      <c r="P61" s="1851"/>
    </row>
    <row r="62" spans="1:16" ht="12.75" hidden="1">
      <c r="A62" s="2922" t="s">
        <v>1880</v>
      </c>
      <c r="B62" s="292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2422338</v>
      </c>
      <c r="D63" s="113"/>
      <c r="E63" s="114"/>
      <c r="F63" s="1023"/>
      <c r="G63" s="1023"/>
      <c r="H63" s="2254"/>
      <c r="I63" s="2201"/>
      <c r="J63" s="295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2543455</v>
      </c>
      <c r="D64" s="118" t="s">
        <v>41</v>
      </c>
      <c r="E64" s="119"/>
      <c r="F64" s="1023"/>
      <c r="G64" s="1023"/>
      <c r="H64" s="2254"/>
      <c r="I64" s="2201"/>
      <c r="J64" s="295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4"/>
      <c r="K66" s="2279" t="s">
        <v>1893</v>
      </c>
      <c r="L66" s="1850" t="e">
        <f>M49*0.5%</f>
        <v>#VALUE!</v>
      </c>
      <c r="M66" s="14" t="e">
        <f>IF(L66&gt;0.5,0.5,ROUND(L66,0))</f>
        <v>#VALUE!</v>
      </c>
      <c r="N66" s="1851" t="s">
        <v>1894</v>
      </c>
      <c r="O66" s="1851"/>
      <c r="P66" s="1851"/>
    </row>
    <row r="67" spans="1:35" ht="12.75" hidden="1">
      <c r="A67" s="121" t="s">
        <v>42</v>
      </c>
      <c r="B67" s="122" t="s">
        <v>1895</v>
      </c>
      <c r="C67" s="125">
        <f ca="1">C63-C66</f>
        <v>2422338</v>
      </c>
      <c r="D67" s="118" t="s">
        <v>41</v>
      </c>
      <c r="E67" s="119"/>
      <c r="F67" s="1023"/>
      <c r="G67" s="1023"/>
      <c r="H67" s="2254"/>
      <c r="I67" s="2201"/>
      <c r="J67" s="295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135651</v>
      </c>
      <c r="D68" s="129">
        <f>'数据-取费表'!E29</f>
        <v>5.6000000000000001E-2</v>
      </c>
      <c r="E68" s="130"/>
      <c r="F68" s="1023"/>
      <c r="G68" s="1023"/>
      <c r="H68" s="2254"/>
      <c r="I68" s="2201"/>
      <c r="J68" s="295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6" t="s">
        <v>1900</v>
      </c>
      <c r="B70" s="2927"/>
      <c r="C70" s="2927"/>
      <c r="D70" s="2927"/>
      <c r="E70" s="2927"/>
      <c r="F70" s="2927"/>
      <c r="G70" s="2927"/>
      <c r="H70" s="2927"/>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2" t="s">
        <v>1880</v>
      </c>
      <c r="B71" s="292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2422338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14534</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3" t="s">
        <v>1910</v>
      </c>
      <c r="F76" s="2902"/>
      <c r="G76" s="2902"/>
      <c r="H76" s="2917"/>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14534</v>
      </c>
      <c r="D78" s="146">
        <f>'数据-取费表'!E31</f>
        <v>6.000000000000001E-3</v>
      </c>
      <c r="E78" s="2894" t="s">
        <v>1915</v>
      </c>
      <c r="F78" s="2895"/>
      <c r="G78" s="2895"/>
      <c r="H78" s="289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2407804</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165.66698775285536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1439596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6" t="s">
        <v>1919</v>
      </c>
      <c r="B83" s="2927"/>
      <c r="C83" s="2927"/>
      <c r="D83" s="2927"/>
      <c r="E83" s="2927"/>
      <c r="F83" s="2927"/>
      <c r="G83" s="2927"/>
      <c r="H83" s="2927"/>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2" t="s">
        <v>1880</v>
      </c>
      <c r="B84" s="292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2422338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14534</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4" t="s">
        <v>1927</v>
      </c>
      <c r="F91" s="2895"/>
      <c r="G91" s="2895"/>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4" t="s">
        <v>1930</v>
      </c>
      <c r="F92" s="2895"/>
      <c r="G92" s="2895"/>
      <c r="H92" s="289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14534</v>
      </c>
      <c r="D93" s="146">
        <f>'数据-取费表'!E31</f>
        <v>6.000000000000001E-3</v>
      </c>
      <c r="E93" s="2894" t="s">
        <v>1915</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4" t="s">
        <v>1932</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2407804</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165.66698775285536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1439596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9" t="s">
        <v>1934</v>
      </c>
      <c r="B99" s="2950"/>
      <c r="C99" s="2950"/>
      <c r="D99" s="2951"/>
      <c r="E99" s="2201"/>
      <c r="F99" s="2960" t="s">
        <v>1935</v>
      </c>
      <c r="G99" s="2961"/>
      <c r="H99" s="2961"/>
      <c r="I99" s="2962"/>
    </row>
    <row r="100" spans="1:35" ht="15.75" hidden="1">
      <c r="A100" s="2963" t="s">
        <v>1936</v>
      </c>
      <c r="B100" s="2964"/>
      <c r="C100" s="721" t="str">
        <f>C4</f>
        <v>比较法-住宅</v>
      </c>
      <c r="D100" s="722" t="str">
        <f>D4</f>
        <v>收益法</v>
      </c>
      <c r="E100" s="2201"/>
      <c r="F100" s="2859" t="s">
        <v>1937</v>
      </c>
      <c r="G100" s="2860"/>
      <c r="H100" s="2859" t="s">
        <v>1938</v>
      </c>
      <c r="I100" s="2858"/>
    </row>
    <row r="101" spans="1:35" ht="15.75" hidden="1">
      <c r="A101" s="2941" t="s">
        <v>1939</v>
      </c>
      <c r="B101" s="2296" t="str">
        <f>IF(H19="元","总价（元）","总价（万元）")</f>
        <v>总价（元）</v>
      </c>
      <c r="C101" s="721">
        <f ca="1">C19</f>
        <v>2741485</v>
      </c>
      <c r="D101" s="722">
        <f ca="1">D19</f>
        <v>1755472</v>
      </c>
      <c r="E101" s="2201"/>
      <c r="F101" s="2859" t="str">
        <f>项目基本情况!I1</f>
        <v>房地产</v>
      </c>
      <c r="G101" s="2860"/>
      <c r="H101" s="2857">
        <f>项目基本情况!C12</f>
        <v>51.99</v>
      </c>
      <c r="I101" s="2858"/>
    </row>
    <row r="102" spans="1:35" ht="15.75" hidden="1">
      <c r="A102" s="2941"/>
      <c r="B102" s="2296" t="s">
        <v>1940</v>
      </c>
      <c r="C102" s="723">
        <f ca="1">C20</f>
        <v>52731</v>
      </c>
      <c r="D102" s="724">
        <f ca="1">D20</f>
        <v>33766</v>
      </c>
      <c r="E102" s="2201"/>
      <c r="F102" s="2886" t="s">
        <v>1941</v>
      </c>
      <c r="G102" s="2887"/>
      <c r="H102" s="2297" t="str">
        <f>C106</f>
        <v>总价（元）</v>
      </c>
      <c r="I102" s="1868">
        <f ca="1">H121</f>
        <v>2543455</v>
      </c>
    </row>
    <row r="103" spans="1:35" ht="15" hidden="1">
      <c r="A103" s="2941" t="s">
        <v>1942</v>
      </c>
      <c r="B103" s="2298" t="str">
        <f>B101</f>
        <v>总价（元）</v>
      </c>
      <c r="C103" s="725">
        <f ca="1">H121</f>
        <v>2543455</v>
      </c>
      <c r="D103" s="726"/>
      <c r="E103" s="2201"/>
      <c r="F103" s="2886"/>
      <c r="G103" s="2887"/>
      <c r="H103" s="2297" t="s">
        <v>1940</v>
      </c>
      <c r="I103" s="1051">
        <f ca="1">I121</f>
        <v>48922</v>
      </c>
    </row>
    <row r="104" spans="1:35" ht="16.5" hidden="1" thickBot="1">
      <c r="A104" s="2942"/>
      <c r="B104" s="2299" t="s">
        <v>1940</v>
      </c>
      <c r="C104" s="727">
        <f ca="1">I121</f>
        <v>48922</v>
      </c>
      <c r="D104" s="728"/>
      <c r="E104" s="2201"/>
      <c r="F104" s="2958"/>
      <c r="G104" s="2959"/>
      <c r="H104" s="2943"/>
      <c r="I104" s="2944"/>
    </row>
    <row r="105" spans="1:35" ht="15.75" hidden="1">
      <c r="A105" s="2949" t="s">
        <v>1943</v>
      </c>
      <c r="B105" s="2950"/>
      <c r="C105" s="2950"/>
      <c r="D105" s="2951"/>
      <c r="E105" s="2201"/>
      <c r="F105" s="2947" t="s">
        <v>1944</v>
      </c>
      <c r="G105" s="2948"/>
      <c r="H105" s="2300" t="str">
        <f>C108</f>
        <v>总额（元）</v>
      </c>
      <c r="I105" s="1868">
        <f>SUMIF(I106:I108,"&lt;9E307")</f>
        <v>0</v>
      </c>
    </row>
    <row r="106" spans="1:35" ht="15" hidden="1">
      <c r="A106" s="2873" t="s">
        <v>1945</v>
      </c>
      <c r="B106" s="2874"/>
      <c r="C106" s="2297" t="str">
        <f>B101</f>
        <v>总价（元）</v>
      </c>
      <c r="D106" s="1052">
        <f ca="1">H121</f>
        <v>2543455</v>
      </c>
      <c r="E106" s="2201"/>
      <c r="F106" s="2875" t="s">
        <v>1946</v>
      </c>
      <c r="G106" s="2876"/>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3"/>
      <c r="B107" s="2874"/>
      <c r="C107" s="2297" t="s">
        <v>1940</v>
      </c>
      <c r="D107" s="1053">
        <f ca="1">I121</f>
        <v>48922</v>
      </c>
      <c r="E107" s="2201"/>
      <c r="F107" s="2875" t="s">
        <v>1947</v>
      </c>
      <c r="G107" s="2876"/>
      <c r="H107" s="2300" t="str">
        <f>C110</f>
        <v>总额（元）</v>
      </c>
      <c r="I107" s="1051">
        <f>C37</f>
        <v>0</v>
      </c>
      <c r="K107" s="2301"/>
    </row>
    <row r="108" spans="1:35" ht="15" hidden="1">
      <c r="A108" s="2880" t="s">
        <v>1948</v>
      </c>
      <c r="B108" s="2881"/>
      <c r="C108" s="2300" t="str">
        <f>IF(H19="元","总额（元）","总额（万元）")</f>
        <v>总额（元）</v>
      </c>
      <c r="D108" s="1052">
        <f>IF(D36="正常操作",I106+I107+I108,I107+I108)</f>
        <v>0</v>
      </c>
      <c r="E108" s="2201"/>
      <c r="F108" s="2875" t="s">
        <v>1949</v>
      </c>
      <c r="G108" s="2876"/>
      <c r="H108" s="2300" t="str">
        <f>C111</f>
        <v>总额（元）</v>
      </c>
      <c r="I108" s="1051">
        <f>C38</f>
        <v>0</v>
      </c>
    </row>
    <row r="109" spans="1:35" ht="15.75" hidden="1">
      <c r="A109" s="2875" t="s">
        <v>1946</v>
      </c>
      <c r="B109" s="2876"/>
      <c r="C109" s="2300" t="str">
        <f>C108</f>
        <v>总额（元）</v>
      </c>
      <c r="D109" s="638">
        <f>IF(D36="同一抵押权人同一抵押物续贷",C36&amp;"（未扣减，详见特别提示）",C36)</f>
        <v>0</v>
      </c>
      <c r="E109" s="2201"/>
      <c r="F109" s="2958"/>
      <c r="G109" s="2959"/>
      <c r="H109" s="2945"/>
      <c r="I109" s="2946"/>
    </row>
    <row r="110" spans="1:35" ht="28.5" hidden="1" customHeight="1">
      <c r="A110" s="2875" t="s">
        <v>1947</v>
      </c>
      <c r="B110" s="2876"/>
      <c r="C110" s="2300" t="str">
        <f>C108</f>
        <v>总额（元）</v>
      </c>
      <c r="D110" s="638">
        <f>C37</f>
        <v>0</v>
      </c>
      <c r="E110" s="2201"/>
      <c r="F110" s="2861" t="str">
        <f>IF(项目基本情况!F5="已注销","——","3.房地产抵押价值")</f>
        <v>3.房地产抵押价值</v>
      </c>
      <c r="G110" s="2862"/>
      <c r="H110" s="2302" t="str">
        <f>C112</f>
        <v>总价（元）</v>
      </c>
      <c r="I110" s="1869">
        <f ca="1">IF(F110="——","——",I102-I105)</f>
        <v>2543455</v>
      </c>
    </row>
    <row r="111" spans="1:35" ht="15" hidden="1">
      <c r="A111" s="2875" t="s">
        <v>1949</v>
      </c>
      <c r="B111" s="2876"/>
      <c r="C111" s="2300" t="str">
        <f>C108</f>
        <v>总额（元）</v>
      </c>
      <c r="D111" s="638">
        <f>C38</f>
        <v>0</v>
      </c>
      <c r="E111" s="2201"/>
      <c r="F111" s="2977"/>
      <c r="G111" s="2978"/>
      <c r="H111" s="2297" t="s">
        <v>1940</v>
      </c>
      <c r="I111" s="2303">
        <f ca="1">D113</f>
        <v>48922</v>
      </c>
    </row>
    <row r="112" spans="1:35" ht="26.25" hidden="1" customHeight="1">
      <c r="A112" s="2873" t="str">
        <f>IF(项目基本情况!F5="已注销","——","3.房地产抵押价值")</f>
        <v>3.房地产抵押价值</v>
      </c>
      <c r="B112" s="2874"/>
      <c r="C112" s="2297" t="str">
        <f>B101</f>
        <v>总价（元）</v>
      </c>
      <c r="D112" s="1052">
        <f ca="1">IF(A112="——","——",D106-D108)</f>
        <v>2543455</v>
      </c>
      <c r="E112" s="2201"/>
      <c r="F112" s="2861" t="str">
        <f>IF(项目基本情况!F5="已注销及未注销","4.抵押担保权已注销时的房地产抵押价值",IF(项目基本情况!F5="已注销","3.抵押担保权已注销时的房地产抵押价值","——"))</f>
        <v>——</v>
      </c>
      <c r="G112" s="2862"/>
      <c r="H112" s="2302" t="str">
        <f>C114</f>
        <v>总价（元）</v>
      </c>
      <c r="I112" s="1869" t="str">
        <f>IF(F112="——","——",I102-I107-I108)</f>
        <v>——</v>
      </c>
    </row>
    <row r="113" spans="1:15" ht="15" hidden="1">
      <c r="A113" s="2873"/>
      <c r="B113" s="2874"/>
      <c r="C113" s="2297" t="s">
        <v>1940</v>
      </c>
      <c r="D113" s="1053">
        <f ca="1">ROUND(IF(D112=D106,D107,IF(H19="元",D112/项目基本情况!C12,D112*10000/项目基本情况!C12)),0)</f>
        <v>48922</v>
      </c>
      <c r="E113" s="2201"/>
      <c r="F113" s="2977"/>
      <c r="G113" s="2978"/>
      <c r="H113" s="2297" t="s">
        <v>1940</v>
      </c>
      <c r="I113" s="2304" t="str">
        <f>D115</f>
        <v>——</v>
      </c>
    </row>
    <row r="114" spans="1:15" ht="15.75" hidden="1">
      <c r="A114" s="2873" t="str">
        <f>IF(项目基本情况!F5="已注销及未注销","4.抵押担保权已注销时的房地产抵押价值",IF(项目基本情况!F5="已注销","3.抵押担保权已注销时的房地产抵押价值","——"))</f>
        <v>——</v>
      </c>
      <c r="B114" s="2874"/>
      <c r="C114" s="2297" t="str">
        <f>B101</f>
        <v>总价（元）</v>
      </c>
      <c r="D114" s="1052" t="str">
        <f>IF(A114="——","——",D106-D110-D111)</f>
        <v>——</v>
      </c>
      <c r="E114" s="2201"/>
      <c r="F114" s="2861" t="str">
        <f>IF(项目基本情况!G5="抵押净值",IF(OR(项目基本情况!F5="已注销",项目基本情况!F5="房地产抵押价值"),"4.抵押净值","5.抵押净值"),"——")</f>
        <v>——</v>
      </c>
      <c r="G114" s="2862"/>
      <c r="H114" s="2297" t="str">
        <f>C116</f>
        <v>总价（元）</v>
      </c>
      <c r="I114" s="1868" t="str">
        <f>IF(F114="——","——",N59)</f>
        <v>——</v>
      </c>
    </row>
    <row r="115" spans="1:15" ht="15.75" hidden="1" thickBot="1">
      <c r="A115" s="2873"/>
      <c r="B115" s="2874"/>
      <c r="C115" s="2297" t="s">
        <v>1940</v>
      </c>
      <c r="D115" s="1053" t="str">
        <f>IF(A114="——","——",ROUND(IF(D114=D106,D107,IF(H19="元",D114/项目基本情况!C12,D114*10000/项目基本情况!C12)),0))</f>
        <v>——</v>
      </c>
      <c r="E115" s="2201"/>
      <c r="F115" s="2863"/>
      <c r="G115" s="2864"/>
      <c r="H115" s="2305" t="s">
        <v>1940</v>
      </c>
      <c r="I115" s="1870" t="str">
        <f ca="1">D117</f>
        <v>——</v>
      </c>
    </row>
    <row r="116" spans="1:15" ht="15.75" hidden="1">
      <c r="A116" s="2873" t="str">
        <f>IF(项目基本情况!G5="抵押净值",IF(OR(项目基本情况!F5="已注销",项目基本情况!F5="房地产抵押价值"),"4.抵押净值","5.抵押净值"),"——")</f>
        <v>——</v>
      </c>
      <c r="B116" s="2874"/>
      <c r="C116" s="2297" t="str">
        <f>B101</f>
        <v>总价（元）</v>
      </c>
      <c r="D116" s="1052" t="str">
        <f>IF(A116="——","——",N59)</f>
        <v>——</v>
      </c>
      <c r="E116" s="2201"/>
      <c r="F116" s="2973"/>
      <c r="G116" s="2973"/>
      <c r="H116" s="2929"/>
      <c r="I116" s="2929"/>
      <c r="N116" s="55"/>
      <c r="O116" s="55"/>
    </row>
    <row r="117" spans="1:15" ht="15.75" hidden="1" thickBot="1">
      <c r="A117" s="2878"/>
      <c r="B117" s="2879"/>
      <c r="C117" s="2305" t="s">
        <v>1940</v>
      </c>
      <c r="D117" s="1054" t="str">
        <f ca="1">IF(D116=D112,D113,IF(A116="——","——",N61))</f>
        <v>——</v>
      </c>
      <c r="E117" s="2201"/>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hidden="1">
      <c r="A118" s="2930" t="s">
        <v>1950</v>
      </c>
      <c r="B118" s="2931"/>
      <c r="C118" s="2931"/>
      <c r="D118" s="2931"/>
      <c r="E118" s="2931"/>
      <c r="F118" s="2931"/>
      <c r="G118" s="2931"/>
      <c r="H118" s="2931"/>
      <c r="I118" s="2931"/>
    </row>
    <row r="119" spans="1:15" ht="14.25" hidden="1">
      <c r="A119" s="2854" t="s">
        <v>1951</v>
      </c>
      <c r="B119" s="2884" t="s">
        <v>1952</v>
      </c>
      <c r="C119" s="2884" t="s">
        <v>1953</v>
      </c>
      <c r="D119" s="2956" t="s">
        <v>1954</v>
      </c>
      <c r="E119" s="2957"/>
      <c r="F119" s="2855" t="s">
        <v>1812</v>
      </c>
      <c r="G119" s="2855"/>
      <c r="H119" s="2855" t="s">
        <v>1955</v>
      </c>
      <c r="I119" s="2955"/>
    </row>
    <row r="120" spans="1:15" ht="14.25" hidden="1">
      <c r="A120" s="2854"/>
      <c r="B120" s="2885"/>
      <c r="C120" s="2885"/>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51.99</v>
      </c>
      <c r="C121" s="1893">
        <f>项目基本情况!C13</f>
        <v>0</v>
      </c>
      <c r="D121" s="1893">
        <f ca="1">ROUND(IF(B32="总价",C34,IF('数据-取费表'!B3="万元",E121*B121/10000,E121*B121)),0)</f>
        <v>2393412</v>
      </c>
      <c r="E121" s="1893">
        <f ca="1">ROUND(IF(B32="楼面单价",C34,IF(H19="元",D121/B121,D121*10000/B121)),0)</f>
        <v>46036</v>
      </c>
      <c r="F121" s="1893">
        <f ca="1">ROUND(IF(B32="总价",C35,IF('数据-取费表'!B3="万元",G121*B121/10000,G121*B121)),0)</f>
        <v>150043</v>
      </c>
      <c r="G121" s="1893">
        <f ca="1">ROUND(IF(B32="楼面单价",C35,IF(H19="元",F121/B121,F121*10000/B121)),0)</f>
        <v>2886</v>
      </c>
      <c r="H121" s="1893">
        <f ca="1">ROUND(IF(B32="总价",C32,IF('数据-取费表'!B3="万元",I121*B121/10000,I121*B121)),0)</f>
        <v>2543455</v>
      </c>
      <c r="I121" s="638">
        <f ca="1">ROUND(IF(B32="楼面单价",C32,IF(H19="元",H121/B121,H121*10000/B121)),0)</f>
        <v>48922</v>
      </c>
    </row>
    <row r="122" spans="1:15" ht="14.25" hidden="1">
      <c r="A122" s="2854" t="s">
        <v>1959</v>
      </c>
      <c r="B122" s="2855"/>
      <c r="C122" s="2855"/>
      <c r="D122" s="2888" t="str">
        <f ca="1">IF(H19="元",NUMBERSTRING(INT(D121),2)&amp;"元整",NUMBERSTRING(INT(D121*10000),2)&amp;"元整")</f>
        <v>贰佰叁拾玖万叁仟肆佰壹拾贰元整</v>
      </c>
      <c r="E122" s="2935"/>
      <c r="F122" s="2888" t="str">
        <f ca="1">IF(H19="元",NUMBERSTRING(INT(F121),2)&amp;"元整",NUMBERSTRING(INT(F121*10000),2)&amp;"元整")</f>
        <v>壹拾伍万零肆拾叁元整</v>
      </c>
      <c r="G122" s="2935"/>
      <c r="H122" s="2888" t="str">
        <f ca="1">IF(H19="元",NUMBERSTRING(INT(H121),2)&amp;"元整",NUMBERSTRING(INT(H121*10000),2)&amp;"元整")</f>
        <v>贰佰伍拾肆万叁仟肆佰伍拾伍元整</v>
      </c>
      <c r="I122" s="2889"/>
    </row>
    <row r="123" spans="1:15" ht="15" hidden="1">
      <c r="A123" s="2936" t="str">
        <f>IF(项目基本情况!D5="房地产市场价值","——",MID(A108,3,LEN(A108)-2))</f>
        <v>——</v>
      </c>
      <c r="B123" s="2866"/>
      <c r="C123" s="2937"/>
      <c r="D123" s="2865">
        <f>I105</f>
        <v>0</v>
      </c>
      <c r="E123" s="2866"/>
      <c r="F123" s="2866"/>
      <c r="G123" s="2866"/>
      <c r="H123" s="2866"/>
      <c r="I123" s="2867"/>
    </row>
    <row r="124" spans="1:15" ht="14.25" hidden="1">
      <c r="A124" s="2938" t="s">
        <v>1959</v>
      </c>
      <c r="B124" s="2939"/>
      <c r="C124" s="2940"/>
      <c r="D124" s="2868">
        <f>H109</f>
        <v>0</v>
      </c>
      <c r="E124" s="2869"/>
      <c r="F124" s="2869"/>
      <c r="G124" s="2869"/>
      <c r="H124" s="2869"/>
      <c r="I124" s="2870"/>
    </row>
    <row r="125" spans="1:15" ht="15" hidden="1">
      <c r="A125" s="2871" t="str">
        <f>IF(项目基本情况!D5="房地产市场价值","——",MID(A112,3,LEN(A112)-2))</f>
        <v>——</v>
      </c>
      <c r="B125" s="2872"/>
      <c r="C125" s="2872"/>
      <c r="D125" s="2865">
        <f ca="1">I110</f>
        <v>2543455</v>
      </c>
      <c r="E125" s="2866"/>
      <c r="F125" s="2866"/>
      <c r="G125" s="2866"/>
      <c r="H125" s="2866"/>
      <c r="I125" s="2867"/>
    </row>
    <row r="126" spans="1:15" ht="14.25" hidden="1">
      <c r="A126" s="2854" t="s">
        <v>1959</v>
      </c>
      <c r="B126" s="2855"/>
      <c r="C126" s="2855"/>
      <c r="D126" s="2868">
        <f ca="1">I111</f>
        <v>48922</v>
      </c>
      <c r="E126" s="2869"/>
      <c r="F126" s="2869"/>
      <c r="G126" s="2869"/>
      <c r="H126" s="2869"/>
      <c r="I126" s="2870"/>
    </row>
    <row r="127" spans="1:15" ht="15.75" hidden="1" thickBot="1">
      <c r="A127" s="2871" t="str">
        <f>IF(项目基本情况!D5="房地产市场价值","——",MID(A114,3,LEN(A114)-2))</f>
        <v>——</v>
      </c>
      <c r="B127" s="2872"/>
      <c r="C127" s="2872"/>
      <c r="D127" s="2970" t="str">
        <f>I112</f>
        <v>——</v>
      </c>
      <c r="E127" s="2971"/>
      <c r="F127" s="2971"/>
      <c r="G127" s="2971"/>
      <c r="H127" s="2971"/>
      <c r="I127" s="2972"/>
    </row>
    <row r="128" spans="1:15" ht="15.75" hidden="1" thickTop="1" thickBot="1">
      <c r="A128" s="2854" t="s">
        <v>1959</v>
      </c>
      <c r="B128" s="2855"/>
      <c r="C128" s="2856"/>
      <c r="D128" s="2928" t="str">
        <f>I113</f>
        <v>——</v>
      </c>
      <c r="E128" s="2928"/>
      <c r="F128" s="2928"/>
      <c r="G128" s="2928"/>
      <c r="H128" s="2928"/>
      <c r="I128" s="2928"/>
    </row>
    <row r="129" spans="1:9" ht="16.5" hidden="1" thickTop="1" thickBot="1">
      <c r="A129" s="2871" t="str">
        <f>IF(项目基本情况!D5="房地产市场价值","——",MID(F114,3,LEN(F114)-2))</f>
        <v>——</v>
      </c>
      <c r="B129" s="2872"/>
      <c r="C129" s="2865"/>
      <c r="D129" s="2877" t="str">
        <f>I114</f>
        <v>——</v>
      </c>
      <c r="E129" s="2877"/>
      <c r="F129" s="2877"/>
      <c r="G129" s="2877"/>
      <c r="H129" s="2877"/>
      <c r="I129" s="2877"/>
    </row>
    <row r="130" spans="1:9" ht="15.75" hidden="1" thickTop="1" thickBot="1">
      <c r="A130" s="2882" t="s">
        <v>1959</v>
      </c>
      <c r="B130" s="2883"/>
      <c r="C130" s="2883"/>
      <c r="D130" s="2890">
        <f>H116</f>
        <v>0</v>
      </c>
      <c r="E130" s="2891"/>
      <c r="F130" s="2891"/>
      <c r="G130" s="2891"/>
      <c r="H130" s="2891"/>
      <c r="I130" s="289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2884</v>
      </c>
      <c r="E134" s="2309">
        <f ca="1">G20-ROUND(F134*0.1,0)</f>
        <v>44044</v>
      </c>
      <c r="F134" s="2309">
        <f ca="1">G20</f>
        <v>48938</v>
      </c>
      <c r="G134" s="2309"/>
      <c r="H134" s="2310"/>
      <c r="I134" s="2311"/>
    </row>
    <row r="135" spans="1:9" ht="21.75" hidden="1" customHeight="1">
      <c r="A135" s="2312">
        <v>2</v>
      </c>
      <c r="B135" s="2313"/>
      <c r="C135" s="2313"/>
      <c r="D135" s="2309"/>
      <c r="E135" s="2309">
        <f>'数据-取费表'!B5-结果表!F135</f>
        <v>49.08</v>
      </c>
      <c r="F135" s="2309">
        <v>2.91</v>
      </c>
      <c r="G135" s="2739" t="s">
        <v>2885</v>
      </c>
      <c r="H135" s="2740" t="s">
        <v>2886</v>
      </c>
      <c r="I135" s="2311"/>
    </row>
    <row r="136" spans="1:9" ht="21.75" hidden="1" customHeight="1">
      <c r="A136" s="2312">
        <v>3</v>
      </c>
      <c r="B136" s="2313"/>
      <c r="C136" s="2313"/>
      <c r="D136" s="2309"/>
      <c r="E136" s="2309">
        <f ca="1">ROUND(E134*E135,0)</f>
        <v>2161680</v>
      </c>
      <c r="F136" s="2309">
        <f ca="1">ROUND(F134*F135,0)</f>
        <v>142410</v>
      </c>
      <c r="G136" s="2741">
        <f ca="1">E136+F136</f>
        <v>2304090</v>
      </c>
      <c r="H136" s="2741">
        <f ca="1">ROUND(G136/项目基本情况!C12,0)</f>
        <v>44318</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9" t="s">
        <v>1968</v>
      </c>
      <c r="B2" s="2989"/>
      <c r="C2" s="2989"/>
      <c r="D2" s="2989"/>
      <c r="E2" s="2989"/>
      <c r="F2" s="2989"/>
      <c r="G2" s="2989"/>
      <c r="H2" s="2989"/>
      <c r="I2" s="2989"/>
    </row>
    <row r="3" spans="1:12" ht="12.75">
      <c r="A3" s="2919" t="s">
        <v>1772</v>
      </c>
      <c r="B3" s="2920"/>
      <c r="C3" s="2920"/>
      <c r="D3" s="2920"/>
      <c r="E3" s="2920"/>
      <c r="F3" s="2920"/>
      <c r="G3" s="2920"/>
      <c r="H3" s="2920"/>
      <c r="I3" s="2920"/>
    </row>
    <row r="4" spans="1:12" ht="14.25">
      <c r="A4" s="2203" t="s">
        <v>1773</v>
      </c>
      <c r="B4" s="2204" t="s">
        <v>1774</v>
      </c>
      <c r="C4" s="2205"/>
      <c r="D4" s="2205"/>
      <c r="E4" s="2900" t="s">
        <v>1969</v>
      </c>
      <c r="F4" s="2901"/>
      <c r="G4" s="2901"/>
      <c r="H4" s="2901"/>
      <c r="I4" s="291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1776</v>
      </c>
      <c r="B5" s="2855">
        <v>25</v>
      </c>
      <c r="C5" s="2904"/>
      <c r="D5" s="2918"/>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0" t="s">
        <v>1972</v>
      </c>
      <c r="B31" s="2980"/>
      <c r="C31" s="2980"/>
      <c r="D31" s="2980"/>
      <c r="E31" s="2980"/>
      <c r="F31" s="2980"/>
      <c r="G31" s="2980"/>
      <c r="H31" s="2980"/>
      <c r="I31" s="298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6" t="s">
        <v>1981</v>
      </c>
      <c r="B37" s="2243" t="s">
        <v>1982</v>
      </c>
      <c r="C37" s="70"/>
      <c r="D37" s="2244"/>
      <c r="E37" s="2245"/>
      <c r="F37" s="2245"/>
      <c r="G37" s="2201"/>
      <c r="H37" s="2201"/>
      <c r="I37" s="2201"/>
    </row>
    <row r="38" spans="1:16" ht="15.75" thickBot="1">
      <c r="A38" s="2907"/>
      <c r="B38" s="2246" t="s">
        <v>1983</v>
      </c>
      <c r="C38" s="72"/>
      <c r="D38" s="2211"/>
      <c r="E38" s="2211"/>
      <c r="F38" s="2245"/>
      <c r="G38" s="2211"/>
      <c r="H38" s="2211"/>
      <c r="I38" s="2211"/>
    </row>
    <row r="39" spans="1:16" ht="15.75" thickBot="1">
      <c r="A39" s="290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2" t="s">
        <v>1994</v>
      </c>
      <c r="B46" s="2913"/>
      <c r="C46" s="2914"/>
      <c r="D46" s="81">
        <f>ROUND(I103*F46,0)</f>
        <v>0</v>
      </c>
      <c r="E46" s="82" t="s">
        <v>1995</v>
      </c>
      <c r="F46" s="83">
        <v>1</v>
      </c>
      <c r="G46" s="84" t="s">
        <v>1996</v>
      </c>
      <c r="H46" s="2201"/>
      <c r="I46" s="2201"/>
      <c r="J46" s="2974" t="s">
        <v>1828</v>
      </c>
      <c r="K46" s="2974"/>
      <c r="L46" s="2974"/>
      <c r="M46" s="2974"/>
      <c r="N46" s="2974"/>
      <c r="O46" s="2974"/>
      <c r="P46" s="1851"/>
    </row>
    <row r="47" spans="1:16" ht="14.25" customHeight="1">
      <c r="A47" s="2897" t="s">
        <v>1829</v>
      </c>
      <c r="B47" s="2898"/>
      <c r="C47" s="2898"/>
      <c r="D47" s="2898"/>
      <c r="E47" s="2898"/>
      <c r="F47" s="2898"/>
      <c r="G47" s="2899"/>
      <c r="H47" s="2263"/>
      <c r="I47" s="1145"/>
      <c r="J47" s="1889">
        <v>1</v>
      </c>
      <c r="K47" s="2974" t="s">
        <v>1830</v>
      </c>
      <c r="L47" s="2974"/>
      <c r="M47" s="2990"/>
      <c r="N47" s="2990"/>
      <c r="O47" s="2990"/>
      <c r="P47" s="1851"/>
    </row>
    <row r="48" spans="1:16" ht="12" customHeight="1">
      <c r="A48" s="86" t="s">
        <v>1831</v>
      </c>
      <c r="B48" s="87"/>
      <c r="C48" s="88"/>
      <c r="D48" s="89" t="s">
        <v>1832</v>
      </c>
      <c r="E48" s="14" t="s">
        <v>1833</v>
      </c>
      <c r="F48" s="90" t="s">
        <v>1834</v>
      </c>
      <c r="G48" s="91" t="s">
        <v>1835</v>
      </c>
      <c r="H48" s="2263"/>
      <c r="I48" s="1145"/>
      <c r="J48" s="1889">
        <v>2</v>
      </c>
      <c r="K48" s="2974" t="s">
        <v>1836</v>
      </c>
      <c r="L48" s="2974"/>
      <c r="M48" s="2976">
        <f>'数据-取费表'!B2</f>
        <v>43047</v>
      </c>
      <c r="N48" s="2976"/>
      <c r="O48" s="2976"/>
      <c r="P48" s="1851"/>
    </row>
    <row r="49" spans="1:16" ht="25.5">
      <c r="A49" s="2909" t="s">
        <v>1837</v>
      </c>
      <c r="B49" s="2910"/>
      <c r="C49" s="2910"/>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4" t="s">
        <v>1840</v>
      </c>
      <c r="L49" s="2974"/>
      <c r="M49" s="2975">
        <f>I103</f>
        <v>0</v>
      </c>
      <c r="N49" s="2975"/>
      <c r="O49" s="2975"/>
      <c r="P49" s="1851"/>
    </row>
    <row r="50" spans="1:16" ht="25.5" customHeight="1">
      <c r="A50" s="93" t="s">
        <v>1841</v>
      </c>
      <c r="B50" s="2902" t="s">
        <v>1842</v>
      </c>
      <c r="C50" s="2902"/>
      <c r="D50" s="94">
        <v>0</v>
      </c>
      <c r="E50" s="13" t="s">
        <v>1843</v>
      </c>
      <c r="F50" s="18" t="s">
        <v>48</v>
      </c>
      <c r="G50" s="2967"/>
      <c r="H50" s="2201"/>
      <c r="I50" s="2266"/>
      <c r="J50" s="1889">
        <v>4</v>
      </c>
      <c r="K50" s="2974" t="str">
        <f>IF(项目基本情况!F5="房地产抵押价值","房地产抵押价值","抵押担保权已注销时的房地产抵押价值")</f>
        <v>抵押担保权已注销时的房地产抵押价值</v>
      </c>
      <c r="L50" s="2974"/>
      <c r="M50" s="2975" t="str">
        <f>IF(项目基本情况!E8="房地产抵押价值",I111,I113)</f>
        <v>——</v>
      </c>
      <c r="N50" s="2975"/>
      <c r="O50" s="2975"/>
      <c r="P50" s="1851"/>
    </row>
    <row r="51" spans="1:16" ht="25.5" customHeight="1">
      <c r="A51" s="95"/>
      <c r="B51" s="2902" t="s">
        <v>1844</v>
      </c>
      <c r="C51" s="2902"/>
      <c r="D51" s="96"/>
      <c r="E51" s="21"/>
      <c r="F51" s="97"/>
      <c r="G51" s="2968"/>
      <c r="H51" s="2201"/>
      <c r="I51" s="2266"/>
      <c r="J51" s="2974" t="s">
        <v>1845</v>
      </c>
      <c r="K51" s="2974"/>
      <c r="L51" s="2974"/>
      <c r="M51" s="2974"/>
      <c r="N51" s="2974"/>
      <c r="O51" s="2974"/>
      <c r="P51" s="1851"/>
    </row>
    <row r="52" spans="1:16" ht="12" customHeight="1">
      <c r="A52" s="98"/>
      <c r="B52" s="2902" t="s">
        <v>1846</v>
      </c>
      <c r="C52" s="2902"/>
      <c r="D52" s="99"/>
      <c r="E52" s="20"/>
      <c r="F52" s="97"/>
      <c r="G52" s="2969"/>
      <c r="H52" s="2201"/>
      <c r="I52" s="2266"/>
      <c r="J52" s="2267" t="s">
        <v>1847</v>
      </c>
      <c r="K52" s="2974" t="s">
        <v>1848</v>
      </c>
      <c r="L52" s="2974"/>
      <c r="M52" s="2267" t="s">
        <v>1849</v>
      </c>
      <c r="N52" s="2267" t="s">
        <v>1850</v>
      </c>
      <c r="O52" s="2267" t="s">
        <v>1851</v>
      </c>
      <c r="P52" s="1851"/>
    </row>
    <row r="53" spans="1:16" ht="24" customHeight="1">
      <c r="A53" s="100" t="s">
        <v>1852</v>
      </c>
      <c r="B53" s="2902" t="s">
        <v>1853</v>
      </c>
      <c r="C53" s="2902"/>
      <c r="D53" s="99">
        <f>ROUND(D46*'数据-取费表'!E29/(1+'数据-取费表'!F30),0)</f>
        <v>0</v>
      </c>
      <c r="E53" s="10" t="s">
        <v>1854</v>
      </c>
      <c r="F53" s="101">
        <f>'数据-取费表'!E29</f>
        <v>5.6000000000000001E-2</v>
      </c>
      <c r="G53" s="2268"/>
      <c r="H53" s="2201"/>
      <c r="I53" s="2266"/>
      <c r="J53" s="1889">
        <v>1</v>
      </c>
      <c r="K53" s="2934" t="s">
        <v>1855</v>
      </c>
      <c r="L53" s="2934"/>
      <c r="M53" s="779">
        <f>D49</f>
        <v>0</v>
      </c>
      <c r="N53" s="1889" t="str">
        <f>E49</f>
        <v>销售额×税（费）率</v>
      </c>
      <c r="O53" s="780">
        <f>F49</f>
        <v>5.6000000000000001E-2</v>
      </c>
      <c r="P53" s="1851"/>
    </row>
    <row r="54" spans="1:16" ht="12" customHeight="1">
      <c r="A54" s="100" t="s">
        <v>1856</v>
      </c>
      <c r="B54" s="2903" t="s">
        <v>1857</v>
      </c>
      <c r="C54" s="2831"/>
      <c r="D54" s="99">
        <f>ROUND(D46*'数据-取费表'!E29/(1+'数据-取费表'!F30),0)</f>
        <v>0</v>
      </c>
      <c r="E54" s="10" t="s">
        <v>1854</v>
      </c>
      <c r="F54" s="101">
        <f>'数据-取费表'!E29</f>
        <v>5.6000000000000001E-2</v>
      </c>
      <c r="G54" s="2268"/>
      <c r="H54" s="2201"/>
      <c r="I54" s="2266"/>
      <c r="J54" s="1889">
        <v>2</v>
      </c>
      <c r="K54" s="2934" t="s">
        <v>1858</v>
      </c>
      <c r="L54" s="2934"/>
      <c r="M54" s="779">
        <f t="shared" ref="M54:O55" si="1">D56</f>
        <v>0</v>
      </c>
      <c r="N54" s="1889" t="str">
        <f t="shared" si="1"/>
        <v>销售额×税（费）率</v>
      </c>
      <c r="O54" s="780">
        <f t="shared" si="1"/>
        <v>5.0000000000000001E-4</v>
      </c>
      <c r="P54" s="1851"/>
    </row>
    <row r="55" spans="1:16" ht="12" customHeight="1">
      <c r="A55" s="100" t="s">
        <v>1859</v>
      </c>
      <c r="B55" s="2903" t="s">
        <v>1860</v>
      </c>
      <c r="C55" s="2831"/>
      <c r="D55" s="99">
        <f>C69</f>
        <v>0</v>
      </c>
      <c r="E55" s="20" t="s">
        <v>1861</v>
      </c>
      <c r="F55" s="101">
        <f>'数据-取费表'!E29</f>
        <v>5.6000000000000001E-2</v>
      </c>
      <c r="G55" s="2268"/>
      <c r="H55" s="2269"/>
      <c r="I55" s="2266"/>
      <c r="J55" s="1889">
        <v>3</v>
      </c>
      <c r="K55" s="2934" t="s">
        <v>1862</v>
      </c>
      <c r="L55" s="2934"/>
      <c r="M55" s="779">
        <f t="shared" si="1"/>
        <v>0</v>
      </c>
      <c r="N55" s="1889" t="str">
        <f t="shared" si="1"/>
        <v>增值额×税（费）率</v>
      </c>
      <c r="O55" s="781" t="str">
        <f t="shared" si="1"/>
        <v>——</v>
      </c>
      <c r="P55" s="1851"/>
    </row>
    <row r="56" spans="1:16" ht="24" customHeight="1">
      <c r="A56" s="2823" t="s">
        <v>1863</v>
      </c>
      <c r="B56" s="2910"/>
      <c r="C56" s="291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4" t="str">
        <f>IF(H60="非个人房产","——","个人所得税")</f>
        <v>——</v>
      </c>
      <c r="L56" s="2934"/>
      <c r="M56" s="782" t="str">
        <f>D60</f>
        <v>——</v>
      </c>
      <c r="N56" s="1892" t="str">
        <f>E60</f>
        <v>——</v>
      </c>
      <c r="O56" s="783" t="str">
        <f>F60</f>
        <v>——</v>
      </c>
      <c r="P56" s="1851"/>
    </row>
    <row r="57" spans="1:16" ht="24.75">
      <c r="A57" s="2823" t="s">
        <v>1866</v>
      </c>
      <c r="B57" s="2910"/>
      <c r="C57" s="2910"/>
      <c r="D57" s="102">
        <f>IF(H57="个人住宅",D58,D59)</f>
        <v>0</v>
      </c>
      <c r="E57" s="10" t="s">
        <v>1867</v>
      </c>
      <c r="F57" s="101" t="str">
        <f>IF(H57="正常",F59,"免征")</f>
        <v>——</v>
      </c>
      <c r="G57" s="2270" t="s">
        <v>1868</v>
      </c>
      <c r="H57" s="2271" t="s">
        <v>1865</v>
      </c>
      <c r="I57" s="1023"/>
      <c r="J57" s="1889" t="str">
        <f>IF(项目基本情况!I6="上海银行",IF(J56="",4,J56+1),"")</f>
        <v/>
      </c>
      <c r="K57" s="2952" t="str">
        <f>IF(项目基本情况!I6="上海银行","其他处置费用","")</f>
        <v/>
      </c>
      <c r="L57" s="2953"/>
      <c r="M57" s="779" t="str">
        <f>IF(项目基本情况!I6="上海银行",M70,"")</f>
        <v/>
      </c>
      <c r="N57" s="2965" t="str">
        <f>IF(项目基本情况!I6="上海银行","包含处置中涉及的律师、诉讼、拍卖、评估等费用","")</f>
        <v/>
      </c>
      <c r="O57" s="2966"/>
      <c r="P57" s="1851"/>
    </row>
    <row r="58" spans="1:16" ht="12.75">
      <c r="A58" s="100" t="s">
        <v>1841</v>
      </c>
      <c r="B58" s="2900" t="s">
        <v>1869</v>
      </c>
      <c r="C58" s="2911"/>
      <c r="D58" s="104">
        <v>0</v>
      </c>
      <c r="E58" s="13" t="s">
        <v>1843</v>
      </c>
      <c r="F58" s="71"/>
      <c r="G58" s="2268"/>
      <c r="H58" s="1023"/>
      <c r="I58" s="1023"/>
      <c r="J58" s="2934">
        <f>IF(AND(J56="",J57=""),4,IF(项目基本情况!I6="上海银行",J57+1,J56+1))</f>
        <v>4</v>
      </c>
      <c r="K58" s="2934" t="s">
        <v>1870</v>
      </c>
      <c r="L58" s="2272" t="s">
        <v>1871</v>
      </c>
      <c r="M58" s="784"/>
      <c r="N58" s="785">
        <f>SUMIF(M53:M57,"&lt;9e307")</f>
        <v>0</v>
      </c>
      <c r="O58" s="2273"/>
      <c r="P58" s="1847" t="e">
        <f>N58/M50</f>
        <v>#VALUE!</v>
      </c>
    </row>
    <row r="59" spans="1:16" ht="24.75">
      <c r="A59" s="100" t="s">
        <v>1852</v>
      </c>
      <c r="B59" s="2900" t="s">
        <v>1872</v>
      </c>
      <c r="C59" s="2901"/>
      <c r="D59" s="102">
        <f>IF(H59="转让取得",C82,C98)</f>
        <v>0</v>
      </c>
      <c r="E59" s="10" t="s">
        <v>1867</v>
      </c>
      <c r="F59" s="14" t="s">
        <v>48</v>
      </c>
      <c r="G59" s="2268"/>
      <c r="H59" s="2271" t="s">
        <v>1873</v>
      </c>
      <c r="I59" s="1023"/>
      <c r="J59" s="2934"/>
      <c r="K59" s="2934"/>
      <c r="L59" s="2272" t="s">
        <v>1874</v>
      </c>
      <c r="M59" s="786"/>
      <c r="N59" s="2274" t="str">
        <f>IF(H19="元",NUMBERSTRING(INT(N58),2)&amp;"元整",NUMBERSTRING(INT(N58*10000),2)&amp;"元整")</f>
        <v>零元整</v>
      </c>
      <c r="O59" s="2275"/>
      <c r="P59" s="1851"/>
    </row>
    <row r="60" spans="1:16" ht="24.75" thickBot="1">
      <c r="A60" s="2824" t="s">
        <v>1875</v>
      </c>
      <c r="B60" s="2827"/>
      <c r="C60" s="282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2">
        <f>J58+1</f>
        <v>5</v>
      </c>
      <c r="K60" s="2934" t="s">
        <v>1877</v>
      </c>
      <c r="L60" s="1889" t="s">
        <v>1871</v>
      </c>
      <c r="M60" s="787"/>
      <c r="N60" s="788" t="e">
        <f>M50-N58</f>
        <v>#VALUE!</v>
      </c>
      <c r="O60" s="2277"/>
      <c r="P60" s="1851"/>
    </row>
    <row r="61" spans="1:16" ht="12" customHeight="1">
      <c r="A61" s="2074"/>
      <c r="B61" s="2201"/>
      <c r="C61" s="2201"/>
      <c r="D61" s="2201"/>
      <c r="E61" s="1023"/>
      <c r="F61" s="1023"/>
      <c r="G61" s="1023"/>
      <c r="H61" s="2254"/>
      <c r="I61" s="2201"/>
      <c r="J61" s="2933"/>
      <c r="K61" s="2934"/>
      <c r="L61" s="2272" t="s">
        <v>1874</v>
      </c>
      <c r="M61" s="786"/>
      <c r="N61" s="2274" t="e">
        <f>IF(H19="元",NUMBERSTRING(INT(N60),2)&amp;"元整",NUMBERSTRING(INT(N60*10000),2)&amp;"元整")</f>
        <v>#VALUE!</v>
      </c>
      <c r="O61" s="2275"/>
      <c r="P61" s="1851"/>
    </row>
    <row r="62" spans="1:16" ht="13.5" thickBot="1">
      <c r="A62" s="2915" t="s">
        <v>1878</v>
      </c>
      <c r="B62" s="2915"/>
      <c r="C62" s="2915"/>
      <c r="D62" s="2915"/>
      <c r="E62" s="2915"/>
      <c r="F62" s="1023"/>
      <c r="G62" s="1023"/>
      <c r="H62" s="2254"/>
      <c r="I62" s="2201"/>
      <c r="J62" s="1889">
        <f>J60+1</f>
        <v>6</v>
      </c>
      <c r="K62" s="2934" t="s">
        <v>1879</v>
      </c>
      <c r="L62" s="2934"/>
      <c r="M62" s="789"/>
      <c r="N62" s="790" t="e">
        <f>IF(H19="元",ROUND(N60/项目基本情况!C12,0),ROUND(N60*10000/项目基本情况!C12,0))</f>
        <v>#VALUE!</v>
      </c>
      <c r="O62" s="2278"/>
      <c r="P62" s="1851"/>
    </row>
    <row r="63" spans="1:16" ht="12.75">
      <c r="A63" s="2922" t="s">
        <v>1880</v>
      </c>
      <c r="B63" s="292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6" t="s">
        <v>1900</v>
      </c>
      <c r="B71" s="2927"/>
      <c r="C71" s="2927"/>
      <c r="D71" s="2927"/>
      <c r="E71" s="2927"/>
      <c r="F71" s="2927"/>
      <c r="G71" s="2927"/>
      <c r="H71" s="2927"/>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2" t="s">
        <v>1880</v>
      </c>
      <c r="B72" s="292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3" t="s">
        <v>1910</v>
      </c>
      <c r="F77" s="2902"/>
      <c r="G77" s="2902"/>
      <c r="H77" s="2917"/>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4" t="s">
        <v>1915</v>
      </c>
      <c r="F79" s="2895"/>
      <c r="G79" s="2895"/>
      <c r="H79" s="289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6" t="s">
        <v>1919</v>
      </c>
      <c r="B84" s="2927"/>
      <c r="C84" s="2927"/>
      <c r="D84" s="2927"/>
      <c r="E84" s="2927"/>
      <c r="F84" s="2927"/>
      <c r="G84" s="2927"/>
      <c r="H84" s="2927"/>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2" t="s">
        <v>1880</v>
      </c>
      <c r="B85" s="292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4" t="s">
        <v>1927</v>
      </c>
      <c r="F92" s="2895"/>
      <c r="G92" s="2895"/>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4" t="s">
        <v>1930</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4" t="s">
        <v>1915</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4" t="s">
        <v>1932</v>
      </c>
      <c r="F95" s="2895"/>
      <c r="G95" s="2895"/>
      <c r="H95" s="289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9" t="s">
        <v>1934</v>
      </c>
      <c r="B100" s="2950"/>
      <c r="C100" s="2950"/>
      <c r="D100" s="2951"/>
      <c r="E100" s="2201"/>
      <c r="F100" s="2960" t="s">
        <v>1935</v>
      </c>
      <c r="G100" s="2961"/>
      <c r="H100" s="2961"/>
      <c r="I100" s="2962"/>
    </row>
    <row r="101" spans="1:35" ht="15.75">
      <c r="A101" s="2963" t="s">
        <v>1936</v>
      </c>
      <c r="B101" s="2964"/>
      <c r="C101" s="721">
        <f>C4</f>
        <v>0</v>
      </c>
      <c r="D101" s="722">
        <f>D4</f>
        <v>0</v>
      </c>
      <c r="E101" s="2201"/>
      <c r="F101" s="2859" t="s">
        <v>1937</v>
      </c>
      <c r="G101" s="2860"/>
      <c r="H101" s="2985" t="s">
        <v>1938</v>
      </c>
      <c r="I101" s="2858"/>
    </row>
    <row r="102" spans="1:35" ht="15.75">
      <c r="A102" s="2986" t="s">
        <v>1998</v>
      </c>
      <c r="B102" s="2296" t="str">
        <f>IF(H19="元","总价（元）","总价（万元）")</f>
        <v>总价（元）</v>
      </c>
      <c r="C102" s="721" t="e">
        <f ca="1">C19</f>
        <v>#REF!</v>
      </c>
      <c r="D102" s="722" t="e">
        <f ca="1">D19</f>
        <v>#REF!</v>
      </c>
      <c r="E102" s="2201"/>
      <c r="F102" s="2987"/>
      <c r="G102" s="2988"/>
      <c r="H102" s="2857">
        <f>典型户型修正!B25</f>
        <v>0</v>
      </c>
      <c r="I102" s="2858"/>
    </row>
    <row r="103" spans="1:35" ht="15.75">
      <c r="A103" s="2986"/>
      <c r="B103" s="2296" t="s">
        <v>1940</v>
      </c>
      <c r="C103" s="723" t="e">
        <f ca="1">C20</f>
        <v>#REF!</v>
      </c>
      <c r="D103" s="724" t="e">
        <f ca="1">D20</f>
        <v>#REF!</v>
      </c>
      <c r="E103" s="2201"/>
      <c r="F103" s="2886" t="s">
        <v>1941</v>
      </c>
      <c r="G103" s="2887"/>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886"/>
      <c r="G104" s="2887"/>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958"/>
      <c r="G105" s="2959"/>
      <c r="H105" s="2943"/>
      <c r="I105" s="2944"/>
    </row>
    <row r="106" spans="1:35" ht="15.75">
      <c r="A106" s="2979" t="s">
        <v>2000</v>
      </c>
      <c r="B106" s="2336" t="str">
        <f>B102</f>
        <v>总价（元）</v>
      </c>
      <c r="C106" s="725">
        <f>H124</f>
        <v>0</v>
      </c>
      <c r="D106" s="1190"/>
      <c r="E106" s="2201"/>
      <c r="F106" s="2947" t="s">
        <v>1944</v>
      </c>
      <c r="G106" s="2948"/>
      <c r="H106" s="2300" t="str">
        <f>C111</f>
        <v>总额（元）</v>
      </c>
      <c r="I106" s="1868">
        <f>SUMIF(I107:I109,"&lt;9E307")</f>
        <v>0</v>
      </c>
    </row>
    <row r="107" spans="1:35" ht="15.75" thickBot="1">
      <c r="A107" s="2942"/>
      <c r="B107" s="2299" t="s">
        <v>1940</v>
      </c>
      <c r="C107" s="727" t="e">
        <f>I124</f>
        <v>#DIV/0!</v>
      </c>
      <c r="D107" s="728"/>
      <c r="E107" s="2201"/>
      <c r="F107" s="2875" t="s">
        <v>1946</v>
      </c>
      <c r="G107" s="2876"/>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2" t="s">
        <v>1943</v>
      </c>
      <c r="B108" s="2983"/>
      <c r="C108" s="2983"/>
      <c r="D108" s="2984"/>
      <c r="E108" s="2201"/>
      <c r="F108" s="2875" t="s">
        <v>1947</v>
      </c>
      <c r="G108" s="2876"/>
      <c r="H108" s="2300" t="str">
        <f>C113</f>
        <v>总额（元）</v>
      </c>
      <c r="I108" s="1051">
        <f>C38</f>
        <v>0</v>
      </c>
      <c r="K108" s="2301"/>
    </row>
    <row r="109" spans="1:35" ht="15">
      <c r="A109" s="2873" t="s">
        <v>2001</v>
      </c>
      <c r="B109" s="2874"/>
      <c r="C109" s="2297" t="str">
        <f>B102</f>
        <v>总价（元）</v>
      </c>
      <c r="D109" s="1052">
        <f>H124</f>
        <v>0</v>
      </c>
      <c r="E109" s="2201"/>
      <c r="F109" s="2875" t="s">
        <v>1949</v>
      </c>
      <c r="G109" s="2876"/>
      <c r="H109" s="2300" t="str">
        <f>C114</f>
        <v>总额（元）</v>
      </c>
      <c r="I109" s="1051">
        <f>C39</f>
        <v>0</v>
      </c>
    </row>
    <row r="110" spans="1:35" ht="15.75">
      <c r="A110" s="2873"/>
      <c r="B110" s="2874"/>
      <c r="C110" s="2297" t="s">
        <v>1940</v>
      </c>
      <c r="D110" s="1053" t="e">
        <f>I124</f>
        <v>#DIV/0!</v>
      </c>
      <c r="E110" s="2201"/>
      <c r="F110" s="2958"/>
      <c r="G110" s="2959"/>
      <c r="H110" s="2945"/>
      <c r="I110" s="2946"/>
    </row>
    <row r="111" spans="1:35" ht="28.5" customHeight="1">
      <c r="A111" s="2880" t="s">
        <v>1948</v>
      </c>
      <c r="B111" s="2881"/>
      <c r="C111" s="2300" t="str">
        <f>IF(H19="元","总额（元）","总额（万元）")</f>
        <v>总额（元）</v>
      </c>
      <c r="D111" s="1052">
        <f>IF(D37="正常操作",I107+I108+I109,I108+I109)</f>
        <v>0</v>
      </c>
      <c r="E111" s="2201"/>
      <c r="F111" s="2861" t="str">
        <f>IF(项目基本情况!F5="已注销","——","3.房地产抵押价值")</f>
        <v>3.房地产抵押价值</v>
      </c>
      <c r="G111" s="2862"/>
      <c r="H111" s="2337" t="str">
        <f>C115</f>
        <v>总价（元）</v>
      </c>
      <c r="I111" s="1868">
        <f>IF(F111="——","——",I103-I106)</f>
        <v>0</v>
      </c>
    </row>
    <row r="112" spans="1:35" ht="15">
      <c r="A112" s="2875" t="s">
        <v>1946</v>
      </c>
      <c r="B112" s="2876"/>
      <c r="C112" s="2300" t="str">
        <f>C111</f>
        <v>总额（元）</v>
      </c>
      <c r="D112" s="638">
        <f>IF(D37="同一抵押权人同一抵押物续贷",C37&amp;"（未扣减，详见特别提示）",C37)</f>
        <v>0</v>
      </c>
      <c r="E112" s="2201"/>
      <c r="F112" s="2977"/>
      <c r="G112" s="2978"/>
      <c r="H112" s="2297" t="s">
        <v>1940</v>
      </c>
      <c r="I112" s="2303" t="e">
        <f>D116</f>
        <v>#DIV/0!</v>
      </c>
    </row>
    <row r="113" spans="1:26" ht="15.75">
      <c r="A113" s="2875" t="s">
        <v>1947</v>
      </c>
      <c r="B113" s="2876"/>
      <c r="C113" s="2300" t="str">
        <f>C111</f>
        <v>总额（元）</v>
      </c>
      <c r="D113" s="638">
        <f>C38</f>
        <v>0</v>
      </c>
      <c r="E113" s="2201"/>
      <c r="F113" s="2861" t="str">
        <f>IF(项目基本情况!F5="已注销及未注销","4.抵押担保权已注销时的房地产抵押价值",IF(项目基本情况!F5="已注销","3.抵押担保权已注销时的房地产抵押价值","——"))</f>
        <v>——</v>
      </c>
      <c r="G113" s="2862"/>
      <c r="H113" s="2337" t="str">
        <f>C117</f>
        <v>总价（元）</v>
      </c>
      <c r="I113" s="1868" t="str">
        <f>IF(F113="——","——",I103-I108-I109)</f>
        <v>——</v>
      </c>
    </row>
    <row r="114" spans="1:26" ht="15">
      <c r="A114" s="2875" t="s">
        <v>1949</v>
      </c>
      <c r="B114" s="2876"/>
      <c r="C114" s="2300" t="str">
        <f>C111</f>
        <v>总额（元）</v>
      </c>
      <c r="D114" s="638">
        <f>C39</f>
        <v>0</v>
      </c>
      <c r="E114" s="2201"/>
      <c r="F114" s="2977"/>
      <c r="G114" s="2978"/>
      <c r="H114" s="2297" t="s">
        <v>1940</v>
      </c>
      <c r="I114" s="1051" t="str">
        <f>D118</f>
        <v>——</v>
      </c>
    </row>
    <row r="115" spans="1:26" ht="15.75">
      <c r="A115" s="2873" t="str">
        <f>IF(项目基本情况!F5="已注销","——","3.房地产抵押价值")</f>
        <v>3.房地产抵押价值</v>
      </c>
      <c r="B115" s="2874"/>
      <c r="C115" s="2297" t="str">
        <f>B102</f>
        <v>总价（元）</v>
      </c>
      <c r="D115" s="1052">
        <f>IF(A115="——","——",D109-D111)</f>
        <v>0</v>
      </c>
      <c r="E115" s="2201"/>
      <c r="F115" s="2861" t="str">
        <f>IF(项目基本情况!G5="抵押净值",IF(OR(项目基本情况!F5="已注销",项目基本情况!F5="房地产抵押价值"),"4.抵押净值","5.抵押净值"),"——")</f>
        <v>——</v>
      </c>
      <c r="G115" s="2862"/>
      <c r="H115" s="2297" t="str">
        <f>C119</f>
        <v>总价（元）</v>
      </c>
      <c r="I115" s="1868" t="str">
        <f>IF(F115="——","——",N60)</f>
        <v>——</v>
      </c>
    </row>
    <row r="116" spans="1:26" ht="15.75" thickBot="1">
      <c r="A116" s="2873"/>
      <c r="B116" s="2874"/>
      <c r="C116" s="2297" t="s">
        <v>2002</v>
      </c>
      <c r="D116" s="1053" t="e">
        <f>ROUND(IF(D115=D109,D110,IF(H19="元",D115/B124,D115*10000/B124)),0)</f>
        <v>#DIV/0!</v>
      </c>
      <c r="E116" s="2201"/>
      <c r="F116" s="2863"/>
      <c r="G116" s="2864"/>
      <c r="H116" s="2305" t="s">
        <v>2002</v>
      </c>
      <c r="I116" s="1870" t="str">
        <f>D120</f>
        <v>——</v>
      </c>
    </row>
    <row r="117" spans="1:26" ht="15.75">
      <c r="A117" s="2873" t="str">
        <f>IF(项目基本情况!F5="已注销及未注销","4.抵押担保权已注销时的房地产抵押价值",IF(项目基本情况!F5="已注销","3.抵押担保权已注销时的房地产抵押价值","——"))</f>
        <v>——</v>
      </c>
      <c r="B117" s="2874"/>
      <c r="C117" s="2297" t="str">
        <f>B102</f>
        <v>总价（元）</v>
      </c>
      <c r="D117" s="1052" t="str">
        <f>IF(A117="——","——",D109-D113-D114)</f>
        <v>——</v>
      </c>
      <c r="E117" s="2201"/>
      <c r="F117" s="2973"/>
      <c r="G117" s="2973"/>
      <c r="H117" s="2929"/>
      <c r="I117" s="2929"/>
      <c r="N117" s="55"/>
      <c r="O117" s="55"/>
    </row>
    <row r="118" spans="1:26" s="1851" customFormat="1" ht="15">
      <c r="A118" s="2873"/>
      <c r="B118" s="2874"/>
      <c r="C118" s="2297" t="s">
        <v>2002</v>
      </c>
      <c r="D118" s="1053" t="str">
        <f>IF(A117="——","——",IF(H19="元",ROUND(D117/B124,0),ROUND(D117*10000/B124,0)))</f>
        <v>——</v>
      </c>
      <c r="E118" s="2201"/>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9"/>
      <c r="K118" s="799"/>
      <c r="L118" s="799"/>
      <c r="M118" s="799"/>
      <c r="N118" s="55"/>
      <c r="O118" s="55"/>
      <c r="P118" s="799"/>
      <c r="Q118" s="799"/>
      <c r="R118" s="799"/>
      <c r="S118" s="799"/>
      <c r="T118" s="799"/>
      <c r="U118" s="799"/>
      <c r="V118" s="799"/>
      <c r="W118" s="799"/>
      <c r="X118" s="799"/>
      <c r="Y118" s="799"/>
      <c r="Z118" s="799"/>
    </row>
    <row r="119" spans="1:26" s="1851" customFormat="1" ht="15">
      <c r="A119" s="2873" t="str">
        <f>IF(项目基本情况!G5="抵押净值",IF(OR(项目基本情况!F5="已注销",项目基本情况!F5="房地产抵押价值"),"4.抵押净值","5.抵押净值"),"——")</f>
        <v>——</v>
      </c>
      <c r="B119" s="2874"/>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8"/>
      <c r="B120" s="287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0" t="s">
        <v>2003</v>
      </c>
      <c r="B121" s="2931"/>
      <c r="C121" s="2931"/>
      <c r="D121" s="2931"/>
      <c r="E121" s="2931"/>
      <c r="F121" s="2931"/>
      <c r="G121" s="2931"/>
      <c r="H121" s="2931"/>
      <c r="I121" s="293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4" t="s">
        <v>1951</v>
      </c>
      <c r="B122" s="2884" t="s">
        <v>2004</v>
      </c>
      <c r="C122" s="2884" t="s">
        <v>2005</v>
      </c>
      <c r="D122" s="2956" t="s">
        <v>1954</v>
      </c>
      <c r="E122" s="2957"/>
      <c r="F122" s="2855" t="s">
        <v>2006</v>
      </c>
      <c r="G122" s="2855"/>
      <c r="H122" s="2855" t="s">
        <v>1955</v>
      </c>
      <c r="I122" s="295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4"/>
      <c r="B123" s="2885"/>
      <c r="C123" s="288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4" t="s">
        <v>1959</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6" t="str">
        <f>IF(项目基本情况!D5="房地产市场价值","——",MID(A111,3,LEN(A111)-2))</f>
        <v>——</v>
      </c>
      <c r="B126" s="2866"/>
      <c r="C126" s="2937"/>
      <c r="D126" s="2865">
        <f>I106</f>
        <v>0</v>
      </c>
      <c r="E126" s="2866"/>
      <c r="F126" s="2866"/>
      <c r="G126" s="2866"/>
      <c r="H126" s="2866"/>
      <c r="I126" s="286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8" t="s">
        <v>1959</v>
      </c>
      <c r="B127" s="2939"/>
      <c r="C127" s="2940"/>
      <c r="D127" s="2868">
        <f>H110</f>
        <v>0</v>
      </c>
      <c r="E127" s="2869"/>
      <c r="F127" s="2869"/>
      <c r="G127" s="2869"/>
      <c r="H127" s="2869"/>
      <c r="I127" s="287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1" t="str">
        <f>IF(项目基本情况!D5="房地产市场价值","——",MID(A115,3,LEN(A115)-2))</f>
        <v>——</v>
      </c>
      <c r="B128" s="2872"/>
      <c r="C128" s="2872"/>
      <c r="D128" s="2865">
        <f>I111</f>
        <v>0</v>
      </c>
      <c r="E128" s="2866"/>
      <c r="F128" s="2866"/>
      <c r="G128" s="2866"/>
      <c r="H128" s="2866"/>
      <c r="I128" s="286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4" t="s">
        <v>1959</v>
      </c>
      <c r="B129" s="2855"/>
      <c r="C129" s="2855"/>
      <c r="D129" s="2868" t="e">
        <f>I112</f>
        <v>#DIV/0!</v>
      </c>
      <c r="E129" s="2869"/>
      <c r="F129" s="2869"/>
      <c r="G129" s="2869"/>
      <c r="H129" s="2869"/>
      <c r="I129" s="287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1" t="str">
        <f>IF(项目基本情况!D5="房地产市场价值","——",MID(A117,3,LEN(A117)-2))</f>
        <v>——</v>
      </c>
      <c r="B130" s="2872"/>
      <c r="C130" s="2872"/>
      <c r="D130" s="2970" t="str">
        <f>I113</f>
        <v>——</v>
      </c>
      <c r="E130" s="2971"/>
      <c r="F130" s="2971"/>
      <c r="G130" s="2971"/>
      <c r="H130" s="2971"/>
      <c r="I130" s="297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4" t="s">
        <v>1959</v>
      </c>
      <c r="B131" s="2855"/>
      <c r="C131" s="2856"/>
      <c r="D131" s="2928" t="str">
        <f>I114</f>
        <v>——</v>
      </c>
      <c r="E131" s="2928"/>
      <c r="F131" s="2928"/>
      <c r="G131" s="2928"/>
      <c r="H131" s="2928"/>
      <c r="I131" s="292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1" t="str">
        <f>IF(项目基本情况!D5="房地产市场价值","——",MID(F115,3,LEN(F115)-2))</f>
        <v>——</v>
      </c>
      <c r="B132" s="2872"/>
      <c r="C132" s="2865"/>
      <c r="D132" s="2877" t="str">
        <f>I115</f>
        <v>——</v>
      </c>
      <c r="E132" s="2877"/>
      <c r="F132" s="2877"/>
      <c r="G132" s="2877"/>
      <c r="H132" s="2877"/>
      <c r="I132" s="287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2" t="s">
        <v>1959</v>
      </c>
      <c r="B133" s="2883"/>
      <c r="C133" s="2883"/>
      <c r="D133" s="2890">
        <f>H117</f>
        <v>0</v>
      </c>
      <c r="E133" s="2891"/>
      <c r="F133" s="2891"/>
      <c r="G133" s="2891"/>
      <c r="H133" s="2891"/>
      <c r="I133" s="289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1520950</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29255</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4159</v>
      </c>
      <c r="D9" s="1540">
        <f>IF('数据-取费表'!B10="住宅",IF(B1="仅计算典型户型",'数据-取费表'!E5,'数据-取费表'!B5),0)</f>
        <v>51.99</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51.99</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210222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210222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107177</v>
      </c>
      <c r="D33" s="184"/>
      <c r="E33" s="1534"/>
      <c r="F33" s="192"/>
      <c r="G33" s="185"/>
    </row>
    <row r="34" spans="1:7" s="207" customFormat="1" ht="13.5" customHeight="1">
      <c r="A34" s="177" t="s">
        <v>2045</v>
      </c>
      <c r="B34" s="178" t="s">
        <v>2067</v>
      </c>
      <c r="C34" s="200">
        <f>IF(B1="仅计算典型户型",'数据-取费表'!F18,'数据-取费表'!E18)</f>
        <v>88383</v>
      </c>
      <c r="D34" s="1535"/>
      <c r="E34" s="200"/>
      <c r="F34" s="1546" t="str">
        <f>IF('数据-取费表'!B25=0,"",'数据-取费表'!E20)</f>
        <v/>
      </c>
      <c r="G34" s="180"/>
    </row>
    <row r="35" spans="1:7" ht="13.5" customHeight="1">
      <c r="A35" s="177" t="s">
        <v>2019</v>
      </c>
      <c r="B35" s="178" t="s">
        <v>2068</v>
      </c>
      <c r="C35" s="200">
        <f>ROUND(C34*F35,0)</f>
        <v>2651</v>
      </c>
      <c r="D35" s="200"/>
      <c r="E35" s="200"/>
      <c r="F35" s="1547">
        <f>'数据-取费表'!E21</f>
        <v>0.03</v>
      </c>
      <c r="G35" s="180" t="s">
        <v>2069</v>
      </c>
    </row>
    <row r="36" spans="1:7" ht="24">
      <c r="A36" s="177" t="s">
        <v>2021</v>
      </c>
      <c r="B36" s="178" t="s">
        <v>2070</v>
      </c>
      <c r="C36" s="200">
        <f>ROUND(IF('数据-取费表'!B10="住宅",C34*F36,0),0)</f>
        <v>4419</v>
      </c>
      <c r="D36" s="200"/>
      <c r="E36" s="200"/>
      <c r="F36" s="1547">
        <f>'数据-取费表'!E22</f>
        <v>0.05</v>
      </c>
      <c r="G36" s="208" t="s">
        <v>2071</v>
      </c>
    </row>
    <row r="37" spans="1:7" s="207" customFormat="1" ht="13.5" customHeight="1">
      <c r="A37" s="177" t="s">
        <v>2052</v>
      </c>
      <c r="B37" s="178" t="s">
        <v>2072</v>
      </c>
      <c r="C37" s="200">
        <f>ROUND(E37*D37,0)</f>
        <v>10398</v>
      </c>
      <c r="D37" s="1535">
        <f>IF(B1="仅计算典型户型",'数据-取费表'!E5,'数据-取费表'!B5)</f>
        <v>51.99</v>
      </c>
      <c r="E37" s="200">
        <f>'数据-取费表'!E23</f>
        <v>200</v>
      </c>
      <c r="F37" s="1547"/>
      <c r="G37" s="209" t="s">
        <v>2073</v>
      </c>
    </row>
    <row r="38" spans="1:7" ht="13.5" customHeight="1">
      <c r="A38" s="177" t="s">
        <v>2074</v>
      </c>
      <c r="B38" s="178" t="s">
        <v>2075</v>
      </c>
      <c r="C38" s="200">
        <f>ROUND(C34*F38,0)</f>
        <v>1326</v>
      </c>
      <c r="D38" s="200"/>
      <c r="E38" s="200"/>
      <c r="F38" s="1547">
        <f>'数据-取费表'!E24</f>
        <v>1.4999999999999999E-2</v>
      </c>
      <c r="G38" s="180" t="s">
        <v>2069</v>
      </c>
    </row>
    <row r="39" spans="1:7" s="176" customFormat="1" ht="13.5" customHeight="1">
      <c r="A39" s="205" t="s">
        <v>2034</v>
      </c>
      <c r="B39" s="174" t="s">
        <v>2037</v>
      </c>
      <c r="C39" s="184">
        <f>ROUND(C33*F20,0)</f>
        <v>2144</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2378</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2331</v>
      </c>
      <c r="D42" s="189"/>
      <c r="E42" s="189"/>
      <c r="F42" s="190"/>
      <c r="G42" s="2991" t="s">
        <v>2079</v>
      </c>
    </row>
    <row r="43" spans="1:7" ht="13.5" customHeight="1">
      <c r="A43" s="177" t="s">
        <v>2019</v>
      </c>
      <c r="B43" s="178" t="s">
        <v>2048</v>
      </c>
      <c r="C43" s="189">
        <f ca="1">ROUND(IF('数据-取费表'!B23&lt;=1,C39*F22*'数据-取费表'!B22/2,C39*(POWER((1+F22),'数据-取费表'!B22/2)-1)),0)</f>
        <v>47</v>
      </c>
      <c r="D43" s="189"/>
      <c r="E43" s="189"/>
      <c r="F43" s="190"/>
      <c r="G43" s="2992"/>
    </row>
    <row r="44" spans="1:7" ht="13.5" customHeight="1">
      <c r="A44" s="177" t="s">
        <v>2021</v>
      </c>
      <c r="B44" s="178" t="s">
        <v>2050</v>
      </c>
      <c r="C44" s="189">
        <f ca="1">ROUND(IF('数据-取费表'!B23&lt;=1,C40*F22*'数据-取费表'!B22/2,C40*(POWER((1+F22),'数据-取费表'!B22/2)-1)),4)</f>
        <v>4.0000000000000002E-4</v>
      </c>
      <c r="D44" s="189"/>
      <c r="E44" s="189"/>
      <c r="F44" s="190"/>
      <c r="G44" s="2993"/>
    </row>
    <row r="45" spans="1:7" s="176" customFormat="1" ht="13.5" customHeight="1">
      <c r="A45" s="205" t="s">
        <v>2043</v>
      </c>
      <c r="B45" s="195" t="s">
        <v>2055</v>
      </c>
      <c r="C45" s="196">
        <f>C46</f>
        <v>21864</v>
      </c>
      <c r="D45" s="186">
        <f>C47</f>
        <v>4.0000000000000001E-3</v>
      </c>
      <c r="E45" s="187" t="s">
        <v>2077</v>
      </c>
      <c r="F45" s="197"/>
      <c r="G45" s="198" t="s">
        <v>2080</v>
      </c>
    </row>
    <row r="46" spans="1:7" s="176" customFormat="1" ht="13.5" customHeight="1">
      <c r="A46" s="177" t="s">
        <v>2045</v>
      </c>
      <c r="B46" s="199" t="s">
        <v>2081</v>
      </c>
      <c r="C46" s="200">
        <f>ROUND((C33+C39)*F27,0)</f>
        <v>21864</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144815</v>
      </c>
      <c r="D49" s="184"/>
      <c r="E49" s="184"/>
      <c r="F49" s="211"/>
      <c r="G49" s="185" t="s">
        <v>2087</v>
      </c>
    </row>
    <row r="50" spans="1:7" s="207" customFormat="1" ht="24">
      <c r="A50" s="1307" t="s">
        <v>2088</v>
      </c>
      <c r="B50" s="174" t="s">
        <v>2089</v>
      </c>
      <c r="C50" s="184"/>
      <c r="D50" s="184"/>
      <c r="E50" s="184"/>
      <c r="F50" s="211">
        <f>IF('数据-取费表'!B25=0,'数据-取费表'!E20,1)</f>
        <v>0.72</v>
      </c>
      <c r="G50" s="198" t="s">
        <v>2090</v>
      </c>
    </row>
    <row r="51" spans="1:7" ht="16.5" customHeight="1">
      <c r="A51" s="1307" t="s">
        <v>2091</v>
      </c>
      <c r="B51" s="174" t="s">
        <v>2092</v>
      </c>
      <c r="C51" s="184">
        <f ca="1">ROUND(C49*F50,0)</f>
        <v>104267</v>
      </c>
      <c r="D51" s="184"/>
      <c r="E51" s="184"/>
      <c r="F51" s="211"/>
      <c r="G51" s="185" t="s">
        <v>2093</v>
      </c>
    </row>
    <row r="52" spans="1:7" s="173" customFormat="1" ht="16.5" thickBot="1">
      <c r="A52" s="212" t="s">
        <v>2094</v>
      </c>
      <c r="B52" s="213"/>
      <c r="C52" s="214">
        <f ca="1">C31+C51</f>
        <v>1520950</v>
      </c>
      <c r="D52" s="213"/>
      <c r="E52" s="213"/>
      <c r="F52" s="213"/>
      <c r="G52" s="215"/>
    </row>
    <row r="55" spans="1:7" ht="15">
      <c r="B55" s="217" t="s">
        <v>2095</v>
      </c>
      <c r="C55" s="218"/>
    </row>
    <row r="56" spans="1:7">
      <c r="B56" s="220" t="s">
        <v>2096</v>
      </c>
      <c r="C56" s="221">
        <f ca="1">ROUND(C51/C52,3)</f>
        <v>6.9000000000000006E-2</v>
      </c>
    </row>
    <row r="57" spans="1:7">
      <c r="B57" s="220" t="s">
        <v>2097</v>
      </c>
      <c r="C57" s="222">
        <f ca="1">1-C56</f>
        <v>0.93100000000000005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0.28000000000000003</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6" zoomScale="90" zoomScaleNormal="90" zoomScaleSheetLayoutView="100" workbookViewId="0">
      <selection sqref="A1:F4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1755472</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33766</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45660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45600</v>
      </c>
      <c r="D6" s="81" t="s">
        <v>2806</v>
      </c>
      <c r="E6" s="320" t="s">
        <v>2110</v>
      </c>
      <c r="F6" s="321">
        <f>'数据-取费表'!B29</f>
        <v>4000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60</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104267</v>
      </c>
      <c r="D13" s="1424" t="s">
        <v>2125</v>
      </c>
      <c r="E13" s="1424" t="s">
        <v>2126</v>
      </c>
      <c r="F13" s="1425">
        <f>'数据-取费表'!E20</f>
        <v>0.72</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88383</v>
      </c>
      <c r="D14" s="1894" t="s">
        <v>2129</v>
      </c>
      <c r="E14" s="1895"/>
      <c r="F14" s="980"/>
      <c r="G14" s="1241"/>
      <c r="H14" s="338" t="s">
        <v>2108</v>
      </c>
      <c r="I14" s="320" t="s">
        <v>2130</v>
      </c>
      <c r="J14" s="14">
        <f ca="1">C29</f>
        <v>144815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2651</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4419</v>
      </c>
      <c r="D16" s="320" t="s">
        <v>2133</v>
      </c>
      <c r="E16" s="320" t="s">
        <v>2134</v>
      </c>
      <c r="F16" s="343">
        <f>IF('数据-取费表'!B10="住宅",'数据-取费表'!E22,0)</f>
        <v>0.05</v>
      </c>
      <c r="G16" s="1241"/>
      <c r="H16" s="1422" t="s">
        <v>14</v>
      </c>
      <c r="I16" s="1423" t="s">
        <v>2139</v>
      </c>
      <c r="J16" s="328">
        <f ca="1">ROUND(J17+J22+J23+J24,0)</f>
        <v>1448</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10398</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1326</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107177</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2144</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1448</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2378</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-1448</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21864</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144815</v>
      </c>
      <c r="D29" s="1435"/>
      <c r="E29" s="1433"/>
      <c r="F29" s="1436"/>
      <c r="G29" s="792"/>
      <c r="H29" s="357" t="s">
        <v>24</v>
      </c>
      <c r="I29" s="358" t="s">
        <v>2204</v>
      </c>
      <c r="J29" s="359">
        <f ca="1">ROUND(J26/(1+F40)^F41,0)</f>
        <v>0</v>
      </c>
      <c r="K29" s="360" t="s">
        <v>2205</v>
      </c>
      <c r="L29" s="361"/>
      <c r="M29" s="362">
        <f>IF(D1="仅计算典型户型",'数据-取费表'!E5,'数据-取费表'!B5)</f>
        <v>51.99</v>
      </c>
    </row>
    <row r="30" spans="1:37" ht="18" customHeight="1" thickTop="1">
      <c r="A30" s="1422" t="s">
        <v>14</v>
      </c>
      <c r="B30" s="1423" t="s">
        <v>2206</v>
      </c>
      <c r="C30" s="328">
        <f ca="1">ROUND(C31+C36+C37+C38,0)</f>
        <v>4292</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2283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8341</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1448</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104</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457</v>
      </c>
      <c r="D38" s="1435" t="s">
        <v>2181</v>
      </c>
      <c r="E38" s="1433" t="s">
        <v>2177</v>
      </c>
      <c r="F38" s="1428">
        <f>'数据-取费表'!B46</f>
        <v>0.01</v>
      </c>
      <c r="G38" s="792"/>
      <c r="H38" s="1232"/>
      <c r="I38" s="366" t="s">
        <v>2219</v>
      </c>
      <c r="J38" s="221">
        <f ca="1">ROUND(J34/C39,3)</f>
        <v>0.20200000000000001</v>
      </c>
      <c r="K38" s="1237"/>
      <c r="L38" s="1232"/>
      <c r="M38" s="1232"/>
    </row>
    <row r="39" spans="1:18" ht="18" customHeight="1" thickTop="1">
      <c r="A39" s="1422" t="s">
        <v>22</v>
      </c>
      <c r="B39" s="1437" t="s">
        <v>2220</v>
      </c>
      <c r="C39" s="328">
        <f ca="1">C5-C30</f>
        <v>41368</v>
      </c>
      <c r="D39" s="1438" t="s">
        <v>2221</v>
      </c>
      <c r="E39" s="1439"/>
      <c r="F39" s="1440"/>
      <c r="G39" s="792"/>
      <c r="H39" s="1232"/>
      <c r="I39" s="366" t="s">
        <v>2222</v>
      </c>
      <c r="J39" s="221">
        <f ca="1">1-J38</f>
        <v>0.79800000000000004</v>
      </c>
      <c r="K39" s="1237"/>
      <c r="L39" s="1232"/>
      <c r="M39" s="1232"/>
    </row>
    <row r="40" spans="1:18" s="792" customFormat="1" ht="18" customHeight="1">
      <c r="A40" s="317" t="s">
        <v>23</v>
      </c>
      <c r="B40" s="318" t="s">
        <v>2223</v>
      </c>
      <c r="C40" s="319">
        <f ca="1">ROUND(C39*(1-((1+F42)/(1+F40))^F41)/(F40-F42),0)</f>
        <v>1755472</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70</v>
      </c>
      <c r="H41" s="1239"/>
      <c r="I41" s="220" t="s">
        <v>2096</v>
      </c>
      <c r="J41" s="221">
        <f ca="1">ROUND(C13/C40,3)</f>
        <v>5.8999999999999997E-2</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0.94100000000000006</v>
      </c>
      <c r="K42" s="1236"/>
      <c r="L42" s="1239"/>
      <c r="M42" s="1239"/>
      <c r="Q42" s="796"/>
    </row>
    <row r="43" spans="1:18" s="792" customFormat="1" ht="18" customHeight="1" thickBot="1">
      <c r="A43" s="357" t="s">
        <v>24</v>
      </c>
      <c r="B43" s="358" t="s">
        <v>2226</v>
      </c>
      <c r="C43" s="359">
        <f ca="1">ROUND(C40/F43,0)</f>
        <v>33766</v>
      </c>
      <c r="D43" s="360" t="s">
        <v>2227</v>
      </c>
      <c r="E43" s="361" t="s">
        <v>2228</v>
      </c>
      <c r="F43" s="362">
        <f>IF(D1="仅计算典型户型",'数据-取费表'!E5,'数据-取费表'!B5)</f>
        <v>51.99</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1755472</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-1788378</v>
      </c>
      <c r="D47" s="2351" t="str">
        <f>C2</f>
        <v>元</v>
      </c>
      <c r="E47" s="777"/>
      <c r="F47" s="777"/>
      <c r="I47" s="2352" t="s">
        <v>2239</v>
      </c>
      <c r="J47" s="1345"/>
      <c r="K47" s="1346"/>
      <c r="L47" s="1359">
        <f>IF(M48="住宅",0,IF(L49&gt;J52,L61,J61))</f>
        <v>0</v>
      </c>
      <c r="O47" s="1373" t="s">
        <v>960</v>
      </c>
      <c r="P47" s="1370" t="s">
        <v>2240</v>
      </c>
      <c r="Q47" s="1371">
        <f ca="1">C29</f>
        <v>144815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70</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1998</v>
      </c>
      <c r="K50" s="2360" t="s">
        <v>2256</v>
      </c>
      <c r="L50" s="1348"/>
      <c r="O50" s="1373" t="s">
        <v>963</v>
      </c>
      <c r="P50" s="1370" t="s">
        <v>2257</v>
      </c>
      <c r="Q50" s="1371">
        <f>J54</f>
        <v>-19</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1755472</v>
      </c>
      <c r="R51" s="1372" t="s">
        <v>965</v>
      </c>
    </row>
    <row r="52" spans="1:18" s="792" customFormat="1" ht="16.5" thickBot="1">
      <c r="A52" s="322"/>
      <c r="B52" s="323"/>
      <c r="C52" s="324"/>
      <c r="D52" s="325"/>
      <c r="E52" s="320" t="s">
        <v>2113</v>
      </c>
      <c r="F52" s="321">
        <f>F8</f>
        <v>12</v>
      </c>
      <c r="I52" s="2361" t="s">
        <v>2261</v>
      </c>
      <c r="J52" s="1350">
        <f>IF(J50="",J51,J50+J51-YEAR('数据-取费表'!B2))</f>
        <v>-19</v>
      </c>
      <c r="K52" s="2362" t="s">
        <v>2262</v>
      </c>
      <c r="L52" s="1351">
        <f ca="1">ROUND(-PV('数据-取费表'!B15,L49,(C40-C13*J35)),0)</f>
        <v>40873274</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-19</v>
      </c>
      <c r="K54" s="2994" t="s">
        <v>2805</v>
      </c>
      <c r="L54" s="2995"/>
      <c r="O54" s="1369" t="s">
        <v>958</v>
      </c>
      <c r="P54" s="1370" t="s">
        <v>2234</v>
      </c>
      <c r="Q54" s="1371">
        <f ca="1">C40+J29</f>
        <v>1755472</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104267</v>
      </c>
      <c r="D57" s="1296"/>
      <c r="E57" s="1297"/>
      <c r="F57" s="1304"/>
      <c r="I57" s="2371" t="s">
        <v>2272</v>
      </c>
      <c r="J57" s="1357" t="s">
        <v>2871</v>
      </c>
      <c r="K57" s="2356" t="s">
        <v>2273</v>
      </c>
      <c r="L57" s="1129">
        <f>IF(L49&lt;J52,"——",L49-J52)</f>
        <v>89</v>
      </c>
      <c r="O57" s="1373" t="s">
        <v>961</v>
      </c>
      <c r="P57" s="1370" t="s">
        <v>2274</v>
      </c>
      <c r="Q57" s="1374">
        <f>L53</f>
        <v>0</v>
      </c>
      <c r="R57" s="1372"/>
    </row>
    <row r="58" spans="1:18" s="792" customFormat="1" ht="29.25" thickBot="1">
      <c r="A58" s="1303"/>
      <c r="B58" s="320" t="s">
        <v>2203</v>
      </c>
      <c r="C58" s="189">
        <f ca="1">C29</f>
        <v>144815</v>
      </c>
      <c r="D58" s="1296"/>
      <c r="E58" s="1297"/>
      <c r="F58" s="1304"/>
      <c r="I58" s="2372" t="s">
        <v>2275</v>
      </c>
      <c r="J58" s="1356" t="str">
        <f>IF(OR(M48="住宅",J52&lt;L49,J57="是"),"——",J52-L49)</f>
        <v>——</v>
      </c>
      <c r="K58" s="2356" t="s">
        <v>2276</v>
      </c>
      <c r="L58" s="1129">
        <f ca="1">IF(L49&lt;J52,"——",IF(L56="比较法",L50,IF(L56="基准地价",L51,L52)))</f>
        <v>40873274</v>
      </c>
      <c r="O58" s="1373" t="s">
        <v>962</v>
      </c>
      <c r="P58" s="1370" t="s">
        <v>2277</v>
      </c>
      <c r="Q58" s="1371" t="e">
        <f>L59</f>
        <v>#DIV/0!</v>
      </c>
      <c r="R58" s="1372" t="s">
        <v>2278</v>
      </c>
    </row>
    <row r="59" spans="1:18" s="792" customFormat="1" ht="29.25" thickBot="1">
      <c r="A59" s="333" t="s">
        <v>14</v>
      </c>
      <c r="B59" s="334" t="s">
        <v>2206</v>
      </c>
      <c r="C59" s="335">
        <f ca="1">ROUND(C60+C65+C66+C67,0)</f>
        <v>1552</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1755472</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1755472</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1448</v>
      </c>
      <c r="D65" s="1899" t="s">
        <v>2216</v>
      </c>
      <c r="E65" s="320" t="s">
        <v>2160</v>
      </c>
      <c r="F65" s="351">
        <f t="shared" si="0"/>
        <v>0.01</v>
      </c>
      <c r="I65" s="2375" t="s">
        <v>2297</v>
      </c>
      <c r="J65" s="1880">
        <v>50</v>
      </c>
      <c r="K65" s="1880">
        <v>35</v>
      </c>
      <c r="L65" s="1880">
        <v>60</v>
      </c>
      <c r="M65" s="1879">
        <v>0</v>
      </c>
      <c r="O65" s="1373" t="s">
        <v>960</v>
      </c>
      <c r="P65" s="1370" t="s">
        <v>2271</v>
      </c>
      <c r="Q65" s="1375">
        <f ca="1">L52</f>
        <v>40873274</v>
      </c>
      <c r="R65" s="1376" t="s">
        <v>2298</v>
      </c>
    </row>
    <row r="66" spans="1:18" s="792" customFormat="1" ht="20.25" thickBot="1">
      <c r="A66" s="338" t="s">
        <v>20</v>
      </c>
      <c r="B66" s="320" t="s">
        <v>2175</v>
      </c>
      <c r="C66" s="14">
        <f ca="1">ROUND(C57*F66,0)</f>
        <v>104</v>
      </c>
      <c r="D66" s="1899" t="s">
        <v>2176</v>
      </c>
      <c r="E66" s="320" t="s">
        <v>2177</v>
      </c>
      <c r="F66" s="352">
        <f t="shared" si="0"/>
        <v>1E-3</v>
      </c>
      <c r="I66" s="2375" t="s">
        <v>2299</v>
      </c>
      <c r="J66" s="1880">
        <v>40</v>
      </c>
      <c r="K66" s="1880">
        <v>30</v>
      </c>
      <c r="L66" s="1880">
        <v>50</v>
      </c>
      <c r="M66" s="1878">
        <v>0.02</v>
      </c>
      <c r="O66" s="1373" t="s">
        <v>961</v>
      </c>
      <c r="P66" s="1377" t="s">
        <v>2300</v>
      </c>
      <c r="Q66" s="1371">
        <f ca="1">ROUND(Q67-Q68*Q69,0)</f>
        <v>33027</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41368</v>
      </c>
      <c r="R67" s="1372" t="s">
        <v>2235</v>
      </c>
    </row>
    <row r="68" spans="1:18" ht="15.75" thickBot="1">
      <c r="A68" s="333" t="s">
        <v>22</v>
      </c>
      <c r="B68" s="90" t="s">
        <v>2185</v>
      </c>
      <c r="C68" s="335">
        <f ca="1">C49-C59</f>
        <v>-1552</v>
      </c>
      <c r="D68" s="1894" t="s">
        <v>2186</v>
      </c>
      <c r="E68" s="1898"/>
      <c r="F68" s="354"/>
      <c r="H68" s="792"/>
      <c r="I68" s="792"/>
      <c r="J68" s="792"/>
      <c r="K68" s="792"/>
      <c r="L68" s="792"/>
      <c r="M68" s="792"/>
      <c r="O68" s="1373" t="s">
        <v>967</v>
      </c>
      <c r="P68" s="1377" t="s">
        <v>2302</v>
      </c>
      <c r="Q68" s="1371">
        <f ca="1">C13</f>
        <v>104267</v>
      </c>
      <c r="R68" s="1372" t="s">
        <v>2235</v>
      </c>
    </row>
    <row r="69" spans="1:18" ht="15.75" thickBot="1">
      <c r="A69" s="317" t="s">
        <v>23</v>
      </c>
      <c r="B69" s="318" t="s">
        <v>2223</v>
      </c>
      <c r="C69" s="319">
        <f ca="1">ROUND(C68*(1-((1+F71)/(1+F69))^F70)/(F69-F71),0)</f>
        <v>-32906</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70</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-633</v>
      </c>
      <c r="D72" s="360" t="s">
        <v>2227</v>
      </c>
      <c r="E72" s="361" t="s">
        <v>2228</v>
      </c>
      <c r="F72" s="362">
        <f>F43</f>
        <v>51.99</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1755472</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2" t="s">
        <v>1025</v>
      </c>
      <c r="B1" s="3013"/>
      <c r="C1" s="3014"/>
      <c r="D1" s="3015">
        <f>SUM(I10,I15,I20,I21,I23)</f>
        <v>0</v>
      </c>
      <c r="E1" s="3015"/>
      <c r="F1" s="3015"/>
      <c r="G1" s="3015"/>
      <c r="H1" s="3015"/>
      <c r="I1" s="3016"/>
    </row>
    <row r="2" spans="1:9">
      <c r="A2" s="3002" t="s">
        <v>1026</v>
      </c>
      <c r="B2" s="3003" t="s">
        <v>975</v>
      </c>
      <c r="C2" s="3003"/>
      <c r="D2" s="1391" t="s">
        <v>976</v>
      </c>
      <c r="E2" s="1391" t="s">
        <v>977</v>
      </c>
      <c r="F2" s="1391" t="s">
        <v>978</v>
      </c>
      <c r="G2" s="1391" t="s">
        <v>979</v>
      </c>
      <c r="H2" s="1391" t="s">
        <v>980</v>
      </c>
      <c r="I2" s="1392" t="s">
        <v>981</v>
      </c>
    </row>
    <row r="3" spans="1:9">
      <c r="A3" s="3002"/>
      <c r="B3" s="3003" t="s">
        <v>982</v>
      </c>
      <c r="C3" s="3003"/>
      <c r="D3" s="1393"/>
      <c r="E3" s="1391"/>
      <c r="F3" s="1394"/>
      <c r="G3" s="1394"/>
      <c r="H3" s="1395"/>
      <c r="I3" s="1396">
        <f>ROUND(D3*E3*F3*G3*H3/10000,0)</f>
        <v>0</v>
      </c>
    </row>
    <row r="4" spans="1:9">
      <c r="A4" s="3002"/>
      <c r="B4" s="3003" t="s">
        <v>983</v>
      </c>
      <c r="C4" s="3003"/>
      <c r="D4" s="1393"/>
      <c r="E4" s="1391"/>
      <c r="F4" s="1394"/>
      <c r="G4" s="1394"/>
      <c r="H4" s="1395"/>
      <c r="I4" s="1396">
        <f t="shared" ref="I4:I9" si="0">ROUND(D4*E4*F4*G4*H4/10000,0)</f>
        <v>0</v>
      </c>
    </row>
    <row r="5" spans="1:9">
      <c r="A5" s="3002"/>
      <c r="B5" s="3003" t="s">
        <v>984</v>
      </c>
      <c r="C5" s="3003"/>
      <c r="D5" s="1393"/>
      <c r="E5" s="1391"/>
      <c r="F5" s="1394"/>
      <c r="G5" s="1394"/>
      <c r="H5" s="1395"/>
      <c r="I5" s="1396">
        <f t="shared" si="0"/>
        <v>0</v>
      </c>
    </row>
    <row r="6" spans="1:9">
      <c r="A6" s="3002"/>
      <c r="B6" s="3003" t="s">
        <v>985</v>
      </c>
      <c r="C6" s="3003"/>
      <c r="D6" s="1393"/>
      <c r="E6" s="1391"/>
      <c r="F6" s="1394"/>
      <c r="G6" s="1394"/>
      <c r="H6" s="1395"/>
      <c r="I6" s="1396">
        <f t="shared" si="0"/>
        <v>0</v>
      </c>
    </row>
    <row r="7" spans="1:9">
      <c r="A7" s="3002"/>
      <c r="B7" s="3003" t="s">
        <v>986</v>
      </c>
      <c r="C7" s="3003"/>
      <c r="D7" s="1393"/>
      <c r="E7" s="1391"/>
      <c r="F7" s="1394"/>
      <c r="G7" s="1394"/>
      <c r="H7" s="1395"/>
      <c r="I7" s="1396">
        <f t="shared" si="0"/>
        <v>0</v>
      </c>
    </row>
    <row r="8" spans="1:9">
      <c r="A8" s="3002"/>
      <c r="B8" s="3003" t="s">
        <v>987</v>
      </c>
      <c r="C8" s="3003"/>
      <c r="D8" s="1393"/>
      <c r="E8" s="1391"/>
      <c r="F8" s="1394"/>
      <c r="G8" s="1394"/>
      <c r="H8" s="1395"/>
      <c r="I8" s="1396">
        <f t="shared" si="0"/>
        <v>0</v>
      </c>
    </row>
    <row r="9" spans="1:9">
      <c r="A9" s="3002"/>
      <c r="B9" s="3003" t="s">
        <v>988</v>
      </c>
      <c r="C9" s="3003"/>
      <c r="D9" s="1393"/>
      <c r="E9" s="1391"/>
      <c r="F9" s="1394"/>
      <c r="G9" s="1394"/>
      <c r="H9" s="1395"/>
      <c r="I9" s="1396">
        <f t="shared" si="0"/>
        <v>0</v>
      </c>
    </row>
    <row r="10" spans="1:9">
      <c r="A10" s="3002"/>
      <c r="B10" s="3004" t="s">
        <v>989</v>
      </c>
      <c r="C10" s="3004"/>
      <c r="D10" s="1397">
        <v>527</v>
      </c>
      <c r="E10" s="1397" t="e">
        <f>ROUND(D1*10000/D10/H9,0)</f>
        <v>#DIV/0!</v>
      </c>
      <c r="F10" s="1398"/>
      <c r="G10" s="1398"/>
      <c r="H10" s="1399"/>
      <c r="I10" s="1400">
        <f>SUM(I3:I9)</f>
        <v>0</v>
      </c>
    </row>
    <row r="11" spans="1:9" ht="14.25">
      <c r="A11" s="3002" t="s">
        <v>1027</v>
      </c>
      <c r="B11" s="3003" t="s">
        <v>990</v>
      </c>
      <c r="C11" s="3003"/>
      <c r="D11" s="1393" t="s">
        <v>991</v>
      </c>
      <c r="E11" s="1393" t="s">
        <v>992</v>
      </c>
      <c r="F11" s="1394" t="s">
        <v>993</v>
      </c>
      <c r="G11" s="1394" t="s">
        <v>980</v>
      </c>
      <c r="H11" s="1401" t="s">
        <v>994</v>
      </c>
      <c r="I11" s="1392" t="s">
        <v>981</v>
      </c>
    </row>
    <row r="12" spans="1:9">
      <c r="A12" s="3002"/>
      <c r="B12" s="3003" t="s">
        <v>995</v>
      </c>
      <c r="C12" s="3003"/>
      <c r="D12" s="1393"/>
      <c r="E12" s="1393"/>
      <c r="F12" s="1394"/>
      <c r="G12" s="1395"/>
      <c r="H12" s="1402"/>
      <c r="I12" s="1392">
        <f>ROUND(D12*E12*F12*G12/10000,0)</f>
        <v>0</v>
      </c>
    </row>
    <row r="13" spans="1:9">
      <c r="A13" s="3002"/>
      <c r="B13" s="3003" t="s">
        <v>996</v>
      </c>
      <c r="C13" s="3003"/>
      <c r="D13" s="1393"/>
      <c r="E13" s="1393"/>
      <c r="F13" s="1394"/>
      <c r="G13" s="1395"/>
      <c r="H13" s="1402"/>
      <c r="I13" s="1392">
        <f>ROUND(D13*E13*F13*G13/10000,0)</f>
        <v>0</v>
      </c>
    </row>
    <row r="14" spans="1:9">
      <c r="A14" s="3002"/>
      <c r="B14" s="3003" t="s">
        <v>997</v>
      </c>
      <c r="C14" s="3003"/>
      <c r="D14" s="1393"/>
      <c r="E14" s="1393"/>
      <c r="F14" s="1394"/>
      <c r="G14" s="1395"/>
      <c r="H14" s="1402"/>
      <c r="I14" s="1392">
        <f>ROUND(D14*E14*F14*G14/10000,0)</f>
        <v>0</v>
      </c>
    </row>
    <row r="15" spans="1:9">
      <c r="A15" s="3002"/>
      <c r="B15" s="3004" t="s">
        <v>989</v>
      </c>
      <c r="C15" s="3004"/>
      <c r="D15" s="1397"/>
      <c r="E15" s="1397">
        <f>SUM(E12:E14)</f>
        <v>0</v>
      </c>
      <c r="F15" s="1398"/>
      <c r="G15" s="1395"/>
      <c r="H15" s="1402"/>
      <c r="I15" s="1403">
        <f>SUM(I12:I14)</f>
        <v>0</v>
      </c>
    </row>
    <row r="16" spans="1:9" ht="24">
      <c r="A16" s="3002" t="s">
        <v>1028</v>
      </c>
      <c r="B16" s="3003" t="s">
        <v>998</v>
      </c>
      <c r="C16" s="3003"/>
      <c r="D16" s="1393" t="s">
        <v>976</v>
      </c>
      <c r="E16" s="1404" t="s">
        <v>999</v>
      </c>
      <c r="F16" s="1394" t="s">
        <v>1000</v>
      </c>
      <c r="G16" s="1395" t="s">
        <v>980</v>
      </c>
      <c r="H16" s="1401" t="s">
        <v>994</v>
      </c>
      <c r="I16" s="1392" t="s">
        <v>981</v>
      </c>
    </row>
    <row r="17" spans="1:9" ht="14.25">
      <c r="A17" s="3002"/>
      <c r="B17" s="3003" t="s">
        <v>1001</v>
      </c>
      <c r="C17" s="3003"/>
      <c r="D17" s="1393"/>
      <c r="E17" s="1393"/>
      <c r="F17" s="1394"/>
      <c r="G17" s="1395"/>
      <c r="H17" s="1405"/>
      <c r="I17" s="1406">
        <f>ROUND(D17*E17*F17*G17/10000,0)</f>
        <v>0</v>
      </c>
    </row>
    <row r="18" spans="1:9" ht="14.25">
      <c r="A18" s="3002"/>
      <c r="B18" s="3003" t="s">
        <v>1002</v>
      </c>
      <c r="C18" s="3003"/>
      <c r="D18" s="1393"/>
      <c r="E18" s="1393"/>
      <c r="F18" s="1394"/>
      <c r="G18" s="1395"/>
      <c r="H18" s="1405"/>
      <c r="I18" s="1406">
        <f>ROUND(D18*E18*F18*G18/10000,0)</f>
        <v>0</v>
      </c>
    </row>
    <row r="19" spans="1:9" ht="14.25">
      <c r="A19" s="3002"/>
      <c r="B19" s="3003" t="s">
        <v>1003</v>
      </c>
      <c r="C19" s="3003"/>
      <c r="D19" s="1393"/>
      <c r="E19" s="1393"/>
      <c r="F19" s="1394"/>
      <c r="G19" s="1395"/>
      <c r="H19" s="1405"/>
      <c r="I19" s="1406">
        <f>ROUND(D19*E19*F19*G19/10000,0)</f>
        <v>0</v>
      </c>
    </row>
    <row r="20" spans="1:9">
      <c r="A20" s="3002"/>
      <c r="B20" s="3004" t="s">
        <v>989</v>
      </c>
      <c r="C20" s="3004"/>
      <c r="D20" s="1397">
        <f>SUM(D17:D19)</f>
        <v>0</v>
      </c>
      <c r="E20" s="1397"/>
      <c r="F20" s="1398"/>
      <c r="G20" s="1395"/>
      <c r="H20" s="1402"/>
      <c r="I20" s="1403">
        <f>SUM(I17:I19)</f>
        <v>0</v>
      </c>
    </row>
    <row r="21" spans="1:9">
      <c r="A21" s="3002" t="s">
        <v>1029</v>
      </c>
      <c r="B21" s="3005"/>
      <c r="C21" s="3005"/>
      <c r="D21" s="3005"/>
      <c r="E21" s="3005"/>
      <c r="F21" s="3005"/>
      <c r="G21" s="3005"/>
      <c r="H21" s="1407">
        <v>0.1</v>
      </c>
      <c r="I21" s="1400">
        <f>ROUND(I10*H21,0)</f>
        <v>0</v>
      </c>
    </row>
    <row r="22" spans="1:9" ht="14.25">
      <c r="A22" s="3006" t="s">
        <v>1030</v>
      </c>
      <c r="B22" s="3007"/>
      <c r="C22" s="3008"/>
      <c r="D22" s="1408" t="s">
        <v>1004</v>
      </c>
      <c r="E22" s="1408" t="s">
        <v>1005</v>
      </c>
      <c r="F22" s="1409" t="s">
        <v>980</v>
      </c>
      <c r="G22" s="1409" t="s">
        <v>1006</v>
      </c>
      <c r="H22" s="1401" t="s">
        <v>994</v>
      </c>
      <c r="I22" s="1392" t="s">
        <v>981</v>
      </c>
    </row>
    <row r="23" spans="1:9" ht="14.25" thickBot="1">
      <c r="A23" s="3009"/>
      <c r="B23" s="3010"/>
      <c r="C23" s="3011"/>
      <c r="D23" s="1410"/>
      <c r="E23" s="1410"/>
      <c r="F23" s="1410"/>
      <c r="G23" s="1411"/>
      <c r="H23" s="1412"/>
      <c r="I23" s="1413">
        <f>ROUND(E23*D23*F23*(1-G23)/10000,0)</f>
        <v>0</v>
      </c>
    </row>
    <row r="26" spans="1:9">
      <c r="A26" s="1414" t="s">
        <v>1007</v>
      </c>
      <c r="B26" s="1414"/>
      <c r="C26" s="1414"/>
      <c r="D26" s="1414"/>
      <c r="E26" s="2999">
        <f>C27-C30-C31-C32</f>
        <v>0</v>
      </c>
      <c r="F26" s="2999"/>
      <c r="G26" s="2999"/>
      <c r="H26" s="1835" t="s">
        <v>1223</v>
      </c>
    </row>
    <row r="27" spans="1:9">
      <c r="A27" s="1415">
        <v>1</v>
      </c>
      <c r="B27" s="1416" t="s">
        <v>1008</v>
      </c>
      <c r="C27" s="1416">
        <f>C28+C29</f>
        <v>0</v>
      </c>
      <c r="D27" s="1416"/>
      <c r="E27" s="3000"/>
      <c r="F27" s="3000"/>
      <c r="G27" s="3000"/>
    </row>
    <row r="28" spans="1:9">
      <c r="A28" s="1417" t="s">
        <v>1009</v>
      </c>
      <c r="B28" s="1416" t="s">
        <v>1010</v>
      </c>
      <c r="C28" s="1416"/>
      <c r="D28" s="1416"/>
      <c r="E28" s="3000"/>
      <c r="F28" s="3000"/>
      <c r="G28" s="300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1"/>
      <c r="F32" s="3001"/>
      <c r="G32" s="3001"/>
    </row>
    <row r="33" spans="1:7" hidden="1">
      <c r="A33" s="2996" t="s">
        <v>1019</v>
      </c>
      <c r="B33" s="2997"/>
      <c r="C33" s="2997"/>
      <c r="D33" s="2998"/>
      <c r="E33" s="2999"/>
      <c r="F33" s="2999"/>
      <c r="G33" s="2999"/>
    </row>
    <row r="34" spans="1:7" hidden="1">
      <c r="A34" s="1419">
        <v>1</v>
      </c>
      <c r="B34" s="1416" t="s">
        <v>1020</v>
      </c>
      <c r="C34" s="1416"/>
      <c r="D34" s="1416"/>
      <c r="E34" s="3000"/>
      <c r="F34" s="3000"/>
      <c r="G34" s="3000"/>
    </row>
    <row r="35" spans="1:7" hidden="1">
      <c r="A35" s="1419">
        <v>2</v>
      </c>
      <c r="B35" s="1416" t="s">
        <v>1021</v>
      </c>
      <c r="C35" s="1416"/>
      <c r="D35" s="1416"/>
      <c r="E35" s="3000"/>
      <c r="F35" s="3000"/>
      <c r="G35" s="3000"/>
    </row>
    <row r="36" spans="1:7" hidden="1">
      <c r="A36" s="1419">
        <v>3</v>
      </c>
      <c r="B36" s="1416" t="s">
        <v>1022</v>
      </c>
      <c r="C36" s="1416"/>
      <c r="D36" s="1416"/>
      <c r="E36" s="3000"/>
      <c r="F36" s="3000"/>
      <c r="G36" s="3000"/>
    </row>
    <row r="37" spans="1:7" hidden="1">
      <c r="A37" s="1419">
        <v>4</v>
      </c>
      <c r="B37" s="1416" t="s">
        <v>1023</v>
      </c>
      <c r="C37" s="1416"/>
      <c r="D37" s="1416"/>
      <c r="E37" s="3000"/>
      <c r="F37" s="3000"/>
      <c r="G37" s="3000"/>
    </row>
    <row r="38" spans="1:7" hidden="1">
      <c r="A38" s="2996" t="s">
        <v>1024</v>
      </c>
      <c r="B38" s="2997"/>
      <c r="C38" s="2997"/>
      <c r="D38" s="2998"/>
      <c r="E38" s="2999"/>
      <c r="F38" s="2999"/>
      <c r="G38" s="299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0" t="s">
        <v>2309</v>
      </c>
      <c r="D4" s="3021"/>
      <c r="E4" s="3021"/>
      <c r="F4" s="3021"/>
      <c r="G4" s="3021"/>
      <c r="H4" s="3021"/>
      <c r="I4" s="3021"/>
      <c r="J4" s="3021"/>
      <c r="K4" s="3021"/>
      <c r="L4" s="3021"/>
      <c r="M4" s="3021"/>
      <c r="N4" s="3021"/>
      <c r="O4" s="3021"/>
      <c r="P4" s="3021"/>
      <c r="Q4" s="3021"/>
      <c r="R4" s="3021"/>
      <c r="S4" s="3022"/>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7" t="s">
        <v>45</v>
      </c>
      <c r="D25" s="3018"/>
      <c r="E25" s="3018"/>
      <c r="F25" s="3018"/>
      <c r="G25" s="3018"/>
      <c r="H25" s="3018"/>
      <c r="I25" s="3018"/>
      <c r="J25" s="3018"/>
      <c r="K25" s="3018"/>
      <c r="L25" s="3018"/>
      <c r="M25" s="3018"/>
      <c r="N25" s="3018"/>
      <c r="O25" s="3018"/>
      <c r="P25" s="3018"/>
      <c r="Q25" s="3019"/>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E23" sqref="E23"/>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2869</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2741485</v>
      </c>
      <c r="C2" s="164" t="str">
        <f>'数据-取费表'!B3</f>
        <v>元</v>
      </c>
      <c r="D2" s="2391" t="s">
        <v>1257</v>
      </c>
      <c r="E2" s="1849">
        <f ca="1">SUMIF(INDIRECT("'"&amp;G2&amp;"'"&amp;"!A:A"),"承租人权益价值",INDIRECT("'"&amp;G2&amp;"'"&amp;"!c:c"))</f>
        <v>-1788378</v>
      </c>
      <c r="F2" s="2392" t="str">
        <f>C2</f>
        <v>元</v>
      </c>
      <c r="G2" s="2718" t="s">
        <v>2824</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2341</v>
      </c>
      <c r="D3" s="379">
        <f>IF(C1="仅计算典型户型",'数据-取费表'!E5,'数据-取费表'!B5)</f>
        <v>51.99</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56" t="s">
        <v>2343</v>
      </c>
      <c r="D4" s="3057"/>
      <c r="E4" s="3058" t="s">
        <v>2344</v>
      </c>
      <c r="F4" s="3059"/>
      <c r="G4" s="3056" t="s">
        <v>2345</v>
      </c>
      <c r="H4" s="3057"/>
      <c r="I4" s="3056" t="s">
        <v>2346</v>
      </c>
      <c r="J4" s="3057"/>
      <c r="K4" s="2402" t="s">
        <v>2347</v>
      </c>
      <c r="L4" s="1245"/>
      <c r="M4" s="1246"/>
      <c r="N4" s="1246"/>
      <c r="O4" s="1246"/>
      <c r="P4" s="3060" t="s">
        <v>2348</v>
      </c>
      <c r="Q4" s="3061"/>
      <c r="R4" s="3045" t="s">
        <v>2344</v>
      </c>
      <c r="S4" s="3046"/>
      <c r="T4" s="3045" t="s">
        <v>2345</v>
      </c>
      <c r="U4" s="3046"/>
      <c r="V4" s="3066" t="s">
        <v>2346</v>
      </c>
      <c r="W4" s="3066"/>
      <c r="X4" s="1906"/>
      <c r="Y4" s="3045" t="s">
        <v>2348</v>
      </c>
      <c r="Z4" s="3046"/>
      <c r="AA4" s="3053" t="s">
        <v>2344</v>
      </c>
      <c r="AB4" s="3053" t="s">
        <v>2345</v>
      </c>
      <c r="AC4" s="3053" t="s">
        <v>2346</v>
      </c>
    </row>
    <row r="5" spans="1:29" ht="36" customHeight="1" thickBot="1">
      <c r="A5" s="384"/>
      <c r="B5" s="385"/>
      <c r="C5" s="3041" t="s">
        <v>2887</v>
      </c>
      <c r="D5" s="3042"/>
      <c r="E5" s="3067" t="s">
        <v>2888</v>
      </c>
      <c r="F5" s="3068"/>
      <c r="G5" s="3041" t="s">
        <v>2888</v>
      </c>
      <c r="H5" s="3042"/>
      <c r="I5" s="3041" t="s">
        <v>2888</v>
      </c>
      <c r="J5" s="3042"/>
      <c r="K5" s="2403"/>
      <c r="L5" s="1245"/>
      <c r="M5" s="1246"/>
      <c r="N5" s="1246"/>
      <c r="O5" s="1246"/>
      <c r="P5" s="3062"/>
      <c r="Q5" s="3063"/>
      <c r="R5" s="3047"/>
      <c r="S5" s="3048"/>
      <c r="T5" s="3047"/>
      <c r="U5" s="3048"/>
      <c r="V5" s="3066"/>
      <c r="W5" s="3066"/>
      <c r="X5" s="1906"/>
      <c r="Y5" s="3047"/>
      <c r="Z5" s="3048"/>
      <c r="AA5" s="3054"/>
      <c r="AB5" s="3054"/>
      <c r="AC5" s="3054"/>
    </row>
    <row r="6" spans="1:29" ht="15.75" hidden="1" thickBot="1">
      <c r="A6" s="386"/>
      <c r="B6" s="387"/>
      <c r="C6" s="3069"/>
      <c r="D6" s="3040"/>
      <c r="E6" s="3070" t="s">
        <v>2353</v>
      </c>
      <c r="F6" s="3071"/>
      <c r="G6" s="3039" t="s">
        <v>2353</v>
      </c>
      <c r="H6" s="3040"/>
      <c r="I6" s="3039" t="s">
        <v>2353</v>
      </c>
      <c r="J6" s="3040"/>
      <c r="K6" s="2403" t="s">
        <v>2354</v>
      </c>
      <c r="L6" s="1245"/>
      <c r="M6" s="1246"/>
      <c r="N6" s="1246"/>
      <c r="O6" s="1246"/>
      <c r="P6" s="3064"/>
      <c r="Q6" s="3065"/>
      <c r="R6" s="3047"/>
      <c r="S6" s="3048"/>
      <c r="T6" s="3049"/>
      <c r="U6" s="3050"/>
      <c r="V6" s="3066"/>
      <c r="W6" s="3066"/>
      <c r="X6" s="1906"/>
      <c r="Y6" s="3049"/>
      <c r="Z6" s="3050"/>
      <c r="AA6" s="3055"/>
      <c r="AB6" s="3055"/>
      <c r="AC6" s="3055"/>
    </row>
    <row r="7" spans="1:29" s="35" customFormat="1" ht="15.75" thickBot="1">
      <c r="A7" s="388" t="s">
        <v>2355</v>
      </c>
      <c r="B7" s="389"/>
      <c r="C7" s="390">
        <f>'数据-取费表'!B2</f>
        <v>43047</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43" t="s">
        <v>2356</v>
      </c>
      <c r="Q7" s="3051"/>
      <c r="R7" s="750" t="s">
        <v>34</v>
      </c>
      <c r="S7" s="751">
        <f t="shared" ref="S7:S15" si="0">F7</f>
        <v>101</v>
      </c>
      <c r="T7" s="750" t="s">
        <v>34</v>
      </c>
      <c r="U7" s="751">
        <f t="shared" ref="U7:U15" si="1">H7</f>
        <v>101</v>
      </c>
      <c r="V7" s="750" t="s">
        <v>34</v>
      </c>
      <c r="W7" s="751">
        <f t="shared" ref="W7:W15" si="2">J7</f>
        <v>101</v>
      </c>
      <c r="X7" s="752"/>
      <c r="Y7" s="3043" t="s">
        <v>2356</v>
      </c>
      <c r="Z7" s="3044"/>
      <c r="AA7" s="753">
        <f>D7/F7</f>
        <v>0.99009900990099009</v>
      </c>
      <c r="AB7" s="753">
        <f>D7/H7</f>
        <v>0.99009900990099009</v>
      </c>
      <c r="AC7" s="753">
        <f>D7/J7</f>
        <v>0.99009900990099009</v>
      </c>
    </row>
    <row r="8" spans="1:29" s="35" customFormat="1" ht="15.75" thickBot="1">
      <c r="A8" s="388" t="s">
        <v>2357</v>
      </c>
      <c r="B8" s="389"/>
      <c r="C8" s="395" t="s">
        <v>2358</v>
      </c>
      <c r="D8" s="391">
        <v>100</v>
      </c>
      <c r="E8" s="2405" t="s">
        <v>2825</v>
      </c>
      <c r="F8" s="393">
        <f>SUMIF(61:61,E8,62:62)-SUMIF(61:61,C8,62:62)+100</f>
        <v>100</v>
      </c>
      <c r="G8" s="395" t="s">
        <v>2825</v>
      </c>
      <c r="H8" s="391">
        <f>SUMIF(61:61,G8,62:62)-SUMIF(61:61,C8,62:62)+100</f>
        <v>100</v>
      </c>
      <c r="I8" s="2405" t="s">
        <v>2825</v>
      </c>
      <c r="J8" s="391">
        <f>SUMIF(61:61,I8,62:62)-SUMIF(61:61,C8,62:62)+100</f>
        <v>100</v>
      </c>
      <c r="K8" s="2404"/>
      <c r="L8" s="1247"/>
      <c r="M8" s="1248"/>
      <c r="N8" s="1248"/>
      <c r="O8" s="1248"/>
      <c r="P8" s="3043" t="s">
        <v>2359</v>
      </c>
      <c r="Q8" s="3044"/>
      <c r="R8" s="750" t="s">
        <v>34</v>
      </c>
      <c r="S8" s="751">
        <f t="shared" si="0"/>
        <v>100</v>
      </c>
      <c r="T8" s="750" t="s">
        <v>34</v>
      </c>
      <c r="U8" s="751">
        <f t="shared" si="1"/>
        <v>100</v>
      </c>
      <c r="V8" s="750" t="s">
        <v>34</v>
      </c>
      <c r="W8" s="751">
        <f t="shared" si="2"/>
        <v>100</v>
      </c>
      <c r="X8" s="752"/>
      <c r="Y8" s="3043" t="s">
        <v>2359</v>
      </c>
      <c r="Z8" s="3044"/>
      <c r="AA8" s="753">
        <f t="shared" ref="AA8:AA46" si="3">D8/F8</f>
        <v>1</v>
      </c>
      <c r="AB8" s="753">
        <f t="shared" ref="AB8:AB46" si="4">D8/H8</f>
        <v>1</v>
      </c>
      <c r="AC8" s="753">
        <f t="shared" ref="AC8:AC46" si="5">D8/J8</f>
        <v>1</v>
      </c>
    </row>
    <row r="9" spans="1:29" s="35" customFormat="1">
      <c r="A9" s="396" t="s">
        <v>2360</v>
      </c>
      <c r="B9" s="28" t="s">
        <v>2361</v>
      </c>
      <c r="C9" s="2719" t="s">
        <v>2826</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52" t="s">
        <v>2362</v>
      </c>
      <c r="Q9" s="1893" t="str">
        <f t="shared" ref="Q9:Q15" si="6">B9</f>
        <v>用途</v>
      </c>
      <c r="R9" s="750" t="s">
        <v>25</v>
      </c>
      <c r="S9" s="751">
        <f t="shared" si="0"/>
        <v>100</v>
      </c>
      <c r="T9" s="750" t="s">
        <v>25</v>
      </c>
      <c r="U9" s="751">
        <f t="shared" si="1"/>
        <v>100</v>
      </c>
      <c r="V9" s="750" t="s">
        <v>25</v>
      </c>
      <c r="W9" s="751">
        <f t="shared" si="2"/>
        <v>100</v>
      </c>
      <c r="X9" s="752"/>
      <c r="Y9" s="2855" t="s">
        <v>2363</v>
      </c>
      <c r="Z9" s="23" t="str">
        <f t="shared" ref="Z9:Z15" si="7">Q9</f>
        <v>用途</v>
      </c>
      <c r="AA9" s="753">
        <f t="shared" si="3"/>
        <v>1</v>
      </c>
      <c r="AB9" s="753">
        <f t="shared" si="4"/>
        <v>1</v>
      </c>
      <c r="AC9" s="753">
        <f t="shared" si="5"/>
        <v>1</v>
      </c>
    </row>
    <row r="10" spans="1:29" s="408" customFormat="1" ht="27.75" thickBot="1">
      <c r="A10" s="402"/>
      <c r="B10" s="403" t="s">
        <v>2364</v>
      </c>
      <c r="C10" s="404" t="s">
        <v>2877</v>
      </c>
      <c r="D10" s="52">
        <v>100</v>
      </c>
      <c r="E10" s="405" t="s">
        <v>2889</v>
      </c>
      <c r="F10" s="406">
        <f>SUMIF(65:65,E10,66:66)-SUMIF(65:65,C10,66:66)+100</f>
        <v>98</v>
      </c>
      <c r="G10" s="404" t="s">
        <v>2889</v>
      </c>
      <c r="H10" s="52">
        <f>SUMIF(65:65,G10,66:66)-SUMIF(65:65,C10,66:66)+100</f>
        <v>98</v>
      </c>
      <c r="I10" s="404" t="s">
        <v>2889</v>
      </c>
      <c r="J10" s="52">
        <f>SUMIF(65:65,I10,66:66)-SUMIF(65:65,C10,66:66)+100</f>
        <v>98</v>
      </c>
      <c r="K10" s="407">
        <v>1</v>
      </c>
      <c r="L10" s="1250"/>
      <c r="M10" s="1251"/>
      <c r="N10" s="1251"/>
      <c r="O10" s="1251"/>
      <c r="P10" s="3052"/>
      <c r="Q10" s="1893" t="str">
        <f t="shared" si="6"/>
        <v>土地使用年限（年）</v>
      </c>
      <c r="R10" s="750" t="s">
        <v>25</v>
      </c>
      <c r="S10" s="751">
        <f t="shared" si="0"/>
        <v>98</v>
      </c>
      <c r="T10" s="750" t="s">
        <v>25</v>
      </c>
      <c r="U10" s="751">
        <f t="shared" si="1"/>
        <v>98</v>
      </c>
      <c r="V10" s="750" t="s">
        <v>25</v>
      </c>
      <c r="W10" s="751">
        <f t="shared" si="2"/>
        <v>98</v>
      </c>
      <c r="X10" s="752"/>
      <c r="Y10" s="2855"/>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2"/>
      <c r="Q11" s="1893" t="str">
        <f t="shared" si="6"/>
        <v>容积率</v>
      </c>
      <c r="R11" s="750" t="s">
        <v>28</v>
      </c>
      <c r="S11" s="751">
        <f t="shared" si="0"/>
        <v>100</v>
      </c>
      <c r="T11" s="750" t="s">
        <v>28</v>
      </c>
      <c r="U11" s="751">
        <f t="shared" si="1"/>
        <v>100</v>
      </c>
      <c r="V11" s="750" t="s">
        <v>28</v>
      </c>
      <c r="W11" s="751">
        <f t="shared" si="2"/>
        <v>100</v>
      </c>
      <c r="X11" s="752"/>
      <c r="Y11" s="285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2"/>
      <c r="Q12" s="1893">
        <f t="shared" si="6"/>
        <v>111</v>
      </c>
      <c r="R12" s="750" t="s">
        <v>28</v>
      </c>
      <c r="S12" s="751">
        <f t="shared" si="0"/>
        <v>100</v>
      </c>
      <c r="T12" s="750" t="s">
        <v>28</v>
      </c>
      <c r="U12" s="751">
        <f t="shared" si="1"/>
        <v>100</v>
      </c>
      <c r="V12" s="750" t="s">
        <v>28</v>
      </c>
      <c r="W12" s="751">
        <f t="shared" si="2"/>
        <v>100</v>
      </c>
      <c r="X12" s="752"/>
      <c r="Y12" s="285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2"/>
      <c r="Q13" s="1893">
        <f t="shared" si="6"/>
        <v>111</v>
      </c>
      <c r="R13" s="750" t="s">
        <v>28</v>
      </c>
      <c r="S13" s="751">
        <f t="shared" si="0"/>
        <v>100</v>
      </c>
      <c r="T13" s="750" t="s">
        <v>28</v>
      </c>
      <c r="U13" s="751">
        <f t="shared" si="1"/>
        <v>100</v>
      </c>
      <c r="V13" s="750" t="s">
        <v>28</v>
      </c>
      <c r="W13" s="751">
        <f t="shared" si="2"/>
        <v>100</v>
      </c>
      <c r="X13" s="752"/>
      <c r="Y13" s="285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2"/>
      <c r="Q14" s="1893">
        <f t="shared" si="6"/>
        <v>111</v>
      </c>
      <c r="R14" s="750" t="s">
        <v>28</v>
      </c>
      <c r="S14" s="751">
        <f t="shared" si="0"/>
        <v>100</v>
      </c>
      <c r="T14" s="750" t="s">
        <v>28</v>
      </c>
      <c r="U14" s="751">
        <f t="shared" si="1"/>
        <v>100</v>
      </c>
      <c r="V14" s="750" t="s">
        <v>28</v>
      </c>
      <c r="W14" s="751">
        <f t="shared" si="2"/>
        <v>100</v>
      </c>
      <c r="X14" s="752"/>
      <c r="Y14" s="2855"/>
      <c r="Z14" s="23">
        <f t="shared" si="7"/>
        <v>111</v>
      </c>
      <c r="AA14" s="753">
        <f t="shared" si="3"/>
        <v>1</v>
      </c>
      <c r="AB14" s="753">
        <f t="shared" si="4"/>
        <v>1</v>
      </c>
      <c r="AC14" s="753">
        <f t="shared" si="5"/>
        <v>1</v>
      </c>
    </row>
    <row r="15" spans="1:29" ht="133.5" customHeight="1">
      <c r="A15" s="420" t="s">
        <v>2366</v>
      </c>
      <c r="B15" s="26" t="s">
        <v>1742</v>
      </c>
      <c r="C15" s="2410" t="str">
        <f>估价对象房地状况!C3</f>
        <v>估价对象周边有金福家园、金星小区、定福公寓、定福庄北里1号院等居住小区，小区规模和社区发展完善程度较好，综合评价居住社区成熟度较好</v>
      </c>
      <c r="D15" s="421">
        <v>100</v>
      </c>
      <c r="E15" s="2735" t="s">
        <v>2921</v>
      </c>
      <c r="F15" s="423">
        <f>SUMIF(76:76,E16,77:77)-SUMIF(76:76,C16,77:77)+100</f>
        <v>100</v>
      </c>
      <c r="G15" s="2735" t="s">
        <v>2921</v>
      </c>
      <c r="H15" s="421">
        <f>SUMIF(76:76,G16,77:77)-SUMIF(76:76,C16,77:77)+100</f>
        <v>100</v>
      </c>
      <c r="I15" s="2735" t="s">
        <v>2921</v>
      </c>
      <c r="J15" s="421">
        <f>SUMIF(76:76,I16,77:77)-SUMIF(76:76,C16,77:77)+100</f>
        <v>100</v>
      </c>
      <c r="K15" s="425">
        <v>1</v>
      </c>
      <c r="L15" s="1255"/>
      <c r="M15" s="1246"/>
      <c r="N15" s="1246"/>
      <c r="O15" s="1246"/>
      <c r="P15" s="3030" t="s">
        <v>2367</v>
      </c>
      <c r="Q15" s="1905" t="str">
        <f t="shared" si="6"/>
        <v>居住社区成熟度</v>
      </c>
      <c r="R15" s="754" t="s">
        <v>28</v>
      </c>
      <c r="S15" s="755">
        <f t="shared" si="0"/>
        <v>100</v>
      </c>
      <c r="T15" s="754" t="s">
        <v>28</v>
      </c>
      <c r="U15" s="755">
        <f t="shared" si="1"/>
        <v>100</v>
      </c>
      <c r="V15" s="754" t="s">
        <v>28</v>
      </c>
      <c r="W15" s="755">
        <f t="shared" si="2"/>
        <v>100</v>
      </c>
      <c r="X15" s="1906"/>
      <c r="Y15" s="3032"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31"/>
      <c r="Q16" s="1905"/>
      <c r="R16" s="754"/>
      <c r="S16" s="755"/>
      <c r="T16" s="754"/>
      <c r="U16" s="755"/>
      <c r="V16" s="754"/>
      <c r="W16" s="755"/>
      <c r="X16" s="1906"/>
      <c r="Y16" s="3033"/>
      <c r="Z16" s="1908"/>
      <c r="AA16" s="1909">
        <v>1</v>
      </c>
      <c r="AB16" s="1909">
        <v>1</v>
      </c>
      <c r="AC16" s="1909">
        <v>1</v>
      </c>
    </row>
    <row r="17" spans="1:29" ht="174" customHeight="1">
      <c r="A17" s="409"/>
      <c r="B17" s="432" t="s">
        <v>1751</v>
      </c>
      <c r="C17" s="2413" t="str">
        <f>估价对象房地状况!C6</f>
        <v>估价对象紧邻城市支路——定福庄北街，临近地铁6号线（褡裢坡站）八通线（传媒大学站）；以估价对象为中心半径2公里范围内有306路、411路、488路、499路、517路等十余条公交线路，综合评价交通便捷度较好</v>
      </c>
      <c r="D17" s="431">
        <v>100</v>
      </c>
      <c r="E17" s="2723" t="s">
        <v>2923</v>
      </c>
      <c r="F17" s="434">
        <f>SUMIF(78:78,E18,79:79)-SUMIF(78:78,C18,79:79)+100</f>
        <v>100</v>
      </c>
      <c r="G17" s="2724" t="s">
        <v>2923</v>
      </c>
      <c r="H17" s="436">
        <f>SUMIF(78:78,G18,79:79)-SUMIF(78:78,C18,79:79)+100</f>
        <v>100</v>
      </c>
      <c r="I17" s="2723" t="s">
        <v>2923</v>
      </c>
      <c r="J17" s="436">
        <f>SUMIF(78:78,I18,79:79)-SUMIF(78:78,C18,79:79)+100</f>
        <v>100</v>
      </c>
      <c r="K17" s="425">
        <v>1</v>
      </c>
      <c r="L17" s="1255"/>
      <c r="M17" s="1246"/>
      <c r="N17" s="1246"/>
      <c r="O17" s="1246"/>
      <c r="P17" s="3031"/>
      <c r="Q17" s="1905" t="str">
        <f>B17</f>
        <v>交通便捷度</v>
      </c>
      <c r="R17" s="754" t="s">
        <v>28</v>
      </c>
      <c r="S17" s="755">
        <f>F17</f>
        <v>100</v>
      </c>
      <c r="T17" s="754" t="s">
        <v>28</v>
      </c>
      <c r="U17" s="755">
        <f>H17</f>
        <v>100</v>
      </c>
      <c r="V17" s="754" t="s">
        <v>28</v>
      </c>
      <c r="W17" s="755">
        <f>J17</f>
        <v>100</v>
      </c>
      <c r="X17" s="1906"/>
      <c r="Y17" s="3033"/>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31"/>
      <c r="Q18" s="1905"/>
      <c r="R18" s="754"/>
      <c r="S18" s="755"/>
      <c r="T18" s="754"/>
      <c r="U18" s="755"/>
      <c r="V18" s="754"/>
      <c r="W18" s="755"/>
      <c r="X18" s="1906"/>
      <c r="Y18" s="3033"/>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5" t="s">
        <v>2878</v>
      </c>
      <c r="F19" s="440">
        <f>SUMIF(80:80,E20,81:81)-SUMIF(80:80,C20,81:81)+100</f>
        <v>100</v>
      </c>
      <c r="G19" s="2726" t="s">
        <v>2878</v>
      </c>
      <c r="H19" s="431">
        <f>SUMIF(80:80,G20,81:81)-SUMIF(80:80,C20,81:81)+100</f>
        <v>100</v>
      </c>
      <c r="I19" s="2725" t="s">
        <v>2878</v>
      </c>
      <c r="J19" s="431">
        <f>SUMIF(80:80,I20,81:81)-SUMIF(80:80,C20,81:81)+100</f>
        <v>100</v>
      </c>
      <c r="K19" s="425">
        <v>1</v>
      </c>
      <c r="L19" s="1255"/>
      <c r="M19" s="1246"/>
      <c r="N19" s="1246"/>
      <c r="O19" s="1246"/>
      <c r="P19" s="3031"/>
      <c r="Q19" s="1905" t="str">
        <f>B19</f>
        <v>公共配套设施</v>
      </c>
      <c r="R19" s="754" t="s">
        <v>28</v>
      </c>
      <c r="S19" s="755">
        <f>F19</f>
        <v>100</v>
      </c>
      <c r="T19" s="754" t="s">
        <v>28</v>
      </c>
      <c r="U19" s="755">
        <f>H19</f>
        <v>100</v>
      </c>
      <c r="V19" s="754" t="s">
        <v>28</v>
      </c>
      <c r="W19" s="755">
        <f>J19</f>
        <v>100</v>
      </c>
      <c r="X19" s="1906"/>
      <c r="Y19" s="3033"/>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31"/>
      <c r="Q20" s="1905"/>
      <c r="R20" s="754"/>
      <c r="S20" s="755"/>
      <c r="T20" s="754"/>
      <c r="U20" s="755"/>
      <c r="V20" s="754"/>
      <c r="W20" s="755"/>
      <c r="X20" s="1906"/>
      <c r="Y20" s="3033"/>
      <c r="Z20" s="1908"/>
      <c r="AA20" s="1909">
        <v>1</v>
      </c>
      <c r="AB20" s="1909">
        <v>1</v>
      </c>
      <c r="AC20" s="1909">
        <v>1</v>
      </c>
    </row>
    <row r="21" spans="1:29" ht="47.25" customHeight="1">
      <c r="A21" s="409"/>
      <c r="B21" s="2415" t="s">
        <v>1752</v>
      </c>
      <c r="C21" s="2413" t="str">
        <f>估价对象房地状况!C8</f>
        <v>估价对象所在区域基础设施水平——六通</v>
      </c>
      <c r="D21" s="436">
        <v>100</v>
      </c>
      <c r="E21" s="2725" t="s">
        <v>2925</v>
      </c>
      <c r="F21" s="440">
        <f>SUMIF(82:82,E22,83:83)-SUMIF(82:82,C22,83:83)+100</f>
        <v>100</v>
      </c>
      <c r="G21" s="2726" t="s">
        <v>2925</v>
      </c>
      <c r="H21" s="431">
        <f>SUMIF(82:82,G22,83:83)-SUMIF(82:82,C22,83:83)+100</f>
        <v>100</v>
      </c>
      <c r="I21" s="2725" t="s">
        <v>2925</v>
      </c>
      <c r="J21" s="431">
        <f>SUMIF(82:82,I22,83:83)-SUMIF(82:82,C22,83:83)+100</f>
        <v>100</v>
      </c>
      <c r="K21" s="425">
        <v>1</v>
      </c>
      <c r="L21" s="1255"/>
      <c r="M21" s="1246"/>
      <c r="N21" s="1246"/>
      <c r="O21" s="1246"/>
      <c r="P21" s="3031"/>
      <c r="Q21" s="1905" t="str">
        <f>B21</f>
        <v>基础设施水平</v>
      </c>
      <c r="R21" s="754" t="s">
        <v>28</v>
      </c>
      <c r="S21" s="755">
        <f>F21</f>
        <v>100</v>
      </c>
      <c r="T21" s="754" t="s">
        <v>28</v>
      </c>
      <c r="U21" s="755">
        <f>H21</f>
        <v>100</v>
      </c>
      <c r="V21" s="754" t="s">
        <v>28</v>
      </c>
      <c r="W21" s="755">
        <f>J21</f>
        <v>100</v>
      </c>
      <c r="X21" s="1906"/>
      <c r="Y21" s="3033"/>
      <c r="Z21" s="1908" t="str">
        <f>Q21</f>
        <v>基础设施水平</v>
      </c>
      <c r="AA21" s="1909">
        <f t="shared" ref="AA21" si="8">D21/F21</f>
        <v>1</v>
      </c>
      <c r="AB21" s="1909">
        <f t="shared" ref="AB21" si="9">D21/H21</f>
        <v>1</v>
      </c>
      <c r="AC21" s="1909">
        <f t="shared" ref="AC21" si="10">D21/J21</f>
        <v>1</v>
      </c>
    </row>
    <row r="22" spans="1:29" ht="15">
      <c r="A22" s="409"/>
      <c r="B22" s="2415"/>
      <c r="C22" s="438" t="s">
        <v>2929</v>
      </c>
      <c r="D22" s="428"/>
      <c r="E22" s="427" t="s">
        <v>2929</v>
      </c>
      <c r="F22" s="430"/>
      <c r="G22" s="427" t="s">
        <v>2929</v>
      </c>
      <c r="H22" s="428"/>
      <c r="I22" s="427" t="s">
        <v>2929</v>
      </c>
      <c r="J22" s="428"/>
      <c r="K22" s="2416"/>
      <c r="L22" s="1255"/>
      <c r="M22" s="1246"/>
      <c r="N22" s="1246"/>
      <c r="O22" s="1246"/>
      <c r="P22" s="3031"/>
      <c r="Q22" s="1905"/>
      <c r="R22" s="754"/>
      <c r="S22" s="755"/>
      <c r="T22" s="754"/>
      <c r="U22" s="755"/>
      <c r="V22" s="754"/>
      <c r="W22" s="755"/>
      <c r="X22" s="1906"/>
      <c r="Y22" s="3033"/>
      <c r="Z22" s="1908"/>
      <c r="AA22" s="1909">
        <v>1</v>
      </c>
      <c r="AB22" s="1909">
        <v>1</v>
      </c>
      <c r="AC22" s="1909">
        <v>1</v>
      </c>
    </row>
    <row r="23" spans="1:29" ht="117.75" customHeight="1">
      <c r="A23" s="409"/>
      <c r="B23" s="432" t="s">
        <v>1756</v>
      </c>
      <c r="C23" s="2413" t="str">
        <f>估价对象房地状况!C9</f>
        <v>自然环境：兴隆公园、京城梨园、大黄庄苗圃花木基地等；人文环境：中国传媒大学、高进村史博物馆等，综合评价环境状况较好</v>
      </c>
      <c r="D23" s="431">
        <v>100</v>
      </c>
      <c r="E23" s="2723" t="s">
        <v>2930</v>
      </c>
      <c r="F23" s="434">
        <f>SUMIF(84:84,E24,85:85)-SUMIF(84:84,C24,85:85)+100</f>
        <v>100</v>
      </c>
      <c r="G23" s="2724" t="s">
        <v>2926</v>
      </c>
      <c r="H23" s="431">
        <f>SUMIF(84:84,G24,85:85)-SUMIF(84:84,C24,85:85)+100</f>
        <v>100</v>
      </c>
      <c r="I23" s="2723" t="s">
        <v>2926</v>
      </c>
      <c r="J23" s="431">
        <f>SUMIF(84:84,I24,85:85)-SUMIF(84:84,C24,85:85)+100</f>
        <v>100</v>
      </c>
      <c r="K23" s="425">
        <v>1</v>
      </c>
      <c r="L23" s="1255"/>
      <c r="M23" s="1246"/>
      <c r="N23" s="1246"/>
      <c r="O23" s="1246"/>
      <c r="P23" s="3031"/>
      <c r="Q23" s="1905" t="str">
        <f>B23</f>
        <v>自然及人文环境</v>
      </c>
      <c r="R23" s="754" t="s">
        <v>28</v>
      </c>
      <c r="S23" s="755">
        <f>F23</f>
        <v>100</v>
      </c>
      <c r="T23" s="754" t="s">
        <v>28</v>
      </c>
      <c r="U23" s="755">
        <f>H23</f>
        <v>100</v>
      </c>
      <c r="V23" s="754" t="s">
        <v>28</v>
      </c>
      <c r="W23" s="755">
        <f>J23</f>
        <v>100</v>
      </c>
      <c r="X23" s="1906"/>
      <c r="Y23" s="3033"/>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31"/>
      <c r="Q24" s="1905"/>
      <c r="R24" s="754"/>
      <c r="S24" s="755"/>
      <c r="T24" s="754"/>
      <c r="U24" s="755"/>
      <c r="V24" s="754"/>
      <c r="W24" s="755"/>
      <c r="X24" s="1906"/>
      <c r="Y24" s="3033"/>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31"/>
      <c r="Q25" s="1905" t="str">
        <f t="shared" ref="Q25:Q46" si="11">B25</f>
        <v>楼层-1</v>
      </c>
      <c r="R25" s="754" t="s">
        <v>28</v>
      </c>
      <c r="S25" s="755">
        <f>F25</f>
        <v>100</v>
      </c>
      <c r="T25" s="754" t="s">
        <v>28</v>
      </c>
      <c r="U25" s="755">
        <f>H25</f>
        <v>100</v>
      </c>
      <c r="V25" s="754" t="s">
        <v>28</v>
      </c>
      <c r="W25" s="755">
        <f>J25</f>
        <v>100</v>
      </c>
      <c r="X25" s="1906"/>
      <c r="Y25" s="3033"/>
      <c r="Z25" s="1908" t="str">
        <f>Q25</f>
        <v>楼层-1</v>
      </c>
      <c r="AA25" s="1909">
        <f t="shared" si="3"/>
        <v>1</v>
      </c>
      <c r="AB25" s="1909">
        <f t="shared" si="4"/>
        <v>1</v>
      </c>
      <c r="AC25" s="1909">
        <f t="shared" si="5"/>
        <v>1</v>
      </c>
    </row>
    <row r="26" spans="1:29" ht="15">
      <c r="A26" s="409"/>
      <c r="B26" s="403" t="s">
        <v>2369</v>
      </c>
      <c r="C26" s="442" t="s">
        <v>2880</v>
      </c>
      <c r="D26" s="416">
        <v>100</v>
      </c>
      <c r="E26" s="2417" t="s">
        <v>2890</v>
      </c>
      <c r="F26" s="443">
        <f>SUMIF(88:88,E26,89:89)-SUMIF(88:88,C26,89:89)+100</f>
        <v>96.5</v>
      </c>
      <c r="G26" s="2418" t="s">
        <v>2892</v>
      </c>
      <c r="H26" s="416">
        <f>SUMIF(88:88,G26,89:89)-SUMIF(88:88,C26,89:89)+100</f>
        <v>96</v>
      </c>
      <c r="I26" s="2417" t="s">
        <v>2880</v>
      </c>
      <c r="J26" s="416">
        <f>SUMIF(88:88,I26,89:89)-SUMIF(88:88,C26,89:89)+100</f>
        <v>100</v>
      </c>
      <c r="K26" s="407">
        <v>0.5</v>
      </c>
      <c r="L26" s="1255"/>
      <c r="M26" s="1246"/>
      <c r="N26" s="1246"/>
      <c r="O26" s="1246"/>
      <c r="P26" s="3031"/>
      <c r="Q26" s="1905" t="str">
        <f t="shared" si="11"/>
        <v>朝向</v>
      </c>
      <c r="R26" s="754" t="s">
        <v>28</v>
      </c>
      <c r="S26" s="755">
        <f>F26</f>
        <v>96.5</v>
      </c>
      <c r="T26" s="754" t="s">
        <v>28</v>
      </c>
      <c r="U26" s="755">
        <f>H26</f>
        <v>96</v>
      </c>
      <c r="V26" s="754" t="s">
        <v>28</v>
      </c>
      <c r="W26" s="755">
        <f>J26</f>
        <v>100</v>
      </c>
      <c r="X26" s="1906"/>
      <c r="Y26" s="3033"/>
      <c r="Z26" s="1908" t="str">
        <f>Q26</f>
        <v>朝向</v>
      </c>
      <c r="AA26" s="1909">
        <f t="shared" si="3"/>
        <v>1.0362694300518134</v>
      </c>
      <c r="AB26" s="1909">
        <f t="shared" si="4"/>
        <v>1.0416666666666667</v>
      </c>
      <c r="AC26" s="1909">
        <f t="shared" si="5"/>
        <v>1</v>
      </c>
    </row>
    <row r="27" spans="1:29" s="35" customFormat="1" ht="15">
      <c r="A27" s="412"/>
      <c r="B27" s="2406" t="s">
        <v>2370</v>
      </c>
      <c r="C27" s="2730" t="s">
        <v>2882</v>
      </c>
      <c r="D27" s="444">
        <v>100</v>
      </c>
      <c r="E27" s="2730" t="s">
        <v>2881</v>
      </c>
      <c r="F27" s="446">
        <f>SUMIF(90:90,E27,91:91)-SUMIF(90:90,C27,91:91)+100</f>
        <v>100</v>
      </c>
      <c r="G27" s="2730" t="s">
        <v>2881</v>
      </c>
      <c r="H27" s="444">
        <f>SUMIF(90:90,G27,91:91)-SUMIF(90:90,C27,91:91)+100</f>
        <v>100</v>
      </c>
      <c r="I27" s="2730" t="s">
        <v>2881</v>
      </c>
      <c r="J27" s="444">
        <f>SUMIF(90:90,I27,91:91)-SUMIF(90:90,C27,91:91)+100</f>
        <v>100</v>
      </c>
      <c r="K27" s="2407"/>
      <c r="L27" s="1247"/>
      <c r="M27" s="1248"/>
      <c r="N27" s="1248"/>
      <c r="O27" s="1248"/>
      <c r="P27" s="3031"/>
      <c r="Q27" s="1893" t="str">
        <f t="shared" si="11"/>
        <v>道路级别</v>
      </c>
      <c r="R27" s="750" t="s">
        <v>28</v>
      </c>
      <c r="S27" s="751">
        <f>F27</f>
        <v>100</v>
      </c>
      <c r="T27" s="750" t="s">
        <v>28</v>
      </c>
      <c r="U27" s="751">
        <f>H27</f>
        <v>100</v>
      </c>
      <c r="V27" s="750" t="s">
        <v>28</v>
      </c>
      <c r="W27" s="751">
        <f>J27</f>
        <v>100</v>
      </c>
      <c r="X27" s="752"/>
      <c r="Y27" s="3033"/>
      <c r="Z27" s="23" t="str">
        <f>Q27</f>
        <v>道路级别</v>
      </c>
      <c r="AA27" s="1909">
        <f>D27/F27</f>
        <v>1</v>
      </c>
      <c r="AB27" s="1909">
        <f>D27/H27</f>
        <v>1</v>
      </c>
      <c r="AC27" s="1909">
        <f>D27/J27</f>
        <v>1</v>
      </c>
    </row>
    <row r="28" spans="1:29" ht="15.75" thickBot="1">
      <c r="A28" s="409"/>
      <c r="B28" s="2720" t="s">
        <v>2828</v>
      </c>
      <c r="C28" s="415" t="s">
        <v>2899</v>
      </c>
      <c r="D28" s="416">
        <v>100</v>
      </c>
      <c r="E28" s="2731" t="s">
        <v>2900</v>
      </c>
      <c r="F28" s="443">
        <f>SUMIF(92:92,E28,93:93)-SUMIF(92:92,C28,93:93)+100</f>
        <v>102</v>
      </c>
      <c r="G28" s="2731" t="s">
        <v>2901</v>
      </c>
      <c r="H28" s="416">
        <f>SUMIF(92:92,G28,93:93)-SUMIF(92:92,C28,93:93)+100</f>
        <v>100</v>
      </c>
      <c r="I28" s="2731" t="s">
        <v>2897</v>
      </c>
      <c r="J28" s="416">
        <f>SUMIF(92:92,I28,93:93)-SUMIF(92:92,C28,93:93)+100</f>
        <v>101</v>
      </c>
      <c r="K28" s="2407"/>
      <c r="L28" s="1255"/>
      <c r="M28" s="1246"/>
      <c r="N28" s="1246"/>
      <c r="O28" s="1246"/>
      <c r="P28" s="3031"/>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3"/>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31"/>
      <c r="Q29" s="1905">
        <f t="shared" si="11"/>
        <v>111</v>
      </c>
      <c r="R29" s="754" t="s">
        <v>28</v>
      </c>
      <c r="S29" s="755">
        <f t="shared" si="12"/>
        <v>100</v>
      </c>
      <c r="T29" s="754" t="s">
        <v>28</v>
      </c>
      <c r="U29" s="755">
        <f t="shared" si="13"/>
        <v>100</v>
      </c>
      <c r="V29" s="754" t="s">
        <v>28</v>
      </c>
      <c r="W29" s="755">
        <f t="shared" si="14"/>
        <v>100</v>
      </c>
      <c r="X29" s="1906"/>
      <c r="Y29" s="3033"/>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31"/>
      <c r="Q30" s="1905">
        <f t="shared" si="11"/>
        <v>111</v>
      </c>
      <c r="R30" s="754" t="s">
        <v>28</v>
      </c>
      <c r="S30" s="755">
        <f t="shared" si="12"/>
        <v>100</v>
      </c>
      <c r="T30" s="754" t="s">
        <v>28</v>
      </c>
      <c r="U30" s="755">
        <f t="shared" si="13"/>
        <v>100</v>
      </c>
      <c r="V30" s="754" t="s">
        <v>28</v>
      </c>
      <c r="W30" s="755">
        <f t="shared" si="14"/>
        <v>100</v>
      </c>
      <c r="X30" s="1906"/>
      <c r="Y30" s="3033"/>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31"/>
      <c r="Q31" s="1905">
        <f t="shared" si="11"/>
        <v>111</v>
      </c>
      <c r="R31" s="754" t="s">
        <v>28</v>
      </c>
      <c r="S31" s="755">
        <f t="shared" si="12"/>
        <v>100</v>
      </c>
      <c r="T31" s="754" t="s">
        <v>28</v>
      </c>
      <c r="U31" s="755">
        <f t="shared" si="13"/>
        <v>100</v>
      </c>
      <c r="V31" s="754" t="s">
        <v>28</v>
      </c>
      <c r="W31" s="755">
        <f t="shared" si="14"/>
        <v>100</v>
      </c>
      <c r="X31" s="1906"/>
      <c r="Y31" s="3033"/>
      <c r="Z31" s="1908">
        <f t="shared" si="15"/>
        <v>111</v>
      </c>
      <c r="AA31" s="1909">
        <f t="shared" si="3"/>
        <v>1</v>
      </c>
      <c r="AB31" s="1909">
        <f t="shared" si="4"/>
        <v>1</v>
      </c>
      <c r="AC31" s="1909">
        <f t="shared" si="5"/>
        <v>1</v>
      </c>
    </row>
    <row r="32" spans="1:29" ht="15">
      <c r="A32" s="420" t="s">
        <v>2371</v>
      </c>
      <c r="B32" s="28" t="s">
        <v>2372</v>
      </c>
      <c r="C32" s="2420" t="s">
        <v>2872</v>
      </c>
      <c r="D32" s="449">
        <v>100</v>
      </c>
      <c r="E32" s="2421" t="s">
        <v>2872</v>
      </c>
      <c r="F32" s="443">
        <f>SUMIF(100:100,E32,101:101)-SUMIF(100:100,C32,101:101)+100</f>
        <v>100</v>
      </c>
      <c r="G32" s="2420" t="s">
        <v>2872</v>
      </c>
      <c r="H32" s="449">
        <f>SUMIF(100:100,G32,101:101)-SUMIF(100:100,C32,101:101)+100</f>
        <v>100</v>
      </c>
      <c r="I32" s="2421" t="s">
        <v>2872</v>
      </c>
      <c r="J32" s="416">
        <f>SUMIF(100:100,I32,101:101)-SUMIF(100:100,C32,101:101)+100</f>
        <v>100</v>
      </c>
      <c r="K32" s="407">
        <v>2</v>
      </c>
      <c r="L32" s="1255"/>
      <c r="M32" s="1246"/>
      <c r="N32" s="1246"/>
      <c r="O32" s="1246"/>
      <c r="P32" s="3034" t="s">
        <v>2373</v>
      </c>
      <c r="Q32" s="1905" t="str">
        <f t="shared" si="11"/>
        <v>建筑类型</v>
      </c>
      <c r="R32" s="754" t="s">
        <v>28</v>
      </c>
      <c r="S32" s="755">
        <f t="shared" si="12"/>
        <v>100</v>
      </c>
      <c r="T32" s="754" t="s">
        <v>28</v>
      </c>
      <c r="U32" s="755">
        <f t="shared" si="13"/>
        <v>100</v>
      </c>
      <c r="V32" s="754" t="s">
        <v>28</v>
      </c>
      <c r="W32" s="755">
        <f t="shared" si="14"/>
        <v>100</v>
      </c>
      <c r="X32" s="1906"/>
      <c r="Y32" s="3037" t="s">
        <v>2373</v>
      </c>
      <c r="Z32" s="1908" t="str">
        <f t="shared" si="15"/>
        <v>建筑类型</v>
      </c>
      <c r="AA32" s="1909">
        <f t="shared" si="3"/>
        <v>1</v>
      </c>
      <c r="AB32" s="1909">
        <f t="shared" si="4"/>
        <v>1</v>
      </c>
      <c r="AC32" s="1909">
        <f t="shared" si="5"/>
        <v>1</v>
      </c>
    </row>
    <row r="33" spans="1:29" s="453" customFormat="1" ht="15">
      <c r="A33" s="450"/>
      <c r="B33" s="403" t="s">
        <v>2374</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35"/>
      <c r="Q33" s="756" t="str">
        <f t="shared" si="11"/>
        <v>项目建筑规模</v>
      </c>
      <c r="R33" s="757" t="s">
        <v>28</v>
      </c>
      <c r="S33" s="758">
        <f t="shared" si="12"/>
        <v>100</v>
      </c>
      <c r="T33" s="757" t="s">
        <v>28</v>
      </c>
      <c r="U33" s="758">
        <f t="shared" si="13"/>
        <v>100</v>
      </c>
      <c r="V33" s="757" t="s">
        <v>28</v>
      </c>
      <c r="W33" s="758">
        <f t="shared" si="14"/>
        <v>98</v>
      </c>
      <c r="X33" s="759"/>
      <c r="Y33" s="3037"/>
      <c r="Z33" s="760" t="str">
        <f t="shared" si="15"/>
        <v>项目建筑规模</v>
      </c>
      <c r="AA33" s="1909">
        <f t="shared" si="3"/>
        <v>1</v>
      </c>
      <c r="AB33" s="1909">
        <f t="shared" si="4"/>
        <v>1</v>
      </c>
      <c r="AC33" s="1909">
        <f t="shared" si="5"/>
        <v>1.0204081632653061</v>
      </c>
    </row>
    <row r="34" spans="1:29" ht="15">
      <c r="A34" s="454"/>
      <c r="B34" s="403" t="s">
        <v>2375</v>
      </c>
      <c r="C34" s="2422" t="s">
        <v>2898</v>
      </c>
      <c r="D34" s="416">
        <v>100</v>
      </c>
      <c r="E34" s="2423" t="s">
        <v>2898</v>
      </c>
      <c r="F34" s="443">
        <f>SUMIF(105:105,E34,106:106)-SUMIF(105:105,C34,106:106)+100</f>
        <v>100</v>
      </c>
      <c r="G34" s="2422" t="s">
        <v>2898</v>
      </c>
      <c r="H34" s="416">
        <f>SUMIF(105:105,G34,106:106)-SUMIF(105:105,C34,106:106)+100</f>
        <v>100</v>
      </c>
      <c r="I34" s="2423" t="s">
        <v>2898</v>
      </c>
      <c r="J34" s="416">
        <f>SUMIF(105:105,I34,106:106)-SUMIF(105:105,C34,106:106)+100</f>
        <v>100</v>
      </c>
      <c r="K34" s="407">
        <v>2</v>
      </c>
      <c r="L34" s="1255"/>
      <c r="M34" s="1246"/>
      <c r="N34" s="1246"/>
      <c r="O34" s="1246"/>
      <c r="P34" s="3035"/>
      <c r="Q34" s="1905" t="str">
        <f t="shared" si="11"/>
        <v>建筑结构</v>
      </c>
      <c r="R34" s="754" t="s">
        <v>28</v>
      </c>
      <c r="S34" s="755">
        <f t="shared" si="12"/>
        <v>100</v>
      </c>
      <c r="T34" s="754" t="s">
        <v>28</v>
      </c>
      <c r="U34" s="755">
        <f t="shared" si="13"/>
        <v>100</v>
      </c>
      <c r="V34" s="754" t="s">
        <v>28</v>
      </c>
      <c r="W34" s="755">
        <f t="shared" si="14"/>
        <v>100</v>
      </c>
      <c r="X34" s="1906"/>
      <c r="Y34" s="3037"/>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5"/>
      <c r="Q35" s="1905" t="str">
        <f t="shared" si="11"/>
        <v>建筑品质</v>
      </c>
      <c r="R35" s="754" t="s">
        <v>28</v>
      </c>
      <c r="S35" s="755">
        <f t="shared" si="12"/>
        <v>100</v>
      </c>
      <c r="T35" s="754" t="s">
        <v>28</v>
      </c>
      <c r="U35" s="755">
        <f t="shared" si="13"/>
        <v>100</v>
      </c>
      <c r="V35" s="754" t="s">
        <v>28</v>
      </c>
      <c r="W35" s="755">
        <f t="shared" si="14"/>
        <v>100</v>
      </c>
      <c r="X35" s="1906"/>
      <c r="Y35" s="3037"/>
      <c r="Z35" s="1908" t="str">
        <f t="shared" si="15"/>
        <v>建筑品质</v>
      </c>
      <c r="AA35" s="1909">
        <f t="shared" si="3"/>
        <v>1</v>
      </c>
      <c r="AB35" s="1909">
        <f t="shared" si="4"/>
        <v>1</v>
      </c>
      <c r="AC35" s="1909">
        <f t="shared" si="5"/>
        <v>1</v>
      </c>
    </row>
    <row r="36" spans="1:29" ht="15">
      <c r="A36" s="454"/>
      <c r="B36" s="403" t="s">
        <v>2377</v>
      </c>
      <c r="C36" s="2418" t="s">
        <v>2876</v>
      </c>
      <c r="D36" s="416">
        <v>100</v>
      </c>
      <c r="E36" s="2417" t="s">
        <v>2876</v>
      </c>
      <c r="F36" s="443">
        <f>SUMIF(109:109,E36,110:110)-SUMIF(109:109,C36,110:110)+100</f>
        <v>100</v>
      </c>
      <c r="G36" s="2418" t="s">
        <v>2876</v>
      </c>
      <c r="H36" s="416">
        <f>SUMIF(109:109,G36,110:110)-SUMIF(109:109,C36,110:110)+100</f>
        <v>100</v>
      </c>
      <c r="I36" s="2417" t="s">
        <v>2876</v>
      </c>
      <c r="J36" s="416">
        <f>SUMIF(109:109,I36,110:110)-SUMIF(109:109,C36,110:110)+100</f>
        <v>100</v>
      </c>
      <c r="K36" s="407">
        <v>3</v>
      </c>
      <c r="L36" s="1255"/>
      <c r="M36" s="1246"/>
      <c r="N36" s="1246"/>
      <c r="O36" s="1246"/>
      <c r="P36" s="3035"/>
      <c r="Q36" s="1905" t="str">
        <f t="shared" si="11"/>
        <v>公共部分装修</v>
      </c>
      <c r="R36" s="754" t="s">
        <v>28</v>
      </c>
      <c r="S36" s="755">
        <f t="shared" si="12"/>
        <v>100</v>
      </c>
      <c r="T36" s="754" t="s">
        <v>28</v>
      </c>
      <c r="U36" s="755">
        <f t="shared" si="13"/>
        <v>100</v>
      </c>
      <c r="V36" s="754" t="s">
        <v>28</v>
      </c>
      <c r="W36" s="755">
        <f t="shared" si="14"/>
        <v>100</v>
      </c>
      <c r="X36" s="1906"/>
      <c r="Y36" s="3037"/>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5"/>
      <c r="Q37" s="1893" t="str">
        <f t="shared" si="11"/>
        <v>成新度</v>
      </c>
      <c r="R37" s="750" t="s">
        <v>28</v>
      </c>
      <c r="S37" s="751">
        <f t="shared" si="12"/>
        <v>100</v>
      </c>
      <c r="T37" s="750" t="s">
        <v>28</v>
      </c>
      <c r="U37" s="751">
        <f t="shared" si="13"/>
        <v>100</v>
      </c>
      <c r="V37" s="750" t="s">
        <v>28</v>
      </c>
      <c r="W37" s="751">
        <f t="shared" si="14"/>
        <v>100</v>
      </c>
      <c r="X37" s="752"/>
      <c r="Y37" s="3037"/>
      <c r="Z37" s="23" t="str">
        <f t="shared" si="15"/>
        <v>成新度</v>
      </c>
      <c r="AA37" s="753">
        <f t="shared" si="3"/>
        <v>1</v>
      </c>
      <c r="AB37" s="753">
        <f t="shared" si="4"/>
        <v>1</v>
      </c>
      <c r="AC37" s="753">
        <f t="shared" si="5"/>
        <v>1</v>
      </c>
    </row>
    <row r="38" spans="1:29" ht="15">
      <c r="A38" s="454"/>
      <c r="B38" s="403" t="s">
        <v>2379</v>
      </c>
      <c r="C38" s="2418" t="s">
        <v>2859</v>
      </c>
      <c r="D38" s="416">
        <v>100</v>
      </c>
      <c r="E38" s="2417" t="s">
        <v>2859</v>
      </c>
      <c r="F38" s="443">
        <f>SUMIF(114:114,E38,115:115)-SUMIF(114:114,C38,115:115)+100</f>
        <v>100</v>
      </c>
      <c r="G38" s="2418" t="s">
        <v>2859</v>
      </c>
      <c r="H38" s="416">
        <f>SUMIF(114:114,G38,115:115)-SUMIF(114:114,C38,115:115)+100</f>
        <v>100</v>
      </c>
      <c r="I38" s="2417" t="s">
        <v>2859</v>
      </c>
      <c r="J38" s="416">
        <f>SUMIF(114:114,I38,115:115)-SUMIF(114:114,C38,115:115)+100</f>
        <v>100</v>
      </c>
      <c r="K38" s="407">
        <v>2</v>
      </c>
      <c r="L38" s="1255"/>
      <c r="M38" s="1246"/>
      <c r="N38" s="1246"/>
      <c r="O38" s="1246"/>
      <c r="P38" s="3035" t="s">
        <v>2373</v>
      </c>
      <c r="Q38" s="1905" t="str">
        <f t="shared" si="11"/>
        <v>物业管理</v>
      </c>
      <c r="R38" s="754" t="s">
        <v>28</v>
      </c>
      <c r="S38" s="755">
        <f t="shared" si="12"/>
        <v>100</v>
      </c>
      <c r="T38" s="754" t="s">
        <v>28</v>
      </c>
      <c r="U38" s="755">
        <f t="shared" si="13"/>
        <v>100</v>
      </c>
      <c r="V38" s="754" t="s">
        <v>28</v>
      </c>
      <c r="W38" s="755">
        <f t="shared" si="14"/>
        <v>100</v>
      </c>
      <c r="X38" s="1906"/>
      <c r="Y38" s="3037" t="s">
        <v>2373</v>
      </c>
      <c r="Z38" s="1908" t="str">
        <f t="shared" si="15"/>
        <v>物业管理</v>
      </c>
      <c r="AA38" s="1909">
        <f t="shared" si="3"/>
        <v>1</v>
      </c>
      <c r="AB38" s="1909">
        <f t="shared" si="4"/>
        <v>1</v>
      </c>
      <c r="AC38" s="1909">
        <f t="shared" si="5"/>
        <v>1</v>
      </c>
    </row>
    <row r="39" spans="1:29" ht="15">
      <c r="A39" s="454"/>
      <c r="B39" s="403" t="s">
        <v>2380</v>
      </c>
      <c r="C39" s="2418" t="s">
        <v>2873</v>
      </c>
      <c r="D39" s="416">
        <v>100</v>
      </c>
      <c r="E39" s="2417" t="s">
        <v>2873</v>
      </c>
      <c r="F39" s="443">
        <f>SUMIF(116:116,E39,117:117)-SUMIF(116:116,C39,117:117)+100</f>
        <v>100</v>
      </c>
      <c r="G39" s="2418" t="s">
        <v>2873</v>
      </c>
      <c r="H39" s="416">
        <f>SUMIF(116:116,G39,117:117)-SUMIF(116:116,C39,117:117)+100</f>
        <v>100</v>
      </c>
      <c r="I39" s="2417" t="s">
        <v>2873</v>
      </c>
      <c r="J39" s="416">
        <f>SUMIF(116:116,I39,117:117)-SUMIF(116:116,C39,117:117)+100</f>
        <v>100</v>
      </c>
      <c r="K39" s="407">
        <v>2</v>
      </c>
      <c r="L39" s="1255"/>
      <c r="M39" s="1246"/>
      <c r="N39" s="1246"/>
      <c r="O39" s="1246"/>
      <c r="P39" s="3035"/>
      <c r="Q39" s="1905" t="str">
        <f t="shared" si="11"/>
        <v>市政基础设施</v>
      </c>
      <c r="R39" s="754" t="s">
        <v>28</v>
      </c>
      <c r="S39" s="755">
        <f t="shared" si="12"/>
        <v>100</v>
      </c>
      <c r="T39" s="754" t="s">
        <v>28</v>
      </c>
      <c r="U39" s="755">
        <f t="shared" si="13"/>
        <v>100</v>
      </c>
      <c r="V39" s="754" t="s">
        <v>28</v>
      </c>
      <c r="W39" s="755">
        <f t="shared" si="14"/>
        <v>100</v>
      </c>
      <c r="X39" s="1906"/>
      <c r="Y39" s="3037"/>
      <c r="Z39" s="1908" t="str">
        <f t="shared" si="15"/>
        <v>市政基础设施</v>
      </c>
      <c r="AA39" s="1909">
        <f t="shared" si="3"/>
        <v>1</v>
      </c>
      <c r="AB39" s="1909">
        <f t="shared" si="4"/>
        <v>1</v>
      </c>
      <c r="AC39" s="1909">
        <f t="shared" si="5"/>
        <v>1</v>
      </c>
    </row>
    <row r="40" spans="1:29" ht="15">
      <c r="A40" s="454"/>
      <c r="B40" s="403" t="s">
        <v>2381</v>
      </c>
      <c r="C40" s="2418" t="s">
        <v>2875</v>
      </c>
      <c r="D40" s="416">
        <v>100</v>
      </c>
      <c r="E40" s="2417" t="s">
        <v>2875</v>
      </c>
      <c r="F40" s="443">
        <f>SUMIF(118:118,E40,119:119)-SUMIF(118:118,C40,119:119)+100</f>
        <v>100</v>
      </c>
      <c r="G40" s="2418" t="s">
        <v>2875</v>
      </c>
      <c r="H40" s="416">
        <f>SUMIF(118:118,G40,119:119)-SUMIF(118:118,C40,119:119)+100</f>
        <v>100</v>
      </c>
      <c r="I40" s="2417" t="s">
        <v>2875</v>
      </c>
      <c r="J40" s="416">
        <f>SUMIF(118:118,I40,119:119)-SUMIF(118:118,C40,119:119)+100</f>
        <v>100</v>
      </c>
      <c r="K40" s="407">
        <v>5</v>
      </c>
      <c r="L40" s="1255"/>
      <c r="M40" s="1246"/>
      <c r="N40" s="1246"/>
      <c r="O40" s="1246"/>
      <c r="P40" s="3035"/>
      <c r="Q40" s="1905" t="str">
        <f t="shared" si="11"/>
        <v>房型</v>
      </c>
      <c r="R40" s="754" t="s">
        <v>28</v>
      </c>
      <c r="S40" s="755">
        <f t="shared" si="12"/>
        <v>100</v>
      </c>
      <c r="T40" s="754" t="s">
        <v>28</v>
      </c>
      <c r="U40" s="755">
        <f t="shared" si="13"/>
        <v>100</v>
      </c>
      <c r="V40" s="754" t="s">
        <v>28</v>
      </c>
      <c r="W40" s="755">
        <f t="shared" si="14"/>
        <v>100</v>
      </c>
      <c r="X40" s="1906"/>
      <c r="Y40" s="3037"/>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5"/>
      <c r="Q41" s="756" t="str">
        <f t="shared" si="11"/>
        <v>单套/主力户型建筑面积</v>
      </c>
      <c r="R41" s="757" t="s">
        <v>28</v>
      </c>
      <c r="S41" s="758">
        <f t="shared" si="12"/>
        <v>100</v>
      </c>
      <c r="T41" s="757" t="s">
        <v>28</v>
      </c>
      <c r="U41" s="758">
        <f t="shared" si="13"/>
        <v>100</v>
      </c>
      <c r="V41" s="757" t="s">
        <v>28</v>
      </c>
      <c r="W41" s="758">
        <f t="shared" si="14"/>
        <v>100</v>
      </c>
      <c r="X41" s="759"/>
      <c r="Y41" s="3037"/>
      <c r="Z41" s="760" t="str">
        <f t="shared" si="15"/>
        <v>单套/主力户型建筑面积</v>
      </c>
      <c r="AA41" s="1909">
        <f t="shared" si="3"/>
        <v>1</v>
      </c>
      <c r="AB41" s="1909">
        <f t="shared" si="4"/>
        <v>1</v>
      </c>
      <c r="AC41" s="1909">
        <f t="shared" si="5"/>
        <v>1</v>
      </c>
    </row>
    <row r="42" spans="1:29" ht="15">
      <c r="A42" s="454"/>
      <c r="B42" s="403" t="s">
        <v>2383</v>
      </c>
      <c r="C42" s="2418" t="s">
        <v>2876</v>
      </c>
      <c r="D42" s="416">
        <v>100</v>
      </c>
      <c r="E42" s="2417" t="s">
        <v>2856</v>
      </c>
      <c r="F42" s="443">
        <f>SUMIF(122:122,E42,123:123)-SUMIF(122:122,C42,123:123)+100</f>
        <v>102</v>
      </c>
      <c r="G42" s="2418" t="s">
        <v>2856</v>
      </c>
      <c r="H42" s="416">
        <f>SUMIF(122:122,G42,123:123)-SUMIF(122:122,C42,123:123)+100</f>
        <v>102</v>
      </c>
      <c r="I42" s="2417" t="s">
        <v>2856</v>
      </c>
      <c r="J42" s="416">
        <f>SUMIF(122:122,I42,123:123)-SUMIF(122:122,C42,123:123)+100</f>
        <v>102</v>
      </c>
      <c r="K42" s="407">
        <v>2</v>
      </c>
      <c r="L42" s="1255"/>
      <c r="M42" s="1246"/>
      <c r="N42" s="1246"/>
      <c r="O42" s="1246"/>
      <c r="P42" s="3035"/>
      <c r="Q42" s="1905" t="str">
        <f t="shared" si="11"/>
        <v>内部装修</v>
      </c>
      <c r="R42" s="754" t="s">
        <v>28</v>
      </c>
      <c r="S42" s="755">
        <f t="shared" si="12"/>
        <v>102</v>
      </c>
      <c r="T42" s="754" t="s">
        <v>28</v>
      </c>
      <c r="U42" s="755">
        <f t="shared" si="13"/>
        <v>102</v>
      </c>
      <c r="V42" s="754" t="s">
        <v>28</v>
      </c>
      <c r="W42" s="755">
        <f t="shared" si="14"/>
        <v>102</v>
      </c>
      <c r="X42" s="1906"/>
      <c r="Y42" s="3037"/>
      <c r="Z42" s="1908" t="str">
        <f t="shared" si="15"/>
        <v>内部装修</v>
      </c>
      <c r="AA42" s="1909">
        <f t="shared" si="3"/>
        <v>0.98039215686274506</v>
      </c>
      <c r="AB42" s="1909">
        <f t="shared" si="4"/>
        <v>0.98039215686274506</v>
      </c>
      <c r="AC42" s="1909">
        <f t="shared" si="5"/>
        <v>0.98039215686274506</v>
      </c>
    </row>
    <row r="43" spans="1:29" ht="15">
      <c r="A43" s="454"/>
      <c r="B43" s="403" t="s">
        <v>2384</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35"/>
      <c r="Q43" s="1905" t="str">
        <f t="shared" si="11"/>
        <v>内部装修维护情况</v>
      </c>
      <c r="R43" s="754" t="s">
        <v>28</v>
      </c>
      <c r="S43" s="755">
        <f t="shared" si="12"/>
        <v>102</v>
      </c>
      <c r="T43" s="754" t="s">
        <v>28</v>
      </c>
      <c r="U43" s="755">
        <f t="shared" si="13"/>
        <v>102</v>
      </c>
      <c r="V43" s="754" t="s">
        <v>28</v>
      </c>
      <c r="W43" s="755">
        <f t="shared" si="14"/>
        <v>102</v>
      </c>
      <c r="X43" s="1906"/>
      <c r="Y43" s="3037"/>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2827</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35"/>
      <c r="Q44" s="1893" t="str">
        <f t="shared" si="11"/>
        <v>建成年代</v>
      </c>
      <c r="R44" s="750" t="s">
        <v>28</v>
      </c>
      <c r="S44" s="751">
        <f t="shared" si="12"/>
        <v>100</v>
      </c>
      <c r="T44" s="750" t="s">
        <v>28</v>
      </c>
      <c r="U44" s="751">
        <f t="shared" si="13"/>
        <v>100</v>
      </c>
      <c r="V44" s="750" t="s">
        <v>28</v>
      </c>
      <c r="W44" s="751">
        <f t="shared" si="14"/>
        <v>100</v>
      </c>
      <c r="X44" s="752"/>
      <c r="Y44" s="3037"/>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5"/>
      <c r="Q45" s="1905">
        <f t="shared" si="11"/>
        <v>111</v>
      </c>
      <c r="R45" s="754" t="s">
        <v>28</v>
      </c>
      <c r="S45" s="755">
        <f t="shared" si="12"/>
        <v>100</v>
      </c>
      <c r="T45" s="754" t="s">
        <v>28</v>
      </c>
      <c r="U45" s="755">
        <f t="shared" si="13"/>
        <v>100</v>
      </c>
      <c r="V45" s="754" t="s">
        <v>28</v>
      </c>
      <c r="W45" s="755">
        <f t="shared" si="14"/>
        <v>100</v>
      </c>
      <c r="X45" s="1906"/>
      <c r="Y45" s="3037"/>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6"/>
      <c r="Q46" s="1905">
        <f t="shared" si="11"/>
        <v>111</v>
      </c>
      <c r="R46" s="754" t="s">
        <v>27</v>
      </c>
      <c r="S46" s="755">
        <f t="shared" si="12"/>
        <v>100</v>
      </c>
      <c r="T46" s="754" t="s">
        <v>27</v>
      </c>
      <c r="U46" s="755">
        <f t="shared" si="13"/>
        <v>100</v>
      </c>
      <c r="V46" s="754" t="s">
        <v>27</v>
      </c>
      <c r="W46" s="755">
        <f t="shared" si="14"/>
        <v>100</v>
      </c>
      <c r="X46" s="1906"/>
      <c r="Y46" s="3038"/>
      <c r="Z46" s="1908">
        <f t="shared" si="15"/>
        <v>111</v>
      </c>
      <c r="AA46" s="1909">
        <f t="shared" si="3"/>
        <v>1</v>
      </c>
      <c r="AB46" s="1909">
        <f t="shared" si="4"/>
        <v>1</v>
      </c>
      <c r="AC46" s="1909">
        <f t="shared" si="5"/>
        <v>1</v>
      </c>
    </row>
    <row r="47" spans="1:29" ht="15">
      <c r="A47" s="461" t="s">
        <v>2385</v>
      </c>
      <c r="B47" s="462"/>
      <c r="C47" s="1504" t="s">
        <v>26</v>
      </c>
      <c r="D47" s="1505"/>
      <c r="E47" s="1506">
        <v>54457</v>
      </c>
      <c r="F47" s="1507"/>
      <c r="G47" s="1508">
        <v>52601</v>
      </c>
      <c r="H47" s="1509"/>
      <c r="I47" s="1506">
        <v>52247</v>
      </c>
      <c r="J47" s="1509"/>
      <c r="K47" s="2424"/>
      <c r="L47" s="1258"/>
      <c r="M47" s="1259"/>
      <c r="N47" s="1246"/>
      <c r="O47" s="1259"/>
      <c r="P47" s="3029" t="str">
        <f>A47</f>
        <v>成交单价（元/平方米）</v>
      </c>
      <c r="Q47" s="3029"/>
      <c r="R47" s="3025">
        <f>E47</f>
        <v>54457</v>
      </c>
      <c r="S47" s="3025"/>
      <c r="T47" s="3025">
        <f>G47</f>
        <v>52601</v>
      </c>
      <c r="U47" s="3025"/>
      <c r="V47" s="3025">
        <f>I47</f>
        <v>52247</v>
      </c>
      <c r="W47" s="3025"/>
      <c r="X47" s="739"/>
      <c r="Y47" s="761"/>
      <c r="Z47" s="739"/>
      <c r="AA47" s="739"/>
      <c r="AB47" s="739"/>
      <c r="AC47" s="739"/>
    </row>
    <row r="48" spans="1:29" ht="15.75" thickBot="1">
      <c r="A48" s="468" t="s">
        <v>2386</v>
      </c>
      <c r="B48" s="469"/>
      <c r="C48" s="1510">
        <f>R49</f>
        <v>52731</v>
      </c>
      <c r="D48" s="1511"/>
      <c r="E48" s="1512">
        <f>R48</f>
        <v>53725</v>
      </c>
      <c r="F48" s="1512"/>
      <c r="G48" s="1510">
        <f>T48</f>
        <v>53208</v>
      </c>
      <c r="H48" s="1511"/>
      <c r="I48" s="1512">
        <f>V48</f>
        <v>51259</v>
      </c>
      <c r="J48" s="1511"/>
      <c r="K48" s="2425"/>
      <c r="L48" s="1258"/>
      <c r="M48" s="1259"/>
      <c r="N48" s="1259"/>
      <c r="O48" s="1259"/>
      <c r="P48" s="3029" t="str">
        <f>A48</f>
        <v>比较价值（元/平方米）</v>
      </c>
      <c r="Q48" s="3029"/>
      <c r="R48" s="3025">
        <f>IF(E1="售价",ROUND(PRODUCT(R47,AA7:AA46),0),ROUND(PRODUCT(R47,AA7:AA46),1))</f>
        <v>53725</v>
      </c>
      <c r="S48" s="3025"/>
      <c r="T48" s="3023">
        <f>IF(E1="售价",ROUND(PRODUCT(T47,AB7:AB46),0),ROUND(PRODUCT(T47,AB7:AB46),1))</f>
        <v>53208</v>
      </c>
      <c r="U48" s="3024"/>
      <c r="V48" s="3025">
        <f>IF(E1="售价",ROUND(PRODUCT(V47,AC7:AC46),0),ROUND(PRODUCT(V47,AC7:AC46),1))</f>
        <v>51259</v>
      </c>
      <c r="W48" s="3025"/>
      <c r="X48" s="739"/>
      <c r="Y48" s="739"/>
      <c r="Z48" s="739"/>
      <c r="AA48" s="739"/>
      <c r="AB48" s="739"/>
      <c r="AC48" s="739"/>
    </row>
    <row r="49" spans="1:29" ht="15.75" thickBot="1">
      <c r="A49" s="474" t="s">
        <v>2387</v>
      </c>
      <c r="B49" s="475"/>
      <c r="C49" s="1513">
        <f>R49</f>
        <v>52731</v>
      </c>
      <c r="D49" s="1514"/>
      <c r="E49" s="1514"/>
      <c r="F49" s="1514"/>
      <c r="G49" s="1514"/>
      <c r="H49" s="1514"/>
      <c r="I49" s="1514"/>
      <c r="J49" s="1514"/>
      <c r="K49" s="2426"/>
      <c r="L49" s="1258"/>
      <c r="M49" s="1259"/>
      <c r="N49" s="1259"/>
      <c r="O49" s="1259"/>
      <c r="P49" s="3026" t="str">
        <f>A49</f>
        <v>估价对象XX用房的比较价值（楼面单价，元/平方米）</v>
      </c>
      <c r="Q49" s="3027"/>
      <c r="R49" s="3028">
        <f>IF(E1="售价",ROUND(AVERAGE(R48:V48),0),ROUND(AVERAGE(R48:V48),1))</f>
        <v>52731</v>
      </c>
      <c r="S49" s="3028"/>
      <c r="T49" s="3028"/>
      <c r="U49" s="3028"/>
      <c r="V49" s="3028"/>
      <c r="W49" s="302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2389</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2829</v>
      </c>
      <c r="D88" s="2728" t="s">
        <v>2830</v>
      </c>
      <c r="E88" s="2728" t="s">
        <v>2831</v>
      </c>
      <c r="F88" s="2728" t="s">
        <v>2832</v>
      </c>
      <c r="G88" s="2728" t="s">
        <v>2833</v>
      </c>
      <c r="H88" s="2728" t="s">
        <v>2834</v>
      </c>
      <c r="I88" s="2728" t="s">
        <v>2835</v>
      </c>
      <c r="J88" s="2728" t="s">
        <v>2836</v>
      </c>
      <c r="K88" s="2728" t="s">
        <v>2837</v>
      </c>
      <c r="L88" s="2729" t="s">
        <v>2891</v>
      </c>
      <c r="M88" s="2744" t="s">
        <v>2893</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2838</v>
      </c>
      <c r="D90" s="2728" t="s">
        <v>2839</v>
      </c>
      <c r="E90" s="2728" t="s">
        <v>2840</v>
      </c>
      <c r="F90" s="2728" t="s">
        <v>2841</v>
      </c>
      <c r="G90" s="2728" t="s">
        <v>2842</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2894</v>
      </c>
      <c r="D92" s="2731" t="s">
        <v>2883</v>
      </c>
      <c r="E92" s="2731" t="s">
        <v>2895</v>
      </c>
      <c r="F92" s="2731" t="s">
        <v>2896</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2843</v>
      </c>
      <c r="D100" s="2732" t="s">
        <v>2844</v>
      </c>
      <c r="E100" s="2733" t="s">
        <v>2847</v>
      </c>
      <c r="F100" s="2732" t="s">
        <v>2845</v>
      </c>
      <c r="G100" s="2732" t="s">
        <v>2846</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2422</v>
      </c>
      <c r="C105" s="2728" t="s">
        <v>2848</v>
      </c>
      <c r="D105" s="2728" t="s">
        <v>2849</v>
      </c>
      <c r="E105" s="2734" t="s">
        <v>2850</v>
      </c>
      <c r="F105" s="2734" t="s">
        <v>2851</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2852</v>
      </c>
      <c r="D107" s="2728" t="s">
        <v>2853</v>
      </c>
      <c r="E107" s="2728" t="s">
        <v>2854</v>
      </c>
      <c r="F107" s="2734" t="s">
        <v>2855</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2852</v>
      </c>
      <c r="D109" s="2728" t="s">
        <v>2853</v>
      </c>
      <c r="E109" s="2728" t="s">
        <v>2854</v>
      </c>
      <c r="F109" s="2734" t="s">
        <v>2855</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2857</v>
      </c>
      <c r="D114" s="2728" t="s">
        <v>2858</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2860</v>
      </c>
      <c r="D116" s="2728" t="s">
        <v>2861</v>
      </c>
      <c r="E116" s="2728" t="s">
        <v>2862</v>
      </c>
      <c r="F116" s="2728" t="s">
        <v>2863</v>
      </c>
      <c r="G116" s="2728" t="s">
        <v>2864</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2865</v>
      </c>
      <c r="D118" s="2734" t="s">
        <v>2866</v>
      </c>
      <c r="E118" s="2736" t="s">
        <v>2874</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2852</v>
      </c>
      <c r="D122" s="2728" t="s">
        <v>2853</v>
      </c>
      <c r="E122" s="2728" t="s">
        <v>2854</v>
      </c>
      <c r="F122" s="2734" t="s">
        <v>2855</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abSelected="1" topLeftCell="B1" workbookViewId="0">
      <selection activeCell="B133" sqref="B133"/>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6" t="s">
        <v>1229</v>
      </c>
      <c r="B1" s="1836">
        <f>SUM(B14:B23)</f>
        <v>51.99</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43047</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254.34549999999999</v>
      </c>
      <c r="C5" s="1836">
        <f ca="1">ROUND(B5*10000/$B$1,0)</f>
        <v>48922</v>
      </c>
      <c r="D5" s="1836" t="e">
        <f ca="1">ROUND(B5*10000/$B$2,0)</f>
        <v>#DIV/0!</v>
      </c>
      <c r="E5" s="1837"/>
      <c r="F5" s="1841"/>
      <c r="G5" s="1841"/>
    </row>
    <row r="6" spans="1:9" ht="16.5">
      <c r="A6" s="1836" t="s">
        <v>1237</v>
      </c>
      <c r="B6" s="1836">
        <f ca="1">SUM(G14:G23)</f>
        <v>254.34549999999999</v>
      </c>
      <c r="C6" s="1836">
        <f t="shared" ref="C6:C8" ca="1" si="0">ROUND(B6*10000/$B$1,0)</f>
        <v>48922</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2870</v>
      </c>
      <c r="B14" s="1840">
        <f>项目基本情况!C12</f>
        <v>51.99</v>
      </c>
      <c r="C14" s="1840">
        <f>项目基本情况!C13</f>
        <v>0</v>
      </c>
      <c r="D14" s="1840">
        <f ca="1">IF('数据-取费表'!B3="万元",IF(A14="估价对象1（结果表）",结果表!H121,'结果表 (1修多)'!H124),IF(A14="估价对象1（结果表）",结果表!H121,'结果表 (1修多)'!H124)/10000)</f>
        <v>254.34549999999999</v>
      </c>
      <c r="E14" s="1840">
        <f ca="1">ROUND(D14*10000/B14,0)</f>
        <v>48922</v>
      </c>
      <c r="F14" s="1840" t="e">
        <f ca="1">ROUND(D14*10000/C14,0)</f>
        <v>#DIV/0!</v>
      </c>
      <c r="G14" s="1840">
        <f ca="1">IF('数据-取费表'!B3="万元",IF(A14="估价对象1（结果表）",结果表!D125,'结果表 (1修多)'!D128),IF(A14="估价对象1（结果表）",结果表!D125,'结果表 (1修多)'!D128)/10000)</f>
        <v>254.34549999999999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51.99</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56" t="s">
        <v>2343</v>
      </c>
      <c r="D4" s="3057"/>
      <c r="E4" s="3058" t="s">
        <v>2344</v>
      </c>
      <c r="F4" s="3059"/>
      <c r="G4" s="3056" t="s">
        <v>2345</v>
      </c>
      <c r="H4" s="3057"/>
      <c r="I4" s="3056" t="s">
        <v>2346</v>
      </c>
      <c r="J4" s="3057"/>
      <c r="K4" s="595" t="s">
        <v>2347</v>
      </c>
      <c r="L4" s="1245"/>
      <c r="M4" s="1246"/>
      <c r="N4" s="1246"/>
      <c r="O4" s="1246"/>
      <c r="P4" s="3060" t="s">
        <v>2348</v>
      </c>
      <c r="Q4" s="3061"/>
      <c r="R4" s="3045" t="s">
        <v>2344</v>
      </c>
      <c r="S4" s="3046"/>
      <c r="T4" s="3045" t="s">
        <v>2345</v>
      </c>
      <c r="U4" s="3046"/>
      <c r="V4" s="3066" t="s">
        <v>2346</v>
      </c>
      <c r="W4" s="3066"/>
      <c r="X4" s="1906"/>
      <c r="Y4" s="3045" t="s">
        <v>2348</v>
      </c>
      <c r="Z4" s="3046"/>
      <c r="AA4" s="3053" t="s">
        <v>2344</v>
      </c>
      <c r="AB4" s="3066" t="s">
        <v>2345</v>
      </c>
      <c r="AC4" s="3053" t="s">
        <v>2346</v>
      </c>
    </row>
    <row r="5" spans="1:29" ht="15">
      <c r="A5" s="384"/>
      <c r="B5" s="385"/>
      <c r="C5" s="3074" t="s">
        <v>2349</v>
      </c>
      <c r="D5" s="3075"/>
      <c r="E5" s="3072" t="s">
        <v>2350</v>
      </c>
      <c r="F5" s="3073"/>
      <c r="G5" s="3074" t="s">
        <v>2351</v>
      </c>
      <c r="H5" s="3075"/>
      <c r="I5" s="3074" t="s">
        <v>2352</v>
      </c>
      <c r="J5" s="3075"/>
      <c r="K5" s="595"/>
      <c r="L5" s="1245"/>
      <c r="M5" s="1246"/>
      <c r="N5" s="1246"/>
      <c r="O5" s="1246"/>
      <c r="P5" s="3062"/>
      <c r="Q5" s="3063"/>
      <c r="R5" s="3047"/>
      <c r="S5" s="3048"/>
      <c r="T5" s="3047"/>
      <c r="U5" s="3048"/>
      <c r="V5" s="3066"/>
      <c r="W5" s="3066"/>
      <c r="X5" s="1906"/>
      <c r="Y5" s="3047"/>
      <c r="Z5" s="3048"/>
      <c r="AA5" s="3054"/>
      <c r="AB5" s="3066"/>
      <c r="AC5" s="3054"/>
    </row>
    <row r="6" spans="1:29" ht="15.75" thickBot="1">
      <c r="A6" s="386"/>
      <c r="B6" s="387"/>
      <c r="C6" s="3039" t="s">
        <v>2353</v>
      </c>
      <c r="D6" s="3040"/>
      <c r="E6" s="3070" t="s">
        <v>2353</v>
      </c>
      <c r="F6" s="3071"/>
      <c r="G6" s="3039" t="s">
        <v>2353</v>
      </c>
      <c r="H6" s="3040"/>
      <c r="I6" s="3039" t="s">
        <v>2353</v>
      </c>
      <c r="J6" s="3040"/>
      <c r="K6" s="595" t="s">
        <v>2354</v>
      </c>
      <c r="L6" s="1245"/>
      <c r="M6" s="1246"/>
      <c r="N6" s="1246"/>
      <c r="O6" s="1246"/>
      <c r="P6" s="3064"/>
      <c r="Q6" s="3065"/>
      <c r="R6" s="3047"/>
      <c r="S6" s="3048"/>
      <c r="T6" s="3049"/>
      <c r="U6" s="3050"/>
      <c r="V6" s="3066"/>
      <c r="W6" s="3066"/>
      <c r="X6" s="1906"/>
      <c r="Y6" s="3049"/>
      <c r="Z6" s="3050"/>
      <c r="AA6" s="3055"/>
      <c r="AB6" s="3066"/>
      <c r="AC6" s="3055"/>
    </row>
    <row r="7" spans="1:29" s="35" customFormat="1" ht="15.75" thickBot="1">
      <c r="A7" s="388" t="s">
        <v>2355</v>
      </c>
      <c r="B7" s="389"/>
      <c r="C7" s="390">
        <f>'数据-取费表'!B2</f>
        <v>43047</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3" t="s">
        <v>2356</v>
      </c>
      <c r="Q7" s="3051"/>
      <c r="R7" s="750" t="s">
        <v>25</v>
      </c>
      <c r="S7" s="751">
        <f t="shared" ref="S7:S15" si="0">F7</f>
        <v>0</v>
      </c>
      <c r="T7" s="750" t="s">
        <v>25</v>
      </c>
      <c r="U7" s="751">
        <f t="shared" ref="U7:U15" si="1">H7</f>
        <v>0</v>
      </c>
      <c r="V7" s="750" t="s">
        <v>25</v>
      </c>
      <c r="W7" s="751">
        <f t="shared" ref="W7:W15" si="2">J7</f>
        <v>0</v>
      </c>
      <c r="X7" s="752"/>
      <c r="Y7" s="3043" t="s">
        <v>2356</v>
      </c>
      <c r="Z7" s="304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3" t="s">
        <v>2359</v>
      </c>
      <c r="Q8" s="3044"/>
      <c r="R8" s="750" t="s">
        <v>25</v>
      </c>
      <c r="S8" s="751">
        <f t="shared" si="0"/>
        <v>0</v>
      </c>
      <c r="T8" s="750" t="s">
        <v>25</v>
      </c>
      <c r="U8" s="751">
        <f t="shared" si="1"/>
        <v>0</v>
      </c>
      <c r="V8" s="750" t="s">
        <v>25</v>
      </c>
      <c r="W8" s="751">
        <f t="shared" si="2"/>
        <v>0</v>
      </c>
      <c r="X8" s="752"/>
      <c r="Y8" s="3043" t="s">
        <v>2359</v>
      </c>
      <c r="Z8" s="304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2" t="s">
        <v>2362</v>
      </c>
      <c r="Q9" s="1893" t="str">
        <f t="shared" ref="Q9:Q15" si="6">B9</f>
        <v>用途</v>
      </c>
      <c r="R9" s="750" t="s">
        <v>25</v>
      </c>
      <c r="S9" s="751">
        <f t="shared" si="0"/>
        <v>100</v>
      </c>
      <c r="T9" s="750" t="s">
        <v>25</v>
      </c>
      <c r="U9" s="751">
        <f t="shared" si="1"/>
        <v>100</v>
      </c>
      <c r="V9" s="750" t="s">
        <v>25</v>
      </c>
      <c r="W9" s="751">
        <f t="shared" si="2"/>
        <v>100</v>
      </c>
      <c r="X9" s="752"/>
      <c r="Y9" s="285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2"/>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2"/>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2"/>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2"/>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2"/>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0" t="s">
        <v>2367</v>
      </c>
      <c r="Q15" s="1905" t="str">
        <f t="shared" si="6"/>
        <v>商业繁华度</v>
      </c>
      <c r="R15" s="754" t="s">
        <v>25</v>
      </c>
      <c r="S15" s="755">
        <f t="shared" si="0"/>
        <v>100</v>
      </c>
      <c r="T15" s="754" t="s">
        <v>25</v>
      </c>
      <c r="U15" s="755">
        <f t="shared" si="1"/>
        <v>100</v>
      </c>
      <c r="V15" s="754" t="s">
        <v>25</v>
      </c>
      <c r="W15" s="755">
        <f t="shared" si="2"/>
        <v>100</v>
      </c>
      <c r="X15" s="1906"/>
      <c r="Y15" s="303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1"/>
      <c r="Q16" s="1905"/>
      <c r="R16" s="754"/>
      <c r="S16" s="755"/>
      <c r="T16" s="754"/>
      <c r="U16" s="755"/>
      <c r="V16" s="754"/>
      <c r="W16" s="755"/>
      <c r="X16" s="1906"/>
      <c r="Y16" s="3033"/>
      <c r="Z16" s="1908"/>
      <c r="AA16" s="1909">
        <v>1</v>
      </c>
      <c r="AB16" s="1909">
        <v>1</v>
      </c>
      <c r="AC16" s="1909">
        <v>1</v>
      </c>
    </row>
    <row r="17" spans="1:29" ht="213.75">
      <c r="A17" s="409"/>
      <c r="B17" s="432" t="s">
        <v>1751</v>
      </c>
      <c r="C17" s="2413" t="str">
        <f>估价对象房地状况!C6</f>
        <v>估价对象紧邻城市支路——定福庄北街，临近地铁6号线（褡裢坡站）八通线（传媒大学站）；以估价对象为中心半径2公里范围内有306路、411路、488路、499路、517路等十余条公交线路，综合评价交通便捷度较好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1"/>
      <c r="Q17" s="1905" t="str">
        <f>B17</f>
        <v>交通便捷度</v>
      </c>
      <c r="R17" s="754" t="s">
        <v>25</v>
      </c>
      <c r="S17" s="755">
        <f>F17</f>
        <v>100</v>
      </c>
      <c r="T17" s="754" t="s">
        <v>25</v>
      </c>
      <c r="U17" s="755">
        <f>H17</f>
        <v>100</v>
      </c>
      <c r="V17" s="754" t="s">
        <v>25</v>
      </c>
      <c r="W17" s="755">
        <f>J17</f>
        <v>100</v>
      </c>
      <c r="X17" s="1906"/>
      <c r="Y17" s="303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31"/>
      <c r="Q18" s="1905"/>
      <c r="R18" s="754"/>
      <c r="S18" s="755"/>
      <c r="T18" s="754"/>
      <c r="U18" s="755"/>
      <c r="V18" s="754"/>
      <c r="W18" s="755"/>
      <c r="X18" s="1906"/>
      <c r="Y18" s="3033"/>
      <c r="Z18" s="1908"/>
      <c r="AA18" s="1909">
        <v>1</v>
      </c>
      <c r="AB18" s="1909">
        <v>1</v>
      </c>
      <c r="AC18" s="1909">
        <v>1</v>
      </c>
    </row>
    <row r="19" spans="1:29" ht="42.75">
      <c r="A19" s="409"/>
      <c r="B19" s="432" t="s">
        <v>2453</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1"/>
      <c r="Q19" s="1905" t="str">
        <f>B19</f>
        <v>公共配套设施</v>
      </c>
      <c r="R19" s="754" t="s">
        <v>25</v>
      </c>
      <c r="S19" s="755">
        <f>F19</f>
        <v>100</v>
      </c>
      <c r="T19" s="754" t="s">
        <v>25</v>
      </c>
      <c r="U19" s="755">
        <f>H19</f>
        <v>100</v>
      </c>
      <c r="V19" s="754" t="s">
        <v>25</v>
      </c>
      <c r="W19" s="755">
        <f>J19</f>
        <v>100</v>
      </c>
      <c r="X19" s="1906"/>
      <c r="Y19" s="3033"/>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31"/>
      <c r="Q20" s="1905"/>
      <c r="R20" s="754"/>
      <c r="S20" s="755"/>
      <c r="T20" s="754"/>
      <c r="U20" s="755"/>
      <c r="V20" s="754"/>
      <c r="W20" s="755"/>
      <c r="X20" s="1906"/>
      <c r="Y20" s="3033"/>
      <c r="Z20" s="1908"/>
      <c r="AA20" s="1909">
        <v>1</v>
      </c>
      <c r="AB20" s="1909">
        <v>1</v>
      </c>
      <c r="AC20" s="1909">
        <v>1</v>
      </c>
    </row>
    <row r="21" spans="1:29" ht="42.75">
      <c r="A21" s="409"/>
      <c r="B21" s="2415" t="s">
        <v>2454</v>
      </c>
      <c r="C21" s="2413"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1"/>
      <c r="Q21" s="1905" t="str">
        <f>B21</f>
        <v>基础设施水平</v>
      </c>
      <c r="R21" s="754" t="s">
        <v>25</v>
      </c>
      <c r="S21" s="755">
        <f>F21</f>
        <v>100</v>
      </c>
      <c r="T21" s="754" t="s">
        <v>25</v>
      </c>
      <c r="U21" s="755">
        <f>H21</f>
        <v>100</v>
      </c>
      <c r="V21" s="754" t="s">
        <v>25</v>
      </c>
      <c r="W21" s="755">
        <f>J21</f>
        <v>100</v>
      </c>
      <c r="X21" s="1906"/>
      <c r="Y21" s="303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31"/>
      <c r="Q22" s="1905"/>
      <c r="R22" s="754"/>
      <c r="S22" s="755"/>
      <c r="T22" s="754"/>
      <c r="U22" s="755"/>
      <c r="V22" s="754"/>
      <c r="W22" s="755"/>
      <c r="X22" s="1906"/>
      <c r="Y22" s="3033"/>
      <c r="Z22" s="1908"/>
      <c r="AA22" s="1909">
        <v>1</v>
      </c>
      <c r="AB22" s="1909">
        <v>1</v>
      </c>
      <c r="AC22" s="1909">
        <v>1</v>
      </c>
    </row>
    <row r="23" spans="1:29" ht="128.25">
      <c r="A23" s="409"/>
      <c r="B23" s="432" t="s">
        <v>1756</v>
      </c>
      <c r="C23" s="2464" t="str">
        <f>估价对象房地状况!C9</f>
        <v>自然环境：兴隆公园、京城梨园、大黄庄苗圃花木基地等；人文环境：中国传媒大学、高进村史博物馆等，综合评价环境状况较好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1"/>
      <c r="Q23" s="1905" t="str">
        <f>B23</f>
        <v>自然及人文环境</v>
      </c>
      <c r="R23" s="754" t="s">
        <v>25</v>
      </c>
      <c r="S23" s="755">
        <f>F23</f>
        <v>100</v>
      </c>
      <c r="T23" s="754" t="s">
        <v>25</v>
      </c>
      <c r="U23" s="755">
        <f>H23</f>
        <v>100</v>
      </c>
      <c r="V23" s="754" t="s">
        <v>25</v>
      </c>
      <c r="W23" s="755">
        <f>J23</f>
        <v>100</v>
      </c>
      <c r="X23" s="1906"/>
      <c r="Y23" s="3033"/>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31"/>
      <c r="Q24" s="1905"/>
      <c r="R24" s="754"/>
      <c r="S24" s="755"/>
      <c r="T24" s="754"/>
      <c r="U24" s="755"/>
      <c r="V24" s="754"/>
      <c r="W24" s="755"/>
      <c r="X24" s="1906"/>
      <c r="Y24" s="303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1"/>
      <c r="Q25" s="1905" t="str">
        <f t="shared" ref="Q25:Q46" si="11">B25</f>
        <v>临街状况</v>
      </c>
      <c r="R25" s="754" t="s">
        <v>25</v>
      </c>
      <c r="S25" s="755">
        <f>F25</f>
        <v>100</v>
      </c>
      <c r="T25" s="754" t="s">
        <v>25</v>
      </c>
      <c r="U25" s="755">
        <f>H25</f>
        <v>100</v>
      </c>
      <c r="V25" s="754" t="s">
        <v>25</v>
      </c>
      <c r="W25" s="755">
        <f>J25</f>
        <v>100</v>
      </c>
      <c r="X25" s="1906"/>
      <c r="Y25" s="3033"/>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1"/>
      <c r="Q26" s="1905" t="str">
        <f t="shared" si="11"/>
        <v>平面位置/可视性</v>
      </c>
      <c r="R26" s="754" t="s">
        <v>25</v>
      </c>
      <c r="S26" s="755">
        <f>F26</f>
        <v>100</v>
      </c>
      <c r="T26" s="754" t="s">
        <v>25</v>
      </c>
      <c r="U26" s="755">
        <f>H26</f>
        <v>100</v>
      </c>
      <c r="V26" s="754" t="s">
        <v>25</v>
      </c>
      <c r="W26" s="755">
        <f>J26</f>
        <v>100</v>
      </c>
      <c r="X26" s="1906"/>
      <c r="Y26" s="3033"/>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31"/>
      <c r="Q27" s="1893" t="str">
        <f t="shared" si="11"/>
        <v>人流量</v>
      </c>
      <c r="R27" s="750" t="s">
        <v>25</v>
      </c>
      <c r="S27" s="751">
        <f>F27</f>
        <v>100</v>
      </c>
      <c r="T27" s="750" t="s">
        <v>25</v>
      </c>
      <c r="U27" s="751">
        <f>H27</f>
        <v>100</v>
      </c>
      <c r="V27" s="750" t="s">
        <v>25</v>
      </c>
      <c r="W27" s="751">
        <f>J27</f>
        <v>100</v>
      </c>
      <c r="X27" s="752"/>
      <c r="Y27" s="303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1"/>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3"/>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1"/>
      <c r="Q29" s="1905">
        <f t="shared" si="11"/>
        <v>111</v>
      </c>
      <c r="R29" s="754" t="s">
        <v>25</v>
      </c>
      <c r="S29" s="755">
        <f t="shared" si="12"/>
        <v>100</v>
      </c>
      <c r="T29" s="754" t="s">
        <v>25</v>
      </c>
      <c r="U29" s="755">
        <f t="shared" si="13"/>
        <v>100</v>
      </c>
      <c r="V29" s="754" t="s">
        <v>25</v>
      </c>
      <c r="W29" s="755">
        <f t="shared" si="14"/>
        <v>100</v>
      </c>
      <c r="X29" s="1906"/>
      <c r="Y29" s="3033"/>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1"/>
      <c r="Q30" s="1905">
        <f t="shared" si="11"/>
        <v>111</v>
      </c>
      <c r="R30" s="754" t="s">
        <v>25</v>
      </c>
      <c r="S30" s="755">
        <f t="shared" si="12"/>
        <v>100</v>
      </c>
      <c r="T30" s="754" t="s">
        <v>25</v>
      </c>
      <c r="U30" s="755">
        <f t="shared" si="13"/>
        <v>100</v>
      </c>
      <c r="V30" s="754" t="s">
        <v>25</v>
      </c>
      <c r="W30" s="755">
        <f t="shared" si="14"/>
        <v>100</v>
      </c>
      <c r="X30" s="1906"/>
      <c r="Y30" s="3033"/>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1"/>
      <c r="Q31" s="1905">
        <f t="shared" si="11"/>
        <v>111</v>
      </c>
      <c r="R31" s="754" t="s">
        <v>25</v>
      </c>
      <c r="S31" s="755">
        <f t="shared" si="12"/>
        <v>100</v>
      </c>
      <c r="T31" s="754" t="s">
        <v>25</v>
      </c>
      <c r="U31" s="755">
        <f t="shared" si="13"/>
        <v>100</v>
      </c>
      <c r="V31" s="754" t="s">
        <v>25</v>
      </c>
      <c r="W31" s="755">
        <f t="shared" si="14"/>
        <v>100</v>
      </c>
      <c r="X31" s="1906"/>
      <c r="Y31" s="3033"/>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4" t="s">
        <v>2373</v>
      </c>
      <c r="Q32" s="1905" t="str">
        <f t="shared" si="11"/>
        <v>商业类型</v>
      </c>
      <c r="R32" s="754" t="s">
        <v>25</v>
      </c>
      <c r="S32" s="755">
        <f t="shared" si="12"/>
        <v>100</v>
      </c>
      <c r="T32" s="754" t="s">
        <v>25</v>
      </c>
      <c r="U32" s="755">
        <f t="shared" si="13"/>
        <v>100</v>
      </c>
      <c r="V32" s="754" t="s">
        <v>25</v>
      </c>
      <c r="W32" s="755">
        <f t="shared" si="14"/>
        <v>100</v>
      </c>
      <c r="X32" s="1906"/>
      <c r="Y32" s="303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5"/>
      <c r="Q33" s="756" t="str">
        <f t="shared" si="11"/>
        <v>项目建筑规模</v>
      </c>
      <c r="R33" s="757" t="s">
        <v>25</v>
      </c>
      <c r="S33" s="758" t="e">
        <f t="shared" si="12"/>
        <v>#N/A</v>
      </c>
      <c r="T33" s="757" t="s">
        <v>25</v>
      </c>
      <c r="U33" s="758" t="e">
        <f t="shared" si="13"/>
        <v>#N/A</v>
      </c>
      <c r="V33" s="757" t="s">
        <v>25</v>
      </c>
      <c r="W33" s="758" t="e">
        <f t="shared" si="14"/>
        <v>#N/A</v>
      </c>
      <c r="X33" s="759"/>
      <c r="Y33" s="3037"/>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5"/>
      <c r="Q34" s="1905" t="str">
        <f t="shared" si="11"/>
        <v>建筑结构</v>
      </c>
      <c r="R34" s="754" t="s">
        <v>25</v>
      </c>
      <c r="S34" s="755">
        <f t="shared" si="12"/>
        <v>100</v>
      </c>
      <c r="T34" s="754" t="s">
        <v>25</v>
      </c>
      <c r="U34" s="755">
        <f t="shared" si="13"/>
        <v>100</v>
      </c>
      <c r="V34" s="754" t="s">
        <v>25</v>
      </c>
      <c r="W34" s="755">
        <f t="shared" si="14"/>
        <v>100</v>
      </c>
      <c r="X34" s="1906"/>
      <c r="Y34" s="3037"/>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5"/>
      <c r="Q35" s="1905" t="str">
        <f t="shared" si="11"/>
        <v>公共部分装修</v>
      </c>
      <c r="R35" s="754" t="s">
        <v>25</v>
      </c>
      <c r="S35" s="755">
        <f t="shared" si="12"/>
        <v>100</v>
      </c>
      <c r="T35" s="754" t="s">
        <v>25</v>
      </c>
      <c r="U35" s="755">
        <f t="shared" si="13"/>
        <v>100</v>
      </c>
      <c r="V35" s="754" t="s">
        <v>25</v>
      </c>
      <c r="W35" s="755">
        <f t="shared" si="14"/>
        <v>100</v>
      </c>
      <c r="X35" s="1906"/>
      <c r="Y35" s="303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5"/>
      <c r="Q36" s="1905" t="str">
        <f t="shared" si="11"/>
        <v>成新度</v>
      </c>
      <c r="R36" s="754" t="s">
        <v>25</v>
      </c>
      <c r="S36" s="755" t="e">
        <f t="shared" si="12"/>
        <v>#N/A</v>
      </c>
      <c r="T36" s="754" t="s">
        <v>25</v>
      </c>
      <c r="U36" s="755" t="e">
        <f t="shared" si="13"/>
        <v>#N/A</v>
      </c>
      <c r="V36" s="754" t="s">
        <v>25</v>
      </c>
      <c r="W36" s="755" t="e">
        <f t="shared" si="14"/>
        <v>#N/A</v>
      </c>
      <c r="X36" s="1906"/>
      <c r="Y36" s="3037"/>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5"/>
      <c r="Q37" s="1893" t="str">
        <f t="shared" si="11"/>
        <v>市政基础设施</v>
      </c>
      <c r="R37" s="750" t="s">
        <v>25</v>
      </c>
      <c r="S37" s="751">
        <f t="shared" si="12"/>
        <v>100</v>
      </c>
      <c r="T37" s="750" t="s">
        <v>25</v>
      </c>
      <c r="U37" s="751">
        <f t="shared" si="13"/>
        <v>100</v>
      </c>
      <c r="V37" s="750" t="s">
        <v>25</v>
      </c>
      <c r="W37" s="751">
        <f t="shared" si="14"/>
        <v>100</v>
      </c>
      <c r="X37" s="752"/>
      <c r="Y37" s="3037"/>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5" t="s">
        <v>2373</v>
      </c>
      <c r="Q38" s="1905" t="str">
        <f t="shared" si="11"/>
        <v>业态</v>
      </c>
      <c r="R38" s="754" t="s">
        <v>25</v>
      </c>
      <c r="S38" s="755">
        <f t="shared" si="12"/>
        <v>100</v>
      </c>
      <c r="T38" s="754" t="s">
        <v>25</v>
      </c>
      <c r="U38" s="755">
        <f t="shared" si="13"/>
        <v>100</v>
      </c>
      <c r="V38" s="754" t="s">
        <v>25</v>
      </c>
      <c r="W38" s="755">
        <f t="shared" si="14"/>
        <v>100</v>
      </c>
      <c r="X38" s="1906"/>
      <c r="Y38" s="3037"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5"/>
      <c r="Q39" s="1905" t="str">
        <f t="shared" si="11"/>
        <v>层高</v>
      </c>
      <c r="R39" s="754" t="s">
        <v>25</v>
      </c>
      <c r="S39" s="755">
        <f t="shared" si="12"/>
        <v>100</v>
      </c>
      <c r="T39" s="754" t="s">
        <v>25</v>
      </c>
      <c r="U39" s="755">
        <f t="shared" si="13"/>
        <v>100</v>
      </c>
      <c r="V39" s="754" t="s">
        <v>25</v>
      </c>
      <c r="W39" s="755">
        <f t="shared" si="14"/>
        <v>100</v>
      </c>
      <c r="X39" s="1906"/>
      <c r="Y39" s="303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5"/>
      <c r="Q40" s="1905" t="str">
        <f t="shared" si="11"/>
        <v>单套建筑面积</v>
      </c>
      <c r="R40" s="754" t="s">
        <v>25</v>
      </c>
      <c r="S40" s="755">
        <f t="shared" si="12"/>
        <v>100</v>
      </c>
      <c r="T40" s="754" t="s">
        <v>25</v>
      </c>
      <c r="U40" s="755">
        <f t="shared" si="13"/>
        <v>100</v>
      </c>
      <c r="V40" s="754" t="s">
        <v>25</v>
      </c>
      <c r="W40" s="755">
        <f t="shared" si="14"/>
        <v>100</v>
      </c>
      <c r="X40" s="1906"/>
      <c r="Y40" s="303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5"/>
      <c r="Q41" s="756" t="str">
        <f t="shared" si="11"/>
        <v>进深比</v>
      </c>
      <c r="R41" s="757" t="s">
        <v>25</v>
      </c>
      <c r="S41" s="758">
        <f t="shared" si="12"/>
        <v>100</v>
      </c>
      <c r="T41" s="757" t="s">
        <v>25</v>
      </c>
      <c r="U41" s="758">
        <f t="shared" si="13"/>
        <v>100</v>
      </c>
      <c r="V41" s="757" t="s">
        <v>25</v>
      </c>
      <c r="W41" s="758">
        <f t="shared" si="14"/>
        <v>100</v>
      </c>
      <c r="X41" s="759"/>
      <c r="Y41" s="3037"/>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5"/>
      <c r="Q42" s="1905" t="str">
        <f t="shared" si="11"/>
        <v>内部装修</v>
      </c>
      <c r="R42" s="754" t="s">
        <v>25</v>
      </c>
      <c r="S42" s="755">
        <f t="shared" si="12"/>
        <v>100</v>
      </c>
      <c r="T42" s="754" t="s">
        <v>25</v>
      </c>
      <c r="U42" s="755">
        <f t="shared" si="13"/>
        <v>100</v>
      </c>
      <c r="V42" s="754" t="s">
        <v>25</v>
      </c>
      <c r="W42" s="755">
        <f t="shared" si="14"/>
        <v>100</v>
      </c>
      <c r="X42" s="1906"/>
      <c r="Y42" s="3037"/>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5"/>
      <c r="Q43" s="1905" t="str">
        <f t="shared" si="11"/>
        <v>内部装修维护情况</v>
      </c>
      <c r="R43" s="754" t="s">
        <v>25</v>
      </c>
      <c r="S43" s="755">
        <f t="shared" si="12"/>
        <v>100</v>
      </c>
      <c r="T43" s="754" t="s">
        <v>25</v>
      </c>
      <c r="U43" s="755">
        <f t="shared" si="13"/>
        <v>100</v>
      </c>
      <c r="V43" s="754" t="s">
        <v>25</v>
      </c>
      <c r="W43" s="755">
        <f t="shared" si="14"/>
        <v>100</v>
      </c>
      <c r="X43" s="1906"/>
      <c r="Y43" s="3037"/>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5"/>
      <c r="Q44" s="1893">
        <f t="shared" si="11"/>
        <v>111</v>
      </c>
      <c r="R44" s="750" t="s">
        <v>25</v>
      </c>
      <c r="S44" s="751">
        <f t="shared" si="12"/>
        <v>100</v>
      </c>
      <c r="T44" s="750" t="s">
        <v>25</v>
      </c>
      <c r="U44" s="751">
        <f t="shared" si="13"/>
        <v>100</v>
      </c>
      <c r="V44" s="750" t="s">
        <v>25</v>
      </c>
      <c r="W44" s="751">
        <f t="shared" si="14"/>
        <v>100</v>
      </c>
      <c r="X44" s="752"/>
      <c r="Y44" s="3037"/>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5"/>
      <c r="Q45" s="1905">
        <f t="shared" si="11"/>
        <v>111</v>
      </c>
      <c r="R45" s="754" t="s">
        <v>25</v>
      </c>
      <c r="S45" s="755">
        <f t="shared" si="12"/>
        <v>100</v>
      </c>
      <c r="T45" s="754" t="s">
        <v>25</v>
      </c>
      <c r="U45" s="755">
        <f t="shared" si="13"/>
        <v>100</v>
      </c>
      <c r="V45" s="754" t="s">
        <v>25</v>
      </c>
      <c r="W45" s="755">
        <f t="shared" si="14"/>
        <v>100</v>
      </c>
      <c r="X45" s="1906"/>
      <c r="Y45" s="3037"/>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6"/>
      <c r="Q46" s="1905">
        <f t="shared" si="11"/>
        <v>111</v>
      </c>
      <c r="R46" s="754" t="s">
        <v>25</v>
      </c>
      <c r="S46" s="755">
        <f t="shared" si="12"/>
        <v>100</v>
      </c>
      <c r="T46" s="754" t="s">
        <v>25</v>
      </c>
      <c r="U46" s="755">
        <f t="shared" si="13"/>
        <v>100</v>
      </c>
      <c r="V46" s="754" t="s">
        <v>25</v>
      </c>
      <c r="W46" s="755">
        <f t="shared" si="14"/>
        <v>100</v>
      </c>
      <c r="X46" s="1906"/>
      <c r="Y46" s="303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29" t="str">
        <f>A47</f>
        <v>成交单价（元/平方米）</v>
      </c>
      <c r="Q47" s="3029"/>
      <c r="R47" s="3025">
        <f>E47</f>
        <v>0</v>
      </c>
      <c r="S47" s="3025"/>
      <c r="T47" s="3025">
        <f>G47</f>
        <v>0</v>
      </c>
      <c r="U47" s="3025"/>
      <c r="V47" s="3025">
        <f>I47</f>
        <v>0</v>
      </c>
      <c r="W47" s="302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29" t="str">
        <f>A48</f>
        <v>比较价值（元/平方米）</v>
      </c>
      <c r="Q48" s="3029"/>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26" t="str">
        <f>A49</f>
        <v>估价对象XX用房的比较价值（楼面单价，元/平方米）</v>
      </c>
      <c r="Q49" s="3027"/>
      <c r="R49" s="3028" t="e">
        <f>IF(E1="售价",ROUND(AVERAGE(R48:V48),0),ROUND(AVERAGE(R48:V48),1))</f>
        <v>#DIV/0!</v>
      </c>
      <c r="S49" s="3028"/>
      <c r="T49" s="3028"/>
      <c r="U49" s="3028"/>
      <c r="V49" s="3028"/>
      <c r="W49" s="302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51.99</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56" t="s">
        <v>2343</v>
      </c>
      <c r="D4" s="3057"/>
      <c r="E4" s="3058" t="s">
        <v>2344</v>
      </c>
      <c r="F4" s="3059"/>
      <c r="G4" s="3056" t="s">
        <v>2345</v>
      </c>
      <c r="H4" s="3057"/>
      <c r="I4" s="3056" t="s">
        <v>2346</v>
      </c>
      <c r="J4" s="3057"/>
      <c r="K4" s="595" t="s">
        <v>2347</v>
      </c>
      <c r="L4" s="1245"/>
      <c r="M4" s="1246"/>
      <c r="N4" s="1246"/>
      <c r="O4" s="1246"/>
      <c r="P4" s="3080" t="s">
        <v>2348</v>
      </c>
      <c r="Q4" s="3061"/>
      <c r="R4" s="3045" t="s">
        <v>2344</v>
      </c>
      <c r="S4" s="3046"/>
      <c r="T4" s="3045" t="s">
        <v>2345</v>
      </c>
      <c r="U4" s="3046"/>
      <c r="V4" s="3066" t="s">
        <v>2346</v>
      </c>
      <c r="W4" s="3066"/>
      <c r="X4" s="1906"/>
      <c r="Y4" s="3045" t="s">
        <v>2348</v>
      </c>
      <c r="Z4" s="3046"/>
      <c r="AA4" s="3053" t="s">
        <v>2344</v>
      </c>
      <c r="AB4" s="3053" t="s">
        <v>2345</v>
      </c>
      <c r="AC4" s="3053" t="s">
        <v>2346</v>
      </c>
    </row>
    <row r="5" spans="1:29" ht="15">
      <c r="A5" s="384"/>
      <c r="B5" s="385"/>
      <c r="C5" s="3074" t="s">
        <v>2349</v>
      </c>
      <c r="D5" s="3075"/>
      <c r="E5" s="3072" t="s">
        <v>2350</v>
      </c>
      <c r="F5" s="3073"/>
      <c r="G5" s="3074" t="s">
        <v>2351</v>
      </c>
      <c r="H5" s="3075"/>
      <c r="I5" s="3074" t="s">
        <v>2352</v>
      </c>
      <c r="J5" s="3075"/>
      <c r="K5" s="595"/>
      <c r="L5" s="1245"/>
      <c r="M5" s="1246"/>
      <c r="N5" s="1246"/>
      <c r="O5" s="1246"/>
      <c r="P5" s="3081"/>
      <c r="Q5" s="3063"/>
      <c r="R5" s="3047"/>
      <c r="S5" s="3048"/>
      <c r="T5" s="3047"/>
      <c r="U5" s="3048"/>
      <c r="V5" s="3066"/>
      <c r="W5" s="3066"/>
      <c r="X5" s="1906"/>
      <c r="Y5" s="3047"/>
      <c r="Z5" s="3048"/>
      <c r="AA5" s="3054"/>
      <c r="AB5" s="3054"/>
      <c r="AC5" s="3054"/>
    </row>
    <row r="6" spans="1:29" ht="15.75" thickBot="1">
      <c r="A6" s="386"/>
      <c r="B6" s="387"/>
      <c r="C6" s="3039" t="s">
        <v>2353</v>
      </c>
      <c r="D6" s="3040"/>
      <c r="E6" s="3070" t="s">
        <v>2353</v>
      </c>
      <c r="F6" s="3071"/>
      <c r="G6" s="3039" t="s">
        <v>2353</v>
      </c>
      <c r="H6" s="3040"/>
      <c r="I6" s="3039" t="s">
        <v>2353</v>
      </c>
      <c r="J6" s="3040"/>
      <c r="K6" s="595" t="s">
        <v>2354</v>
      </c>
      <c r="L6" s="1245"/>
      <c r="M6" s="1246"/>
      <c r="N6" s="1246"/>
      <c r="O6" s="1246"/>
      <c r="P6" s="3082"/>
      <c r="Q6" s="3065"/>
      <c r="R6" s="3047"/>
      <c r="S6" s="3048"/>
      <c r="T6" s="3049"/>
      <c r="U6" s="3050"/>
      <c r="V6" s="3066"/>
      <c r="W6" s="3066"/>
      <c r="X6" s="1906"/>
      <c r="Y6" s="3049"/>
      <c r="Z6" s="3050"/>
      <c r="AA6" s="3055"/>
      <c r="AB6" s="3055"/>
      <c r="AC6" s="3055"/>
    </row>
    <row r="7" spans="1:29" s="35" customFormat="1" ht="15.75" thickBot="1">
      <c r="A7" s="388" t="s">
        <v>2355</v>
      </c>
      <c r="B7" s="389"/>
      <c r="C7" s="390">
        <f>'数据-取费表'!B2</f>
        <v>43047</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1" t="s">
        <v>2356</v>
      </c>
      <c r="Q7" s="3051"/>
      <c r="R7" s="750" t="s">
        <v>25</v>
      </c>
      <c r="S7" s="751">
        <f t="shared" ref="S7:S15" si="0">F7</f>
        <v>0</v>
      </c>
      <c r="T7" s="750" t="s">
        <v>25</v>
      </c>
      <c r="U7" s="751">
        <f t="shared" ref="U7:U15" si="1">H7</f>
        <v>0</v>
      </c>
      <c r="V7" s="750" t="s">
        <v>25</v>
      </c>
      <c r="W7" s="751">
        <f t="shared" ref="W7:W15" si="2">J7</f>
        <v>0</v>
      </c>
      <c r="X7" s="752"/>
      <c r="Y7" s="3043" t="s">
        <v>2356</v>
      </c>
      <c r="Z7" s="304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1" t="s">
        <v>2359</v>
      </c>
      <c r="Q8" s="3044"/>
      <c r="R8" s="750" t="s">
        <v>25</v>
      </c>
      <c r="S8" s="751">
        <f t="shared" si="0"/>
        <v>0</v>
      </c>
      <c r="T8" s="750" t="s">
        <v>25</v>
      </c>
      <c r="U8" s="751">
        <f t="shared" si="1"/>
        <v>0</v>
      </c>
      <c r="V8" s="750" t="s">
        <v>25</v>
      </c>
      <c r="W8" s="751">
        <f t="shared" si="2"/>
        <v>0</v>
      </c>
      <c r="X8" s="752"/>
      <c r="Y8" s="3043" t="s">
        <v>2359</v>
      </c>
      <c r="Z8" s="304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7" t="s">
        <v>2362</v>
      </c>
      <c r="Q9" s="1893" t="str">
        <f t="shared" ref="Q9:Q15" si="6">B9</f>
        <v>用途</v>
      </c>
      <c r="R9" s="750" t="s">
        <v>25</v>
      </c>
      <c r="S9" s="751">
        <f t="shared" si="0"/>
        <v>100</v>
      </c>
      <c r="T9" s="750" t="s">
        <v>25</v>
      </c>
      <c r="U9" s="751">
        <f t="shared" si="1"/>
        <v>100</v>
      </c>
      <c r="V9" s="750" t="s">
        <v>25</v>
      </c>
      <c r="W9" s="751">
        <f t="shared" si="2"/>
        <v>100</v>
      </c>
      <c r="X9" s="752"/>
      <c r="Y9" s="285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7"/>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7"/>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7"/>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7"/>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7"/>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61" t="s">
        <v>2367</v>
      </c>
      <c r="Q15" s="1905" t="str">
        <f t="shared" si="6"/>
        <v>办公集聚程度</v>
      </c>
      <c r="R15" s="754" t="s">
        <v>25</v>
      </c>
      <c r="S15" s="755">
        <f t="shared" si="0"/>
        <v>100</v>
      </c>
      <c r="T15" s="754" t="s">
        <v>25</v>
      </c>
      <c r="U15" s="755">
        <f t="shared" si="1"/>
        <v>100</v>
      </c>
      <c r="V15" s="754" t="s">
        <v>25</v>
      </c>
      <c r="W15" s="755">
        <f t="shared" si="2"/>
        <v>100</v>
      </c>
      <c r="X15" s="1906"/>
      <c r="Y15" s="303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3"/>
      <c r="Q16" s="1905"/>
      <c r="R16" s="754"/>
      <c r="S16" s="755"/>
      <c r="T16" s="754"/>
      <c r="U16" s="755"/>
      <c r="V16" s="754"/>
      <c r="W16" s="755"/>
      <c r="X16" s="1906"/>
      <c r="Y16" s="3033"/>
      <c r="Z16" s="1908"/>
      <c r="AA16" s="1909">
        <v>1</v>
      </c>
      <c r="AB16" s="1909">
        <v>1</v>
      </c>
      <c r="AC16" s="1909">
        <v>1</v>
      </c>
    </row>
    <row r="17" spans="1:29" ht="213.75">
      <c r="A17" s="409"/>
      <c r="B17" s="616" t="s">
        <v>1751</v>
      </c>
      <c r="C17" s="2475" t="str">
        <f>估价对象房地状况!C6</f>
        <v>估价对象紧邻城市支路——定福庄北街，临近地铁6号线（褡裢坡站）八通线（传媒大学站）；以估价对象为中心半径2公里范围内有306路、411路、488路、499路、517路等十余条公交线路，综合评价交通便捷度较好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3"/>
      <c r="Q17" s="1905" t="str">
        <f>B17</f>
        <v>交通便捷度</v>
      </c>
      <c r="R17" s="754" t="s">
        <v>25</v>
      </c>
      <c r="S17" s="755">
        <f>F17</f>
        <v>100</v>
      </c>
      <c r="T17" s="754" t="s">
        <v>25</v>
      </c>
      <c r="U17" s="755">
        <f>H17</f>
        <v>100</v>
      </c>
      <c r="V17" s="754" t="s">
        <v>25</v>
      </c>
      <c r="W17" s="755">
        <f>J17</f>
        <v>100</v>
      </c>
      <c r="X17" s="1906"/>
      <c r="Y17" s="3033"/>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3"/>
      <c r="Q18" s="1905"/>
      <c r="R18" s="754"/>
      <c r="S18" s="755"/>
      <c r="T18" s="754"/>
      <c r="U18" s="755"/>
      <c r="V18" s="754"/>
      <c r="W18" s="755"/>
      <c r="X18" s="1906"/>
      <c r="Y18" s="3033"/>
      <c r="Z18" s="1908"/>
      <c r="AA18" s="1909">
        <v>1</v>
      </c>
      <c r="AB18" s="1909">
        <v>1</v>
      </c>
      <c r="AC18" s="1909">
        <v>1</v>
      </c>
    </row>
    <row r="19" spans="1:29" ht="42.75">
      <c r="A19" s="409"/>
      <c r="B19" s="616" t="s">
        <v>2482</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3"/>
      <c r="Q19" s="1905" t="str">
        <f>B19</f>
        <v>公共配套设施</v>
      </c>
      <c r="R19" s="754" t="s">
        <v>25</v>
      </c>
      <c r="S19" s="755">
        <f>F19</f>
        <v>100</v>
      </c>
      <c r="T19" s="754" t="s">
        <v>25</v>
      </c>
      <c r="U19" s="755">
        <f>H19</f>
        <v>100</v>
      </c>
      <c r="V19" s="754" t="s">
        <v>25</v>
      </c>
      <c r="W19" s="755">
        <f>J19</f>
        <v>100</v>
      </c>
      <c r="X19" s="1906"/>
      <c r="Y19" s="3033"/>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3"/>
      <c r="Q20" s="1905"/>
      <c r="R20" s="754"/>
      <c r="S20" s="755"/>
      <c r="T20" s="754"/>
      <c r="U20" s="755"/>
      <c r="V20" s="754"/>
      <c r="W20" s="755"/>
      <c r="X20" s="1906"/>
      <c r="Y20" s="3033"/>
      <c r="Z20" s="1908"/>
      <c r="AA20" s="1909">
        <v>1</v>
      </c>
      <c r="AB20" s="1909">
        <v>1</v>
      </c>
      <c r="AC20" s="1909">
        <v>1</v>
      </c>
    </row>
    <row r="21" spans="1:29" ht="42.75">
      <c r="A21" s="409"/>
      <c r="B21" s="618" t="s">
        <v>2483</v>
      </c>
      <c r="C21" s="2475"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3"/>
      <c r="Q21" s="1905" t="str">
        <f>B21</f>
        <v>基础设施水平</v>
      </c>
      <c r="R21" s="754" t="s">
        <v>25</v>
      </c>
      <c r="S21" s="755">
        <f>F21</f>
        <v>100</v>
      </c>
      <c r="T21" s="754" t="s">
        <v>25</v>
      </c>
      <c r="U21" s="755">
        <f>H21</f>
        <v>100</v>
      </c>
      <c r="V21" s="754" t="s">
        <v>25</v>
      </c>
      <c r="W21" s="755">
        <f>J21</f>
        <v>100</v>
      </c>
      <c r="X21" s="1906"/>
      <c r="Y21" s="3033"/>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3"/>
      <c r="Q22" s="1905"/>
      <c r="R22" s="754"/>
      <c r="S22" s="755"/>
      <c r="T22" s="754"/>
      <c r="U22" s="755"/>
      <c r="V22" s="754"/>
      <c r="W22" s="755"/>
      <c r="X22" s="1906"/>
      <c r="Y22" s="3033"/>
      <c r="Z22" s="1908"/>
      <c r="AA22" s="1909">
        <v>1</v>
      </c>
      <c r="AB22" s="1909">
        <v>1</v>
      </c>
      <c r="AC22" s="1909">
        <v>1</v>
      </c>
    </row>
    <row r="23" spans="1:29" ht="128.25">
      <c r="A23" s="409"/>
      <c r="B23" s="616" t="s">
        <v>2484</v>
      </c>
      <c r="C23" s="2475" t="str">
        <f>估价对象房地状况!C9</f>
        <v>自然环境：兴隆公园、京城梨园、大黄庄苗圃花木基地等；人文环境：中国传媒大学、高进村史博物馆等，综合评价环境状况较好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3"/>
      <c r="Q23" s="1905" t="str">
        <f>B23</f>
        <v>环境质量</v>
      </c>
      <c r="R23" s="754" t="s">
        <v>25</v>
      </c>
      <c r="S23" s="755">
        <f>F23</f>
        <v>100</v>
      </c>
      <c r="T23" s="754" t="s">
        <v>25</v>
      </c>
      <c r="U23" s="755">
        <f>H23</f>
        <v>100</v>
      </c>
      <c r="V23" s="754" t="s">
        <v>25</v>
      </c>
      <c r="W23" s="755">
        <f>J23</f>
        <v>100</v>
      </c>
      <c r="X23" s="1906"/>
      <c r="Y23" s="3033"/>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3"/>
      <c r="Q24" s="1905"/>
      <c r="R24" s="754"/>
      <c r="S24" s="755"/>
      <c r="T24" s="754"/>
      <c r="U24" s="755"/>
      <c r="V24" s="754"/>
      <c r="W24" s="755"/>
      <c r="X24" s="1906"/>
      <c r="Y24" s="3033"/>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3"/>
      <c r="Q25" s="1905" t="str">
        <f>B25</f>
        <v>毗邻道路的类型与等级</v>
      </c>
      <c r="R25" s="754" t="s">
        <v>25</v>
      </c>
      <c r="S25" s="755">
        <f>F25</f>
        <v>100</v>
      </c>
      <c r="T25" s="754" t="s">
        <v>25</v>
      </c>
      <c r="U25" s="755">
        <f>H25</f>
        <v>100</v>
      </c>
      <c r="V25" s="754" t="s">
        <v>25</v>
      </c>
      <c r="W25" s="755">
        <f>J25</f>
        <v>100</v>
      </c>
      <c r="X25" s="1906"/>
      <c r="Y25" s="303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3"/>
      <c r="Q26" s="1905"/>
      <c r="R26" s="754"/>
      <c r="S26" s="755"/>
      <c r="T26" s="754"/>
      <c r="U26" s="755"/>
      <c r="V26" s="754"/>
      <c r="W26" s="755"/>
      <c r="X26" s="1906"/>
      <c r="Y26" s="303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3"/>
      <c r="Q27" s="1905" t="str">
        <f t="shared" ref="Q27:Q47" si="11">B27</f>
        <v>楼层</v>
      </c>
      <c r="R27" s="754" t="s">
        <v>25</v>
      </c>
      <c r="S27" s="755">
        <f>F27</f>
        <v>100</v>
      </c>
      <c r="T27" s="754" t="s">
        <v>25</v>
      </c>
      <c r="U27" s="755">
        <f>H27</f>
        <v>100</v>
      </c>
      <c r="V27" s="754" t="s">
        <v>25</v>
      </c>
      <c r="W27" s="755">
        <f>J27</f>
        <v>100</v>
      </c>
      <c r="X27" s="1906"/>
      <c r="Y27" s="3033"/>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3"/>
      <c r="Q28" s="1893" t="str">
        <f t="shared" si="11"/>
        <v>朝向</v>
      </c>
      <c r="R28" s="750" t="s">
        <v>25</v>
      </c>
      <c r="S28" s="751">
        <f>F28</f>
        <v>100</v>
      </c>
      <c r="T28" s="750" t="s">
        <v>25</v>
      </c>
      <c r="U28" s="751">
        <f>H28</f>
        <v>100</v>
      </c>
      <c r="V28" s="750" t="s">
        <v>25</v>
      </c>
      <c r="W28" s="751">
        <f>J28</f>
        <v>100</v>
      </c>
      <c r="X28" s="752"/>
      <c r="Y28" s="3033"/>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3"/>
      <c r="Q29" s="1905">
        <f t="shared" si="11"/>
        <v>111</v>
      </c>
      <c r="R29" s="754" t="s">
        <v>25</v>
      </c>
      <c r="S29" s="755">
        <f t="shared" ref="S29:S47" si="12">F29</f>
        <v>100</v>
      </c>
      <c r="T29" s="754" t="s">
        <v>25</v>
      </c>
      <c r="U29" s="755">
        <f t="shared" ref="U29:U47" si="13">H29</f>
        <v>100</v>
      </c>
      <c r="V29" s="754" t="s">
        <v>25</v>
      </c>
      <c r="W29" s="755">
        <f t="shared" ref="W29:W47" si="14">J29</f>
        <v>100</v>
      </c>
      <c r="X29" s="1906"/>
      <c r="Y29" s="3033"/>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3"/>
      <c r="Q30" s="1905">
        <f t="shared" si="11"/>
        <v>111</v>
      </c>
      <c r="R30" s="754" t="s">
        <v>25</v>
      </c>
      <c r="S30" s="755">
        <f t="shared" si="12"/>
        <v>100</v>
      </c>
      <c r="T30" s="754" t="s">
        <v>25</v>
      </c>
      <c r="U30" s="755">
        <f t="shared" si="13"/>
        <v>100</v>
      </c>
      <c r="V30" s="754" t="s">
        <v>25</v>
      </c>
      <c r="W30" s="755">
        <f t="shared" si="14"/>
        <v>100</v>
      </c>
      <c r="X30" s="1906"/>
      <c r="Y30" s="3033"/>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3"/>
      <c r="Q31" s="1905">
        <f t="shared" si="11"/>
        <v>111</v>
      </c>
      <c r="R31" s="754" t="s">
        <v>25</v>
      </c>
      <c r="S31" s="755">
        <f t="shared" si="12"/>
        <v>100</v>
      </c>
      <c r="T31" s="754" t="s">
        <v>25</v>
      </c>
      <c r="U31" s="755">
        <f t="shared" si="13"/>
        <v>100</v>
      </c>
      <c r="V31" s="754" t="s">
        <v>25</v>
      </c>
      <c r="W31" s="755">
        <f t="shared" si="14"/>
        <v>100</v>
      </c>
      <c r="X31" s="1906"/>
      <c r="Y31" s="303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3"/>
      <c r="Q32" s="1905">
        <f t="shared" si="11"/>
        <v>111</v>
      </c>
      <c r="R32" s="754" t="s">
        <v>25</v>
      </c>
      <c r="S32" s="755">
        <f t="shared" si="12"/>
        <v>100</v>
      </c>
      <c r="T32" s="754" t="s">
        <v>25</v>
      </c>
      <c r="U32" s="755">
        <f t="shared" si="13"/>
        <v>100</v>
      </c>
      <c r="V32" s="754" t="s">
        <v>25</v>
      </c>
      <c r="W32" s="755">
        <f t="shared" si="14"/>
        <v>100</v>
      </c>
      <c r="X32" s="1906"/>
      <c r="Y32" s="3033"/>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7" t="s">
        <v>2373</v>
      </c>
      <c r="Q33" s="1905" t="str">
        <f t="shared" si="11"/>
        <v>建筑类型</v>
      </c>
      <c r="R33" s="754" t="s">
        <v>25</v>
      </c>
      <c r="S33" s="755">
        <f t="shared" si="12"/>
        <v>100</v>
      </c>
      <c r="T33" s="754" t="s">
        <v>25</v>
      </c>
      <c r="U33" s="755">
        <f t="shared" si="13"/>
        <v>100</v>
      </c>
      <c r="V33" s="754" t="s">
        <v>25</v>
      </c>
      <c r="W33" s="755">
        <f t="shared" si="14"/>
        <v>100</v>
      </c>
      <c r="X33" s="1906"/>
      <c r="Y33" s="303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8"/>
      <c r="Q34" s="756" t="str">
        <f t="shared" si="11"/>
        <v>项目建筑规模</v>
      </c>
      <c r="R34" s="757" t="s">
        <v>25</v>
      </c>
      <c r="S34" s="758" t="e">
        <f t="shared" si="12"/>
        <v>#N/A</v>
      </c>
      <c r="T34" s="757" t="s">
        <v>25</v>
      </c>
      <c r="U34" s="758" t="e">
        <f t="shared" si="13"/>
        <v>#N/A</v>
      </c>
      <c r="V34" s="757" t="s">
        <v>25</v>
      </c>
      <c r="W34" s="758" t="e">
        <f t="shared" si="14"/>
        <v>#N/A</v>
      </c>
      <c r="X34" s="759"/>
      <c r="Y34" s="303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8"/>
      <c r="Q35" s="1905" t="str">
        <f t="shared" si="11"/>
        <v>建筑结构</v>
      </c>
      <c r="R35" s="754" t="s">
        <v>25</v>
      </c>
      <c r="S35" s="755">
        <f t="shared" si="12"/>
        <v>100</v>
      </c>
      <c r="T35" s="754" t="s">
        <v>25</v>
      </c>
      <c r="U35" s="755">
        <f t="shared" si="13"/>
        <v>100</v>
      </c>
      <c r="V35" s="754" t="s">
        <v>25</v>
      </c>
      <c r="W35" s="755">
        <f t="shared" si="14"/>
        <v>100</v>
      </c>
      <c r="X35" s="1906"/>
      <c r="Y35" s="303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8"/>
      <c r="Q36" s="1905" t="str">
        <f t="shared" si="11"/>
        <v>公共部分装修</v>
      </c>
      <c r="R36" s="754" t="s">
        <v>25</v>
      </c>
      <c r="S36" s="755">
        <f t="shared" si="12"/>
        <v>100</v>
      </c>
      <c r="T36" s="754" t="s">
        <v>25</v>
      </c>
      <c r="U36" s="755">
        <f t="shared" si="13"/>
        <v>100</v>
      </c>
      <c r="V36" s="754" t="s">
        <v>25</v>
      </c>
      <c r="W36" s="755">
        <f t="shared" si="14"/>
        <v>100</v>
      </c>
      <c r="X36" s="1906"/>
      <c r="Y36" s="303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8"/>
      <c r="Q37" s="1905" t="str">
        <f t="shared" si="11"/>
        <v>成新度</v>
      </c>
      <c r="R37" s="754" t="s">
        <v>25</v>
      </c>
      <c r="S37" s="755" t="e">
        <f t="shared" si="12"/>
        <v>#N/A</v>
      </c>
      <c r="T37" s="754" t="s">
        <v>25</v>
      </c>
      <c r="U37" s="755" t="e">
        <f t="shared" si="13"/>
        <v>#N/A</v>
      </c>
      <c r="V37" s="754" t="s">
        <v>25</v>
      </c>
      <c r="W37" s="755" t="e">
        <f t="shared" si="14"/>
        <v>#N/A</v>
      </c>
      <c r="X37" s="1906"/>
      <c r="Y37" s="303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8"/>
      <c r="Q38" s="1893" t="str">
        <f t="shared" si="11"/>
        <v>写字楼等级</v>
      </c>
      <c r="R38" s="750" t="s">
        <v>25</v>
      </c>
      <c r="S38" s="751">
        <f t="shared" si="12"/>
        <v>100</v>
      </c>
      <c r="T38" s="750" t="s">
        <v>25</v>
      </c>
      <c r="U38" s="751">
        <f t="shared" si="13"/>
        <v>100</v>
      </c>
      <c r="V38" s="750" t="s">
        <v>25</v>
      </c>
      <c r="W38" s="751">
        <f t="shared" si="14"/>
        <v>100</v>
      </c>
      <c r="X38" s="752"/>
      <c r="Y38" s="303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8" t="s">
        <v>2373</v>
      </c>
      <c r="Q39" s="1905" t="str">
        <f t="shared" si="11"/>
        <v>物业管理</v>
      </c>
      <c r="R39" s="754" t="s">
        <v>25</v>
      </c>
      <c r="S39" s="755">
        <f t="shared" si="12"/>
        <v>100</v>
      </c>
      <c r="T39" s="754" t="s">
        <v>25</v>
      </c>
      <c r="U39" s="755">
        <f t="shared" si="13"/>
        <v>100</v>
      </c>
      <c r="V39" s="754" t="s">
        <v>25</v>
      </c>
      <c r="W39" s="755">
        <f t="shared" si="14"/>
        <v>100</v>
      </c>
      <c r="X39" s="1906"/>
      <c r="Y39" s="303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8"/>
      <c r="Q40" s="1905" t="str">
        <f t="shared" si="11"/>
        <v>市政基础设施</v>
      </c>
      <c r="R40" s="754" t="s">
        <v>25</v>
      </c>
      <c r="S40" s="755">
        <f t="shared" si="12"/>
        <v>100</v>
      </c>
      <c r="T40" s="754" t="s">
        <v>25</v>
      </c>
      <c r="U40" s="755">
        <f t="shared" si="13"/>
        <v>100</v>
      </c>
      <c r="V40" s="754" t="s">
        <v>25</v>
      </c>
      <c r="W40" s="755">
        <f t="shared" si="14"/>
        <v>100</v>
      </c>
      <c r="X40" s="1906"/>
      <c r="Y40" s="303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8"/>
      <c r="Q41" s="1905" t="str">
        <f t="shared" si="11"/>
        <v>层高</v>
      </c>
      <c r="R41" s="754" t="s">
        <v>25</v>
      </c>
      <c r="S41" s="755">
        <f t="shared" si="12"/>
        <v>100</v>
      </c>
      <c r="T41" s="754" t="s">
        <v>25</v>
      </c>
      <c r="U41" s="755">
        <f t="shared" si="13"/>
        <v>100</v>
      </c>
      <c r="V41" s="754" t="s">
        <v>25</v>
      </c>
      <c r="W41" s="755">
        <f t="shared" si="14"/>
        <v>100</v>
      </c>
      <c r="X41" s="1906"/>
      <c r="Y41" s="303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8"/>
      <c r="Q42" s="756" t="str">
        <f t="shared" si="11"/>
        <v>单套建筑面积</v>
      </c>
      <c r="R42" s="757" t="s">
        <v>25</v>
      </c>
      <c r="S42" s="758">
        <f t="shared" si="12"/>
        <v>100</v>
      </c>
      <c r="T42" s="757" t="s">
        <v>25</v>
      </c>
      <c r="U42" s="758">
        <f t="shared" si="13"/>
        <v>100</v>
      </c>
      <c r="V42" s="757" t="s">
        <v>25</v>
      </c>
      <c r="W42" s="758">
        <f t="shared" si="14"/>
        <v>100</v>
      </c>
      <c r="X42" s="759"/>
      <c r="Y42" s="303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8"/>
      <c r="Q43" s="1905" t="str">
        <f t="shared" si="11"/>
        <v>内部装修</v>
      </c>
      <c r="R43" s="754" t="s">
        <v>25</v>
      </c>
      <c r="S43" s="755">
        <f t="shared" si="12"/>
        <v>100</v>
      </c>
      <c r="T43" s="754" t="s">
        <v>25</v>
      </c>
      <c r="U43" s="755">
        <f t="shared" si="13"/>
        <v>100</v>
      </c>
      <c r="V43" s="754" t="s">
        <v>25</v>
      </c>
      <c r="W43" s="755">
        <f t="shared" si="14"/>
        <v>100</v>
      </c>
      <c r="X43" s="1906"/>
      <c r="Y43" s="3037"/>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8"/>
      <c r="Q44" s="1905" t="str">
        <f t="shared" si="11"/>
        <v>内部装修维护情况</v>
      </c>
      <c r="R44" s="754" t="s">
        <v>25</v>
      </c>
      <c r="S44" s="755">
        <f t="shared" si="12"/>
        <v>100</v>
      </c>
      <c r="T44" s="754" t="s">
        <v>25</v>
      </c>
      <c r="U44" s="755">
        <f t="shared" si="13"/>
        <v>100</v>
      </c>
      <c r="V44" s="754" t="s">
        <v>25</v>
      </c>
      <c r="W44" s="755">
        <f t="shared" si="14"/>
        <v>100</v>
      </c>
      <c r="X44" s="1906"/>
      <c r="Y44" s="3037"/>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8"/>
      <c r="Q45" s="1893">
        <f t="shared" si="11"/>
        <v>111</v>
      </c>
      <c r="R45" s="750" t="s">
        <v>25</v>
      </c>
      <c r="S45" s="751">
        <f t="shared" si="12"/>
        <v>100</v>
      </c>
      <c r="T45" s="750" t="s">
        <v>25</v>
      </c>
      <c r="U45" s="751">
        <f t="shared" si="13"/>
        <v>100</v>
      </c>
      <c r="V45" s="750" t="s">
        <v>25</v>
      </c>
      <c r="W45" s="751">
        <f t="shared" si="14"/>
        <v>100</v>
      </c>
      <c r="X45" s="752"/>
      <c r="Y45" s="3037"/>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8"/>
      <c r="Q46" s="1905">
        <f t="shared" si="11"/>
        <v>111</v>
      </c>
      <c r="R46" s="754" t="s">
        <v>25</v>
      </c>
      <c r="S46" s="755">
        <f t="shared" si="12"/>
        <v>100</v>
      </c>
      <c r="T46" s="754" t="s">
        <v>25</v>
      </c>
      <c r="U46" s="755">
        <f t="shared" si="13"/>
        <v>100</v>
      </c>
      <c r="V46" s="754" t="s">
        <v>25</v>
      </c>
      <c r="W46" s="755">
        <f t="shared" si="14"/>
        <v>100</v>
      </c>
      <c r="X46" s="1906"/>
      <c r="Y46" s="3037"/>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9"/>
      <c r="Q47" s="1905">
        <f t="shared" si="11"/>
        <v>111</v>
      </c>
      <c r="R47" s="754" t="s">
        <v>25</v>
      </c>
      <c r="S47" s="755">
        <f t="shared" si="12"/>
        <v>100</v>
      </c>
      <c r="T47" s="754" t="s">
        <v>25</v>
      </c>
      <c r="U47" s="755">
        <f t="shared" si="13"/>
        <v>100</v>
      </c>
      <c r="V47" s="754" t="s">
        <v>25</v>
      </c>
      <c r="W47" s="755">
        <f t="shared" si="14"/>
        <v>100</v>
      </c>
      <c r="X47" s="1906"/>
      <c r="Y47" s="303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27" t="str">
        <f>A48</f>
        <v>成交单价（元/平方米）</v>
      </c>
      <c r="Q48" s="3029"/>
      <c r="R48" s="3025">
        <f>E48</f>
        <v>0</v>
      </c>
      <c r="S48" s="3025"/>
      <c r="T48" s="3025">
        <f>G48</f>
        <v>0</v>
      </c>
      <c r="U48" s="3025"/>
      <c r="V48" s="3025">
        <f>I48</f>
        <v>0</v>
      </c>
      <c r="W48" s="302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27" t="str">
        <f>A49</f>
        <v>比较价值（元/平方米）</v>
      </c>
      <c r="Q49" s="3029"/>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76" t="str">
        <f>A50</f>
        <v>估价对象XX用房的比较价值（楼面单价，元/平方米）</v>
      </c>
      <c r="Q50" s="3027"/>
      <c r="R50" s="3028" t="e">
        <f>IF(E1="售价",ROUND(AVERAGE(R49:V49),0),ROUND(AVERAGE(R49:V49),1))</f>
        <v>#DIV/0!</v>
      </c>
      <c r="S50" s="3028"/>
      <c r="T50" s="3028"/>
      <c r="U50" s="3028"/>
      <c r="V50" s="3028"/>
      <c r="W50" s="302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51.99</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6" t="s">
        <v>2343</v>
      </c>
      <c r="D4" s="3057"/>
      <c r="E4" s="3058" t="s">
        <v>2344</v>
      </c>
      <c r="F4" s="3059"/>
      <c r="G4" s="3056" t="s">
        <v>2345</v>
      </c>
      <c r="H4" s="3057"/>
      <c r="I4" s="3056" t="s">
        <v>2346</v>
      </c>
      <c r="J4" s="3057"/>
      <c r="K4" s="595" t="s">
        <v>2347</v>
      </c>
      <c r="L4" s="1245"/>
      <c r="M4" s="1246"/>
      <c r="N4" s="1246"/>
      <c r="O4" s="1246"/>
      <c r="P4" s="3060" t="s">
        <v>2348</v>
      </c>
      <c r="Q4" s="3061"/>
      <c r="R4" s="3045" t="s">
        <v>2344</v>
      </c>
      <c r="S4" s="3046"/>
      <c r="T4" s="3045" t="s">
        <v>2345</v>
      </c>
      <c r="U4" s="3046"/>
      <c r="V4" s="3066" t="s">
        <v>2346</v>
      </c>
      <c r="W4" s="3066"/>
      <c r="X4" s="1906"/>
      <c r="Y4" s="3045" t="s">
        <v>2348</v>
      </c>
      <c r="Z4" s="3046"/>
      <c r="AA4" s="3053" t="s">
        <v>2344</v>
      </c>
      <c r="AB4" s="3054" t="s">
        <v>2345</v>
      </c>
      <c r="AC4" s="3053" t="s">
        <v>2346</v>
      </c>
    </row>
    <row r="5" spans="1:29" ht="15">
      <c r="A5" s="384"/>
      <c r="B5" s="385"/>
      <c r="C5" s="3074" t="s">
        <v>2349</v>
      </c>
      <c r="D5" s="3075"/>
      <c r="E5" s="3072" t="s">
        <v>2350</v>
      </c>
      <c r="F5" s="3073"/>
      <c r="G5" s="3074" t="s">
        <v>2351</v>
      </c>
      <c r="H5" s="3075"/>
      <c r="I5" s="3074" t="s">
        <v>2352</v>
      </c>
      <c r="J5" s="3075"/>
      <c r="K5" s="595"/>
      <c r="L5" s="1245"/>
      <c r="M5" s="1246"/>
      <c r="N5" s="1246"/>
      <c r="O5" s="1246"/>
      <c r="P5" s="3062"/>
      <c r="Q5" s="3063"/>
      <c r="R5" s="3047"/>
      <c r="S5" s="3048"/>
      <c r="T5" s="3047"/>
      <c r="U5" s="3048"/>
      <c r="V5" s="3066"/>
      <c r="W5" s="3066"/>
      <c r="X5" s="1906"/>
      <c r="Y5" s="3047"/>
      <c r="Z5" s="3048"/>
      <c r="AA5" s="3054"/>
      <c r="AB5" s="3054"/>
      <c r="AC5" s="3054"/>
    </row>
    <row r="6" spans="1:29" ht="15.75" thickBot="1">
      <c r="A6" s="386"/>
      <c r="B6" s="387"/>
      <c r="C6" s="3039" t="s">
        <v>2353</v>
      </c>
      <c r="D6" s="3040"/>
      <c r="E6" s="3070" t="s">
        <v>2353</v>
      </c>
      <c r="F6" s="3071"/>
      <c r="G6" s="3039" t="s">
        <v>2353</v>
      </c>
      <c r="H6" s="3040"/>
      <c r="I6" s="3039" t="s">
        <v>2353</v>
      </c>
      <c r="J6" s="3040"/>
      <c r="K6" s="595" t="s">
        <v>2354</v>
      </c>
      <c r="L6" s="1245"/>
      <c r="M6" s="1246"/>
      <c r="N6" s="1246"/>
      <c r="O6" s="1246"/>
      <c r="P6" s="3064"/>
      <c r="Q6" s="3065"/>
      <c r="R6" s="3047"/>
      <c r="S6" s="3048"/>
      <c r="T6" s="3049"/>
      <c r="U6" s="3050"/>
      <c r="V6" s="3066"/>
      <c r="W6" s="3066"/>
      <c r="X6" s="1906"/>
      <c r="Y6" s="3049"/>
      <c r="Z6" s="3050"/>
      <c r="AA6" s="3055"/>
      <c r="AB6" s="3055"/>
      <c r="AC6" s="3055"/>
    </row>
    <row r="7" spans="1:29" s="35" customFormat="1" ht="15.75" thickBot="1">
      <c r="A7" s="388" t="s">
        <v>2355</v>
      </c>
      <c r="B7" s="389"/>
      <c r="C7" s="390">
        <f>'数据-取费表'!B2</f>
        <v>43047</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3" t="s">
        <v>2356</v>
      </c>
      <c r="Q7" s="3051"/>
      <c r="R7" s="750" t="s">
        <v>25</v>
      </c>
      <c r="S7" s="751">
        <f t="shared" ref="S7:S15" si="0">F7</f>
        <v>0</v>
      </c>
      <c r="T7" s="750" t="s">
        <v>25</v>
      </c>
      <c r="U7" s="751">
        <f t="shared" ref="U7:U15" si="1">H7</f>
        <v>0</v>
      </c>
      <c r="V7" s="750" t="s">
        <v>25</v>
      </c>
      <c r="W7" s="751">
        <f t="shared" ref="W7:W15" si="2">J7</f>
        <v>0</v>
      </c>
      <c r="X7" s="752"/>
      <c r="Y7" s="3043" t="s">
        <v>2356</v>
      </c>
      <c r="Z7" s="304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3" t="s">
        <v>2359</v>
      </c>
      <c r="Q8" s="3044"/>
      <c r="R8" s="750" t="s">
        <v>25</v>
      </c>
      <c r="S8" s="751">
        <f t="shared" si="0"/>
        <v>100</v>
      </c>
      <c r="T8" s="750" t="s">
        <v>25</v>
      </c>
      <c r="U8" s="751">
        <f t="shared" si="1"/>
        <v>100</v>
      </c>
      <c r="V8" s="750" t="s">
        <v>25</v>
      </c>
      <c r="W8" s="751">
        <f t="shared" si="2"/>
        <v>100</v>
      </c>
      <c r="X8" s="752"/>
      <c r="Y8" s="3043" t="s">
        <v>2359</v>
      </c>
      <c r="Z8" s="304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9" t="s">
        <v>2362</v>
      </c>
      <c r="Q9" s="1893" t="str">
        <f t="shared" ref="Q9:Q15" si="6">B9</f>
        <v>用途</v>
      </c>
      <c r="R9" s="750" t="s">
        <v>25</v>
      </c>
      <c r="S9" s="751">
        <f t="shared" si="0"/>
        <v>100</v>
      </c>
      <c r="T9" s="750" t="s">
        <v>25</v>
      </c>
      <c r="U9" s="751">
        <f t="shared" si="1"/>
        <v>100</v>
      </c>
      <c r="V9" s="750" t="s">
        <v>25</v>
      </c>
      <c r="W9" s="751">
        <f t="shared" si="2"/>
        <v>100</v>
      </c>
      <c r="X9" s="752"/>
      <c r="Y9" s="285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9"/>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2" t="s">
        <v>2367</v>
      </c>
      <c r="Q15" s="1905" t="str">
        <f t="shared" si="6"/>
        <v>产业集聚程度</v>
      </c>
      <c r="R15" s="754" t="s">
        <v>25</v>
      </c>
      <c r="S15" s="755">
        <f t="shared" si="0"/>
        <v>100</v>
      </c>
      <c r="T15" s="754" t="s">
        <v>25</v>
      </c>
      <c r="U15" s="755">
        <f t="shared" si="1"/>
        <v>100</v>
      </c>
      <c r="V15" s="754" t="s">
        <v>25</v>
      </c>
      <c r="W15" s="755">
        <f t="shared" si="2"/>
        <v>100</v>
      </c>
      <c r="X15" s="1906"/>
      <c r="Y15" s="303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3"/>
      <c r="Q16" s="1905"/>
      <c r="R16" s="754"/>
      <c r="S16" s="755"/>
      <c r="T16" s="754"/>
      <c r="U16" s="755"/>
      <c r="V16" s="754"/>
      <c r="W16" s="755"/>
      <c r="X16" s="1906"/>
      <c r="Y16" s="3033"/>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3"/>
      <c r="Q17" s="1905" t="str">
        <f>B17</f>
        <v>交通便捷度</v>
      </c>
      <c r="R17" s="754" t="s">
        <v>25</v>
      </c>
      <c r="S17" s="755">
        <f>F17</f>
        <v>100</v>
      </c>
      <c r="T17" s="754" t="s">
        <v>25</v>
      </c>
      <c r="U17" s="755">
        <f>H17</f>
        <v>100</v>
      </c>
      <c r="V17" s="754" t="s">
        <v>25</v>
      </c>
      <c r="W17" s="755">
        <f>J17</f>
        <v>100</v>
      </c>
      <c r="X17" s="1906"/>
      <c r="Y17" s="303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3"/>
      <c r="Q18" s="1905"/>
      <c r="R18" s="754"/>
      <c r="S18" s="755"/>
      <c r="T18" s="754"/>
      <c r="U18" s="755"/>
      <c r="V18" s="754"/>
      <c r="W18" s="755"/>
      <c r="X18" s="1906"/>
      <c r="Y18" s="3033"/>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3"/>
      <c r="Q19" s="1905" t="str">
        <f>B19</f>
        <v>公共配套设施</v>
      </c>
      <c r="R19" s="754" t="s">
        <v>25</v>
      </c>
      <c r="S19" s="755">
        <f>F19</f>
        <v>100</v>
      </c>
      <c r="T19" s="754" t="s">
        <v>25</v>
      </c>
      <c r="U19" s="755">
        <f>H19</f>
        <v>100</v>
      </c>
      <c r="V19" s="754" t="s">
        <v>25</v>
      </c>
      <c r="W19" s="755">
        <f>J19</f>
        <v>100</v>
      </c>
      <c r="X19" s="1906"/>
      <c r="Y19" s="3033"/>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3"/>
      <c r="Q20" s="1905"/>
      <c r="R20" s="754"/>
      <c r="S20" s="755"/>
      <c r="T20" s="754"/>
      <c r="U20" s="755"/>
      <c r="V20" s="754"/>
      <c r="W20" s="755"/>
      <c r="X20" s="1906"/>
      <c r="Y20" s="3033"/>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3"/>
      <c r="Q21" s="1905" t="str">
        <f>B21</f>
        <v>基础设施水平</v>
      </c>
      <c r="R21" s="754" t="s">
        <v>25</v>
      </c>
      <c r="S21" s="755">
        <f>F21</f>
        <v>100</v>
      </c>
      <c r="T21" s="754" t="s">
        <v>25</v>
      </c>
      <c r="U21" s="755">
        <f>H21</f>
        <v>100</v>
      </c>
      <c r="V21" s="754" t="s">
        <v>25</v>
      </c>
      <c r="W21" s="755">
        <f>J21</f>
        <v>100</v>
      </c>
      <c r="X21" s="1906"/>
      <c r="Y21" s="303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3"/>
      <c r="Q22" s="1905"/>
      <c r="R22" s="754"/>
      <c r="S22" s="755"/>
      <c r="T22" s="754"/>
      <c r="U22" s="755"/>
      <c r="V22" s="754"/>
      <c r="W22" s="755"/>
      <c r="X22" s="1906"/>
      <c r="Y22" s="3033"/>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3"/>
      <c r="Q23" s="1905" t="str">
        <f>B23</f>
        <v>环境质量</v>
      </c>
      <c r="R23" s="754" t="s">
        <v>25</v>
      </c>
      <c r="S23" s="755">
        <f>F23</f>
        <v>100</v>
      </c>
      <c r="T23" s="754" t="s">
        <v>25</v>
      </c>
      <c r="U23" s="755">
        <f>H23</f>
        <v>100</v>
      </c>
      <c r="V23" s="754" t="s">
        <v>25</v>
      </c>
      <c r="W23" s="755">
        <f>J23</f>
        <v>100</v>
      </c>
      <c r="X23" s="1906"/>
      <c r="Y23" s="3033"/>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3"/>
      <c r="Q24" s="1905"/>
      <c r="R24" s="754"/>
      <c r="S24" s="755"/>
      <c r="T24" s="754"/>
      <c r="U24" s="755"/>
      <c r="V24" s="754"/>
      <c r="W24" s="755"/>
      <c r="X24" s="1906"/>
      <c r="Y24" s="3033"/>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3"/>
      <c r="Q25" s="1905">
        <f>B25</f>
        <v>111</v>
      </c>
      <c r="R25" s="754" t="s">
        <v>25</v>
      </c>
      <c r="S25" s="755">
        <f>F25</f>
        <v>100</v>
      </c>
      <c r="T25" s="754" t="s">
        <v>25</v>
      </c>
      <c r="U25" s="755">
        <f>H25</f>
        <v>100</v>
      </c>
      <c r="V25" s="754" t="s">
        <v>25</v>
      </c>
      <c r="W25" s="755">
        <f>J25</f>
        <v>100</v>
      </c>
      <c r="X25" s="1906"/>
      <c r="Y25" s="3033"/>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3"/>
      <c r="Q26" s="1905">
        <f t="shared" ref="Q26:Q40" si="11">B26</f>
        <v>111</v>
      </c>
      <c r="R26" s="754" t="s">
        <v>25</v>
      </c>
      <c r="S26" s="755">
        <f>F26</f>
        <v>100</v>
      </c>
      <c r="T26" s="754" t="s">
        <v>25</v>
      </c>
      <c r="U26" s="755">
        <f>H26</f>
        <v>100</v>
      </c>
      <c r="V26" s="754" t="s">
        <v>25</v>
      </c>
      <c r="W26" s="755">
        <f>J26</f>
        <v>100</v>
      </c>
      <c r="X26" s="1906"/>
      <c r="Y26" s="3033"/>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3"/>
      <c r="Q27" s="1893">
        <f t="shared" si="11"/>
        <v>111</v>
      </c>
      <c r="R27" s="750" t="s">
        <v>25</v>
      </c>
      <c r="S27" s="751">
        <f>F27</f>
        <v>100</v>
      </c>
      <c r="T27" s="750" t="s">
        <v>25</v>
      </c>
      <c r="U27" s="751">
        <f>H27</f>
        <v>100</v>
      </c>
      <c r="V27" s="750" t="s">
        <v>25</v>
      </c>
      <c r="W27" s="751">
        <f>J27</f>
        <v>100</v>
      </c>
      <c r="X27" s="752"/>
      <c r="Y27" s="3033"/>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3"/>
      <c r="Q28" s="1905">
        <f t="shared" si="11"/>
        <v>111</v>
      </c>
      <c r="R28" s="754" t="s">
        <v>25</v>
      </c>
      <c r="S28" s="755">
        <f t="shared" ref="S28:S40" si="12">F28</f>
        <v>100</v>
      </c>
      <c r="T28" s="754" t="s">
        <v>25</v>
      </c>
      <c r="U28" s="755">
        <f t="shared" ref="U28:U40" si="13">H28</f>
        <v>100</v>
      </c>
      <c r="V28" s="754" t="s">
        <v>25</v>
      </c>
      <c r="W28" s="755">
        <f t="shared" ref="W28:W40" si="14">J28</f>
        <v>100</v>
      </c>
      <c r="X28" s="1906"/>
      <c r="Y28" s="3033"/>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3" t="s">
        <v>2373</v>
      </c>
      <c r="Q29" s="1905" t="str">
        <f t="shared" si="11"/>
        <v>建筑类型</v>
      </c>
      <c r="R29" s="754" t="s">
        <v>25</v>
      </c>
      <c r="S29" s="755">
        <f t="shared" si="12"/>
        <v>100</v>
      </c>
      <c r="T29" s="754" t="s">
        <v>25</v>
      </c>
      <c r="U29" s="755">
        <f t="shared" si="13"/>
        <v>100</v>
      </c>
      <c r="V29" s="754" t="s">
        <v>25</v>
      </c>
      <c r="W29" s="755">
        <f t="shared" si="14"/>
        <v>100</v>
      </c>
      <c r="X29" s="1906"/>
      <c r="Y29" s="303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7"/>
      <c r="Q30" s="756" t="str">
        <f t="shared" si="11"/>
        <v>项目建筑规模</v>
      </c>
      <c r="R30" s="757" t="s">
        <v>25</v>
      </c>
      <c r="S30" s="758" t="e">
        <f t="shared" si="12"/>
        <v>#N/A</v>
      </c>
      <c r="T30" s="757" t="s">
        <v>25</v>
      </c>
      <c r="U30" s="758" t="e">
        <f t="shared" si="13"/>
        <v>#N/A</v>
      </c>
      <c r="V30" s="757" t="s">
        <v>25</v>
      </c>
      <c r="W30" s="758" t="e">
        <f t="shared" si="14"/>
        <v>#N/A</v>
      </c>
      <c r="X30" s="759"/>
      <c r="Y30" s="303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7"/>
      <c r="Q31" s="1905" t="str">
        <f t="shared" si="11"/>
        <v>建筑结构</v>
      </c>
      <c r="R31" s="754" t="s">
        <v>25</v>
      </c>
      <c r="S31" s="755">
        <f t="shared" si="12"/>
        <v>100</v>
      </c>
      <c r="T31" s="754" t="s">
        <v>25</v>
      </c>
      <c r="U31" s="755">
        <f t="shared" si="13"/>
        <v>100</v>
      </c>
      <c r="V31" s="754" t="s">
        <v>25</v>
      </c>
      <c r="W31" s="755">
        <f t="shared" si="14"/>
        <v>100</v>
      </c>
      <c r="X31" s="1906"/>
      <c r="Y31" s="303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7"/>
      <c r="Q32" s="1905" t="str">
        <f t="shared" si="11"/>
        <v>公共部分装修</v>
      </c>
      <c r="R32" s="754" t="s">
        <v>25</v>
      </c>
      <c r="S32" s="755">
        <f t="shared" si="12"/>
        <v>100</v>
      </c>
      <c r="T32" s="754" t="s">
        <v>25</v>
      </c>
      <c r="U32" s="755">
        <f t="shared" si="13"/>
        <v>100</v>
      </c>
      <c r="V32" s="754" t="s">
        <v>25</v>
      </c>
      <c r="W32" s="755">
        <f t="shared" si="14"/>
        <v>100</v>
      </c>
      <c r="X32" s="1906"/>
      <c r="Y32" s="303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7"/>
      <c r="Q33" s="1905" t="str">
        <f t="shared" si="11"/>
        <v>成新度</v>
      </c>
      <c r="R33" s="754" t="s">
        <v>25</v>
      </c>
      <c r="S33" s="755" t="e">
        <f t="shared" si="12"/>
        <v>#N/A</v>
      </c>
      <c r="T33" s="754" t="s">
        <v>25</v>
      </c>
      <c r="U33" s="755" t="e">
        <f t="shared" si="13"/>
        <v>#N/A</v>
      </c>
      <c r="V33" s="754" t="s">
        <v>25</v>
      </c>
      <c r="W33" s="755" t="e">
        <f t="shared" si="14"/>
        <v>#N/A</v>
      </c>
      <c r="X33" s="1906"/>
      <c r="Y33" s="303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7"/>
      <c r="Q34" s="1893" t="str">
        <f t="shared" si="11"/>
        <v>物业管理</v>
      </c>
      <c r="R34" s="750" t="s">
        <v>25</v>
      </c>
      <c r="S34" s="751">
        <f t="shared" si="12"/>
        <v>100</v>
      </c>
      <c r="T34" s="750" t="s">
        <v>25</v>
      </c>
      <c r="U34" s="751">
        <f t="shared" si="13"/>
        <v>100</v>
      </c>
      <c r="V34" s="750" t="s">
        <v>25</v>
      </c>
      <c r="W34" s="751">
        <f t="shared" si="14"/>
        <v>100</v>
      </c>
      <c r="X34" s="752"/>
      <c r="Y34" s="303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7" t="s">
        <v>2373</v>
      </c>
      <c r="Q35" s="1905" t="str">
        <f t="shared" si="11"/>
        <v>市政基础设施</v>
      </c>
      <c r="R35" s="754" t="s">
        <v>25</v>
      </c>
      <c r="S35" s="755">
        <f t="shared" si="12"/>
        <v>100</v>
      </c>
      <c r="T35" s="754" t="s">
        <v>25</v>
      </c>
      <c r="U35" s="755">
        <f t="shared" si="13"/>
        <v>100</v>
      </c>
      <c r="V35" s="754" t="s">
        <v>25</v>
      </c>
      <c r="W35" s="755">
        <f t="shared" si="14"/>
        <v>100</v>
      </c>
      <c r="X35" s="1906"/>
      <c r="Y35" s="303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7"/>
      <c r="Q36" s="1905" t="str">
        <f t="shared" si="11"/>
        <v>内部装修</v>
      </c>
      <c r="R36" s="754" t="s">
        <v>25</v>
      </c>
      <c r="S36" s="755">
        <f t="shared" si="12"/>
        <v>100</v>
      </c>
      <c r="T36" s="754" t="s">
        <v>25</v>
      </c>
      <c r="U36" s="755">
        <f t="shared" si="13"/>
        <v>100</v>
      </c>
      <c r="V36" s="754" t="s">
        <v>25</v>
      </c>
      <c r="W36" s="755">
        <f t="shared" si="14"/>
        <v>100</v>
      </c>
      <c r="X36" s="1906"/>
      <c r="Y36" s="303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7"/>
      <c r="Q37" s="1905" t="str">
        <f t="shared" si="11"/>
        <v>内部装修状况</v>
      </c>
      <c r="R37" s="754" t="s">
        <v>25</v>
      </c>
      <c r="S37" s="755">
        <f t="shared" si="12"/>
        <v>0</v>
      </c>
      <c r="T37" s="754" t="s">
        <v>25</v>
      </c>
      <c r="U37" s="755">
        <f t="shared" si="13"/>
        <v>0</v>
      </c>
      <c r="V37" s="754" t="s">
        <v>25</v>
      </c>
      <c r="W37" s="755">
        <f t="shared" si="14"/>
        <v>0</v>
      </c>
      <c r="X37" s="1906"/>
      <c r="Y37" s="3037"/>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7"/>
      <c r="Q38" s="756">
        <f t="shared" si="11"/>
        <v>111</v>
      </c>
      <c r="R38" s="757" t="s">
        <v>25</v>
      </c>
      <c r="S38" s="758">
        <f t="shared" si="12"/>
        <v>100</v>
      </c>
      <c r="T38" s="757" t="s">
        <v>25</v>
      </c>
      <c r="U38" s="758">
        <f t="shared" si="13"/>
        <v>100</v>
      </c>
      <c r="V38" s="757" t="s">
        <v>25</v>
      </c>
      <c r="W38" s="758">
        <f t="shared" si="14"/>
        <v>100</v>
      </c>
      <c r="X38" s="759"/>
      <c r="Y38" s="3037"/>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7"/>
      <c r="Q39" s="1905">
        <f t="shared" si="11"/>
        <v>111</v>
      </c>
      <c r="R39" s="754" t="s">
        <v>25</v>
      </c>
      <c r="S39" s="755">
        <f t="shared" si="12"/>
        <v>100</v>
      </c>
      <c r="T39" s="754" t="s">
        <v>25</v>
      </c>
      <c r="U39" s="755">
        <f t="shared" si="13"/>
        <v>100</v>
      </c>
      <c r="V39" s="754" t="s">
        <v>25</v>
      </c>
      <c r="W39" s="755">
        <f t="shared" si="14"/>
        <v>100</v>
      </c>
      <c r="X39" s="1906"/>
      <c r="Y39" s="3037"/>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8"/>
      <c r="Q40" s="1905">
        <f t="shared" si="11"/>
        <v>111</v>
      </c>
      <c r="R40" s="754" t="s">
        <v>25</v>
      </c>
      <c r="S40" s="755">
        <f t="shared" si="12"/>
        <v>100</v>
      </c>
      <c r="T40" s="754" t="s">
        <v>25</v>
      </c>
      <c r="U40" s="755">
        <f t="shared" si="13"/>
        <v>100</v>
      </c>
      <c r="V40" s="754" t="s">
        <v>25</v>
      </c>
      <c r="W40" s="755">
        <f t="shared" si="14"/>
        <v>100</v>
      </c>
      <c r="X40" s="1906"/>
      <c r="Y40" s="303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29" t="str">
        <f>A41</f>
        <v>成交单价（元/平方米）</v>
      </c>
      <c r="Q41" s="3029"/>
      <c r="R41" s="3025">
        <f>E41</f>
        <v>0</v>
      </c>
      <c r="S41" s="3025"/>
      <c r="T41" s="3025">
        <f>G41</f>
        <v>0</v>
      </c>
      <c r="U41" s="3025"/>
      <c r="V41" s="3025">
        <f>I41</f>
        <v>0</v>
      </c>
      <c r="W41" s="302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29" t="str">
        <f>A42</f>
        <v>比较价值（元/平方米）</v>
      </c>
      <c r="Q42" s="3029"/>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26" t="str">
        <f>A43</f>
        <v>估价对象XX用房的比较价值（楼面单价，元/平方米）</v>
      </c>
      <c r="Q43" s="3027"/>
      <c r="R43" s="3028" t="e">
        <f>IF(E1="售价",ROUND(AVERAGE(R42:V42),0),ROUND(AVERAGE(R42:V42),1))</f>
        <v>#DIV/0!</v>
      </c>
      <c r="S43" s="3028"/>
      <c r="T43" s="3028"/>
      <c r="U43" s="3028"/>
      <c r="V43" s="3028"/>
      <c r="W43" s="302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51.99</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56" t="s">
        <v>2343</v>
      </c>
      <c r="D4" s="3057"/>
      <c r="E4" s="3058" t="s">
        <v>2344</v>
      </c>
      <c r="F4" s="3059"/>
      <c r="G4" s="3056" t="s">
        <v>2345</v>
      </c>
      <c r="H4" s="3057"/>
      <c r="I4" s="3056" t="s">
        <v>2346</v>
      </c>
      <c r="J4" s="3057"/>
      <c r="K4" s="595" t="s">
        <v>2347</v>
      </c>
      <c r="L4" s="1516"/>
      <c r="M4" s="426"/>
      <c r="N4" s="426"/>
      <c r="O4" s="426"/>
      <c r="P4" s="3060" t="s">
        <v>2348</v>
      </c>
      <c r="Q4" s="3061"/>
      <c r="R4" s="3045" t="s">
        <v>2344</v>
      </c>
      <c r="S4" s="3046"/>
      <c r="T4" s="3045" t="s">
        <v>2345</v>
      </c>
      <c r="U4" s="3046"/>
      <c r="V4" s="3066" t="s">
        <v>2346</v>
      </c>
      <c r="W4" s="3066"/>
      <c r="X4" s="1906"/>
      <c r="Y4" s="3045" t="s">
        <v>2348</v>
      </c>
      <c r="Z4" s="3046"/>
      <c r="AA4" s="3053" t="s">
        <v>2344</v>
      </c>
      <c r="AB4" s="3054" t="s">
        <v>2345</v>
      </c>
      <c r="AC4" s="3053" t="s">
        <v>2346</v>
      </c>
    </row>
    <row r="5" spans="1:29" ht="15">
      <c r="A5" s="384"/>
      <c r="B5" s="385"/>
      <c r="C5" s="3074" t="s">
        <v>2349</v>
      </c>
      <c r="D5" s="3075"/>
      <c r="E5" s="3072" t="s">
        <v>2350</v>
      </c>
      <c r="F5" s="3073"/>
      <c r="G5" s="3074" t="s">
        <v>2351</v>
      </c>
      <c r="H5" s="3075"/>
      <c r="I5" s="3074" t="s">
        <v>2352</v>
      </c>
      <c r="J5" s="3075"/>
      <c r="K5" s="595"/>
      <c r="L5" s="1516"/>
      <c r="M5" s="426"/>
      <c r="N5" s="426"/>
      <c r="O5" s="426"/>
      <c r="P5" s="3062"/>
      <c r="Q5" s="3063"/>
      <c r="R5" s="3047"/>
      <c r="S5" s="3048"/>
      <c r="T5" s="3047"/>
      <c r="U5" s="3048"/>
      <c r="V5" s="3066"/>
      <c r="W5" s="3066"/>
      <c r="X5" s="1906"/>
      <c r="Y5" s="3047"/>
      <c r="Z5" s="3048"/>
      <c r="AA5" s="3054"/>
      <c r="AB5" s="3054"/>
      <c r="AC5" s="3054"/>
    </row>
    <row r="6" spans="1:29" ht="15.75" thickBot="1">
      <c r="A6" s="386"/>
      <c r="B6" s="387"/>
      <c r="C6" s="3039" t="s">
        <v>2353</v>
      </c>
      <c r="D6" s="3040"/>
      <c r="E6" s="3070" t="s">
        <v>2353</v>
      </c>
      <c r="F6" s="3071"/>
      <c r="G6" s="3039" t="s">
        <v>2353</v>
      </c>
      <c r="H6" s="3040"/>
      <c r="I6" s="3039" t="s">
        <v>2353</v>
      </c>
      <c r="J6" s="3040"/>
      <c r="K6" s="595" t="s">
        <v>2354</v>
      </c>
      <c r="L6" s="1516"/>
      <c r="M6" s="426"/>
      <c r="N6" s="426"/>
      <c r="O6" s="426"/>
      <c r="P6" s="3064"/>
      <c r="Q6" s="3065"/>
      <c r="R6" s="3047"/>
      <c r="S6" s="3048"/>
      <c r="T6" s="3049"/>
      <c r="U6" s="3050"/>
      <c r="V6" s="3066"/>
      <c r="W6" s="3066"/>
      <c r="X6" s="1906"/>
      <c r="Y6" s="3049"/>
      <c r="Z6" s="3050"/>
      <c r="AA6" s="3055"/>
      <c r="AB6" s="3055"/>
      <c r="AC6" s="3055"/>
    </row>
    <row r="7" spans="1:29" s="35" customFormat="1" ht="15.75" thickBot="1">
      <c r="A7" s="388" t="s">
        <v>2355</v>
      </c>
      <c r="B7" s="389"/>
      <c r="C7" s="390">
        <f>'数据-取费表'!B2</f>
        <v>43047</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3" t="s">
        <v>2356</v>
      </c>
      <c r="Q7" s="3051"/>
      <c r="R7" s="750" t="s">
        <v>25</v>
      </c>
      <c r="S7" s="751">
        <f t="shared" ref="S7:S14" si="0">F7</f>
        <v>0</v>
      </c>
      <c r="T7" s="750" t="s">
        <v>25</v>
      </c>
      <c r="U7" s="751">
        <f t="shared" ref="U7:U14" si="1">H7</f>
        <v>0</v>
      </c>
      <c r="V7" s="750" t="s">
        <v>25</v>
      </c>
      <c r="W7" s="751">
        <f t="shared" ref="W7:W14" si="2">J7</f>
        <v>0</v>
      </c>
      <c r="X7" s="752"/>
      <c r="Y7" s="3043" t="s">
        <v>2356</v>
      </c>
      <c r="Z7" s="304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3" t="s">
        <v>2359</v>
      </c>
      <c r="Q8" s="3044"/>
      <c r="R8" s="750" t="s">
        <v>25</v>
      </c>
      <c r="S8" s="751">
        <f t="shared" si="0"/>
        <v>0</v>
      </c>
      <c r="T8" s="750" t="s">
        <v>25</v>
      </c>
      <c r="U8" s="751">
        <f t="shared" si="1"/>
        <v>0</v>
      </c>
      <c r="V8" s="750" t="s">
        <v>25</v>
      </c>
      <c r="W8" s="751">
        <f t="shared" si="2"/>
        <v>0</v>
      </c>
      <c r="X8" s="752"/>
      <c r="Y8" s="3043" t="s">
        <v>2359</v>
      </c>
      <c r="Z8" s="304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9" t="s">
        <v>2362</v>
      </c>
      <c r="Q9" s="1893" t="str">
        <f t="shared" ref="Q9:Q14" si="6">B9</f>
        <v>用途</v>
      </c>
      <c r="R9" s="750" t="s">
        <v>25</v>
      </c>
      <c r="S9" s="751">
        <f t="shared" si="0"/>
        <v>100</v>
      </c>
      <c r="T9" s="750" t="s">
        <v>25</v>
      </c>
      <c r="U9" s="751">
        <f t="shared" si="1"/>
        <v>100</v>
      </c>
      <c r="V9" s="750" t="s">
        <v>25</v>
      </c>
      <c r="W9" s="751">
        <f t="shared" si="2"/>
        <v>100</v>
      </c>
      <c r="X9" s="752"/>
      <c r="Y9" s="285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9"/>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213.75">
      <c r="A14" s="381" t="s">
        <v>2366</v>
      </c>
      <c r="B14" s="614" t="s">
        <v>2510</v>
      </c>
      <c r="C14" s="1482" t="str">
        <f>IF(B1="工业",估价对象房地状况!G4,估价对象房地状况!C6)</f>
        <v>估价对象紧邻城市支路——定福庄北街，临近地铁6号线（褡裢坡站）八通线（传媒大学站）；以估价对象为中心半径2公里范围内有306路、411路、488路、499路、517路等十余条公交线路，综合评价交通便捷度较好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2" t="s">
        <v>2367</v>
      </c>
      <c r="Q14" s="1905" t="str">
        <f t="shared" si="6"/>
        <v>交通便捷度</v>
      </c>
      <c r="R14" s="754" t="s">
        <v>25</v>
      </c>
      <c r="S14" s="755">
        <f t="shared" si="0"/>
        <v>100</v>
      </c>
      <c r="T14" s="754" t="s">
        <v>25</v>
      </c>
      <c r="U14" s="755">
        <f t="shared" si="1"/>
        <v>100</v>
      </c>
      <c r="V14" s="754" t="s">
        <v>25</v>
      </c>
      <c r="W14" s="755">
        <f t="shared" si="2"/>
        <v>100</v>
      </c>
      <c r="X14" s="1906"/>
      <c r="Y14" s="303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3"/>
      <c r="Q15" s="1905"/>
      <c r="R15" s="754"/>
      <c r="S15" s="755"/>
      <c r="T15" s="754"/>
      <c r="U15" s="755"/>
      <c r="V15" s="754"/>
      <c r="W15" s="755"/>
      <c r="X15" s="1906"/>
      <c r="Y15" s="3033"/>
      <c r="Z15" s="1908"/>
      <c r="AA15" s="1909">
        <v>1</v>
      </c>
      <c r="AB15" s="1909">
        <v>1</v>
      </c>
      <c r="AC15" s="1909">
        <v>1</v>
      </c>
    </row>
    <row r="16" spans="1:29" ht="42.75">
      <c r="A16" s="384"/>
      <c r="B16" s="616" t="s">
        <v>2482</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3"/>
      <c r="Q16" s="1905" t="str">
        <f>B16</f>
        <v>公共配套设施</v>
      </c>
      <c r="R16" s="754" t="s">
        <v>25</v>
      </c>
      <c r="S16" s="755">
        <f>F16</f>
        <v>100</v>
      </c>
      <c r="T16" s="754" t="s">
        <v>25</v>
      </c>
      <c r="U16" s="755">
        <f>H16</f>
        <v>100</v>
      </c>
      <c r="V16" s="754" t="s">
        <v>25</v>
      </c>
      <c r="W16" s="755">
        <f>J16</f>
        <v>100</v>
      </c>
      <c r="X16" s="1906"/>
      <c r="Y16" s="303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3"/>
      <c r="Q17" s="1905"/>
      <c r="R17" s="754"/>
      <c r="S17" s="755"/>
      <c r="T17" s="754"/>
      <c r="U17" s="755"/>
      <c r="V17" s="754"/>
      <c r="W17" s="755"/>
      <c r="X17" s="1906"/>
      <c r="Y17" s="3033"/>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3"/>
      <c r="Q18" s="1905" t="str">
        <f>B18</f>
        <v>基础设施水平</v>
      </c>
      <c r="R18" s="754" t="s">
        <v>25</v>
      </c>
      <c r="S18" s="755">
        <f>F18</f>
        <v>100</v>
      </c>
      <c r="T18" s="754" t="s">
        <v>25</v>
      </c>
      <c r="U18" s="755">
        <f>H18</f>
        <v>100</v>
      </c>
      <c r="V18" s="754" t="s">
        <v>25</v>
      </c>
      <c r="W18" s="755">
        <f>J18</f>
        <v>100</v>
      </c>
      <c r="X18" s="1906"/>
      <c r="Y18" s="303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3"/>
      <c r="Q19" s="1905"/>
      <c r="R19" s="754"/>
      <c r="S19" s="755"/>
      <c r="T19" s="754"/>
      <c r="U19" s="755"/>
      <c r="V19" s="754"/>
      <c r="W19" s="755"/>
      <c r="X19" s="1906"/>
      <c r="Y19" s="3033"/>
      <c r="Z19" s="1908"/>
      <c r="AA19" s="1909">
        <v>1</v>
      </c>
      <c r="AB19" s="1909">
        <v>1</v>
      </c>
      <c r="AC19" s="1909">
        <v>1</v>
      </c>
    </row>
    <row r="20" spans="1:29" ht="128.25">
      <c r="A20" s="384"/>
      <c r="B20" s="616" t="s">
        <v>2511</v>
      </c>
      <c r="C20" s="1484" t="str">
        <f>IF(B1="工业",估价对象房地状况!G7,估价对象房地状况!C9)</f>
        <v>自然环境：兴隆公园、京城梨园、大黄庄苗圃花木基地等；人文环境：中国传媒大学、高进村史博物馆等，综合评价环境状况较好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3"/>
      <c r="Q20" s="1905" t="str">
        <f>B20</f>
        <v>自然及人文环境</v>
      </c>
      <c r="R20" s="754" t="s">
        <v>25</v>
      </c>
      <c r="S20" s="755">
        <f>F20</f>
        <v>100</v>
      </c>
      <c r="T20" s="754" t="s">
        <v>25</v>
      </c>
      <c r="U20" s="755">
        <f>H20</f>
        <v>100</v>
      </c>
      <c r="V20" s="754" t="s">
        <v>25</v>
      </c>
      <c r="W20" s="755">
        <f>J20</f>
        <v>100</v>
      </c>
      <c r="X20" s="1906"/>
      <c r="Y20" s="303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3"/>
      <c r="Q21" s="1905"/>
      <c r="R21" s="754"/>
      <c r="S21" s="755"/>
      <c r="T21" s="754"/>
      <c r="U21" s="755"/>
      <c r="V21" s="754"/>
      <c r="W21" s="755"/>
      <c r="X21" s="1906"/>
      <c r="Y21" s="303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3"/>
      <c r="Q22" s="1905" t="str">
        <f>B22</f>
        <v>楼层</v>
      </c>
      <c r="R22" s="754" t="s">
        <v>25</v>
      </c>
      <c r="S22" s="755">
        <f>F22</f>
        <v>100</v>
      </c>
      <c r="T22" s="754" t="s">
        <v>25</v>
      </c>
      <c r="U22" s="755">
        <f>H22</f>
        <v>100</v>
      </c>
      <c r="V22" s="754" t="s">
        <v>25</v>
      </c>
      <c r="W22" s="755">
        <f>J22</f>
        <v>100</v>
      </c>
      <c r="X22" s="1906"/>
      <c r="Y22" s="303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3"/>
      <c r="Q23" s="1905">
        <f>B23</f>
        <v>111</v>
      </c>
      <c r="R23" s="754" t="s">
        <v>25</v>
      </c>
      <c r="S23" s="755">
        <f>F23</f>
        <v>100</v>
      </c>
      <c r="T23" s="754" t="s">
        <v>25</v>
      </c>
      <c r="U23" s="755">
        <f>H23</f>
        <v>100</v>
      </c>
      <c r="V23" s="754" t="s">
        <v>25</v>
      </c>
      <c r="W23" s="755">
        <f>J23</f>
        <v>100</v>
      </c>
      <c r="X23" s="1906"/>
      <c r="Y23" s="303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3"/>
      <c r="Q24" s="1905">
        <f t="shared" ref="Q24:Q36" si="11">B24</f>
        <v>111</v>
      </c>
      <c r="R24" s="754" t="s">
        <v>25</v>
      </c>
      <c r="S24" s="755">
        <f>F24</f>
        <v>100</v>
      </c>
      <c r="T24" s="754" t="s">
        <v>25</v>
      </c>
      <c r="U24" s="755">
        <f>H24</f>
        <v>100</v>
      </c>
      <c r="V24" s="754" t="s">
        <v>25</v>
      </c>
      <c r="W24" s="755">
        <f>J24</f>
        <v>100</v>
      </c>
      <c r="X24" s="1906"/>
      <c r="Y24" s="303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3"/>
      <c r="Q25" s="1893">
        <f t="shared" si="11"/>
        <v>111</v>
      </c>
      <c r="R25" s="750" t="s">
        <v>25</v>
      </c>
      <c r="S25" s="751">
        <f>F25</f>
        <v>100</v>
      </c>
      <c r="T25" s="750" t="s">
        <v>25</v>
      </c>
      <c r="U25" s="751">
        <f>H25</f>
        <v>100</v>
      </c>
      <c r="V25" s="750" t="s">
        <v>25</v>
      </c>
      <c r="W25" s="751">
        <f>J25</f>
        <v>100</v>
      </c>
      <c r="X25" s="752"/>
      <c r="Y25" s="3033"/>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3"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7"/>
      <c r="Q27" s="756" t="str">
        <f t="shared" si="11"/>
        <v>项目停车位配比</v>
      </c>
      <c r="R27" s="757" t="s">
        <v>25</v>
      </c>
      <c r="S27" s="758">
        <f t="shared" si="12"/>
        <v>100</v>
      </c>
      <c r="T27" s="757" t="s">
        <v>25</v>
      </c>
      <c r="U27" s="758">
        <f t="shared" si="13"/>
        <v>100</v>
      </c>
      <c r="V27" s="757" t="s">
        <v>25</v>
      </c>
      <c r="W27" s="758">
        <f t="shared" si="14"/>
        <v>100</v>
      </c>
      <c r="X27" s="759"/>
      <c r="Y27" s="303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7"/>
      <c r="Q28" s="1905" t="str">
        <f t="shared" si="11"/>
        <v>公共部分装修</v>
      </c>
      <c r="R28" s="754" t="s">
        <v>25</v>
      </c>
      <c r="S28" s="755">
        <f t="shared" si="12"/>
        <v>100</v>
      </c>
      <c r="T28" s="754" t="s">
        <v>25</v>
      </c>
      <c r="U28" s="755">
        <f t="shared" si="13"/>
        <v>100</v>
      </c>
      <c r="V28" s="754" t="s">
        <v>25</v>
      </c>
      <c r="W28" s="755">
        <f t="shared" si="14"/>
        <v>100</v>
      </c>
      <c r="X28" s="1906"/>
      <c r="Y28" s="303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7"/>
      <c r="Q29" s="1905" t="str">
        <f t="shared" si="11"/>
        <v>成新率</v>
      </c>
      <c r="R29" s="754" t="s">
        <v>25</v>
      </c>
      <c r="S29" s="755" t="e">
        <f t="shared" si="12"/>
        <v>#N/A</v>
      </c>
      <c r="T29" s="754" t="s">
        <v>25</v>
      </c>
      <c r="U29" s="755" t="e">
        <f t="shared" si="13"/>
        <v>#N/A</v>
      </c>
      <c r="V29" s="754" t="s">
        <v>25</v>
      </c>
      <c r="W29" s="755" t="e">
        <f t="shared" si="14"/>
        <v>#N/A</v>
      </c>
      <c r="X29" s="1906"/>
      <c r="Y29" s="303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7"/>
      <c r="Q30" s="1905" t="str">
        <f t="shared" si="11"/>
        <v>物业等级</v>
      </c>
      <c r="R30" s="754" t="s">
        <v>25</v>
      </c>
      <c r="S30" s="755">
        <f t="shared" si="12"/>
        <v>100</v>
      </c>
      <c r="T30" s="754" t="s">
        <v>25</v>
      </c>
      <c r="U30" s="755">
        <f t="shared" si="13"/>
        <v>100</v>
      </c>
      <c r="V30" s="754" t="s">
        <v>25</v>
      </c>
      <c r="W30" s="755">
        <f t="shared" si="14"/>
        <v>100</v>
      </c>
      <c r="X30" s="1906"/>
      <c r="Y30" s="303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7"/>
      <c r="Q31" s="1893" t="str">
        <f t="shared" si="11"/>
        <v>停车位面积</v>
      </c>
      <c r="R31" s="750" t="s">
        <v>25</v>
      </c>
      <c r="S31" s="751" t="e">
        <f t="shared" si="12"/>
        <v>#N/A</v>
      </c>
      <c r="T31" s="750" t="s">
        <v>25</v>
      </c>
      <c r="U31" s="751" t="e">
        <f t="shared" si="13"/>
        <v>#N/A</v>
      </c>
      <c r="V31" s="750" t="s">
        <v>25</v>
      </c>
      <c r="W31" s="751" t="e">
        <f t="shared" si="14"/>
        <v>#N/A</v>
      </c>
      <c r="X31" s="752"/>
      <c r="Y31" s="303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7" t="s">
        <v>2373</v>
      </c>
      <c r="Q32" s="1905" t="str">
        <f t="shared" si="11"/>
        <v>车位类型</v>
      </c>
      <c r="R32" s="754" t="s">
        <v>25</v>
      </c>
      <c r="S32" s="755">
        <f t="shared" si="12"/>
        <v>100</v>
      </c>
      <c r="T32" s="754" t="s">
        <v>25</v>
      </c>
      <c r="U32" s="755">
        <f t="shared" si="13"/>
        <v>100</v>
      </c>
      <c r="V32" s="754" t="s">
        <v>25</v>
      </c>
      <c r="W32" s="755">
        <f t="shared" si="14"/>
        <v>100</v>
      </c>
      <c r="X32" s="1906"/>
      <c r="Y32" s="303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7"/>
      <c r="Q33" s="1905" t="str">
        <f t="shared" si="11"/>
        <v>是否直接入户</v>
      </c>
      <c r="R33" s="754" t="s">
        <v>25</v>
      </c>
      <c r="S33" s="755">
        <f t="shared" si="12"/>
        <v>100</v>
      </c>
      <c r="T33" s="754" t="s">
        <v>25</v>
      </c>
      <c r="U33" s="755">
        <f t="shared" si="13"/>
        <v>100</v>
      </c>
      <c r="V33" s="754" t="s">
        <v>25</v>
      </c>
      <c r="W33" s="755">
        <f t="shared" si="14"/>
        <v>100</v>
      </c>
      <c r="X33" s="1906"/>
      <c r="Y33" s="303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7"/>
      <c r="Q34" s="1905">
        <f t="shared" si="11"/>
        <v>111</v>
      </c>
      <c r="R34" s="754" t="s">
        <v>25</v>
      </c>
      <c r="S34" s="755">
        <f t="shared" si="12"/>
        <v>100</v>
      </c>
      <c r="T34" s="754" t="s">
        <v>25</v>
      </c>
      <c r="U34" s="755">
        <f t="shared" si="13"/>
        <v>100</v>
      </c>
      <c r="V34" s="754" t="s">
        <v>25</v>
      </c>
      <c r="W34" s="755">
        <f t="shared" si="14"/>
        <v>100</v>
      </c>
      <c r="X34" s="1906"/>
      <c r="Y34" s="303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7"/>
      <c r="Q35" s="756">
        <f t="shared" si="11"/>
        <v>111</v>
      </c>
      <c r="R35" s="757" t="s">
        <v>25</v>
      </c>
      <c r="S35" s="758">
        <f t="shared" si="12"/>
        <v>100</v>
      </c>
      <c r="T35" s="757" t="s">
        <v>25</v>
      </c>
      <c r="U35" s="758">
        <f t="shared" si="13"/>
        <v>100</v>
      </c>
      <c r="V35" s="757" t="s">
        <v>25</v>
      </c>
      <c r="W35" s="758">
        <f t="shared" si="14"/>
        <v>100</v>
      </c>
      <c r="X35" s="759"/>
      <c r="Y35" s="303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7"/>
      <c r="Q36" s="1905">
        <f t="shared" si="11"/>
        <v>111</v>
      </c>
      <c r="R36" s="754" t="s">
        <v>25</v>
      </c>
      <c r="S36" s="755">
        <f t="shared" si="12"/>
        <v>100</v>
      </c>
      <c r="T36" s="754" t="s">
        <v>25</v>
      </c>
      <c r="U36" s="755">
        <f t="shared" si="13"/>
        <v>100</v>
      </c>
      <c r="V36" s="754" t="s">
        <v>25</v>
      </c>
      <c r="W36" s="755">
        <f t="shared" si="14"/>
        <v>100</v>
      </c>
      <c r="X36" s="1906"/>
      <c r="Y36" s="303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29" t="str">
        <f>A37</f>
        <v>成交单价</v>
      </c>
      <c r="Q37" s="3029"/>
      <c r="R37" s="3025">
        <f>E37</f>
        <v>0</v>
      </c>
      <c r="S37" s="3025"/>
      <c r="T37" s="3025">
        <f>G37</f>
        <v>0</v>
      </c>
      <c r="U37" s="3025"/>
      <c r="V37" s="3025">
        <f>I37</f>
        <v>0</v>
      </c>
      <c r="W37" s="302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9" t="str">
        <f>A38</f>
        <v>比较价值</v>
      </c>
      <c r="Q38" s="3029"/>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26" t="str">
        <f>A39</f>
        <v>估价对象XX用房的比较价值（楼面单价，元/平方米）</v>
      </c>
      <c r="Q39" s="3027"/>
      <c r="R39" s="3028" t="e">
        <f>IF(E1="售价",ROUND(AVERAGE(R38:V38),0),ROUND(AVERAGE(R38:V38),1))</f>
        <v>#DIV/0!</v>
      </c>
      <c r="S39" s="3028"/>
      <c r="T39" s="3028"/>
      <c r="U39" s="3028"/>
      <c r="V39" s="3028"/>
      <c r="W39" s="302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估价对象为房地产，为所有。根据《不动产权证书》[]，估价对象建筑面积为51.99平方米，（分摊）出让国有建设用地使用权面积为平方米。估价对象用途为。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2017年11月8日（评估专业人员实地查勘之日）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本次估价的“房地产价值”是指在正常市场情况下，在价值时点2017年11月8日，估价对象规划用途为，假定未设立法定优先受偿款下的房地产市场价值。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51.99</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6" t="s">
        <v>2343</v>
      </c>
      <c r="D4" s="3057"/>
      <c r="E4" s="3058" t="s">
        <v>2344</v>
      </c>
      <c r="F4" s="3059"/>
      <c r="G4" s="3056" t="s">
        <v>2345</v>
      </c>
      <c r="H4" s="3057"/>
      <c r="I4" s="3056" t="s">
        <v>2346</v>
      </c>
      <c r="J4" s="3057"/>
      <c r="K4" s="595" t="s">
        <v>2347</v>
      </c>
      <c r="L4" s="1245"/>
      <c r="M4" s="1246"/>
      <c r="N4" s="1246"/>
      <c r="O4" s="1246"/>
      <c r="P4" s="3060" t="s">
        <v>2348</v>
      </c>
      <c r="Q4" s="3061"/>
      <c r="R4" s="3045" t="s">
        <v>2344</v>
      </c>
      <c r="S4" s="3046"/>
      <c r="T4" s="3045" t="s">
        <v>2345</v>
      </c>
      <c r="U4" s="3046"/>
      <c r="V4" s="3066" t="s">
        <v>2346</v>
      </c>
      <c r="W4" s="3066"/>
      <c r="X4" s="1906"/>
      <c r="Y4" s="3045" t="s">
        <v>2348</v>
      </c>
      <c r="Z4" s="3046"/>
      <c r="AA4" s="3053" t="s">
        <v>2344</v>
      </c>
      <c r="AB4" s="3054" t="s">
        <v>2345</v>
      </c>
      <c r="AC4" s="3053" t="s">
        <v>2346</v>
      </c>
    </row>
    <row r="5" spans="1:29" ht="15">
      <c r="A5" s="384"/>
      <c r="B5" s="385"/>
      <c r="C5" s="3074" t="s">
        <v>2349</v>
      </c>
      <c r="D5" s="3075"/>
      <c r="E5" s="3072" t="s">
        <v>2350</v>
      </c>
      <c r="F5" s="3073"/>
      <c r="G5" s="3074" t="s">
        <v>2351</v>
      </c>
      <c r="H5" s="3075"/>
      <c r="I5" s="3074" t="s">
        <v>2352</v>
      </c>
      <c r="J5" s="3075"/>
      <c r="K5" s="595"/>
      <c r="L5" s="1245"/>
      <c r="M5" s="1246"/>
      <c r="N5" s="1246"/>
      <c r="O5" s="1246"/>
      <c r="P5" s="3062"/>
      <c r="Q5" s="3063"/>
      <c r="R5" s="3047"/>
      <c r="S5" s="3048"/>
      <c r="T5" s="3047"/>
      <c r="U5" s="3048"/>
      <c r="V5" s="3066"/>
      <c r="W5" s="3066"/>
      <c r="X5" s="1906"/>
      <c r="Y5" s="3047"/>
      <c r="Z5" s="3048"/>
      <c r="AA5" s="3054"/>
      <c r="AB5" s="3054"/>
      <c r="AC5" s="3054"/>
    </row>
    <row r="6" spans="1:29" ht="15.75" thickBot="1">
      <c r="A6" s="386"/>
      <c r="B6" s="387"/>
      <c r="C6" s="3039" t="s">
        <v>2353</v>
      </c>
      <c r="D6" s="3040"/>
      <c r="E6" s="3070" t="s">
        <v>2353</v>
      </c>
      <c r="F6" s="3071"/>
      <c r="G6" s="3039" t="s">
        <v>2353</v>
      </c>
      <c r="H6" s="3040"/>
      <c r="I6" s="3039" t="s">
        <v>2353</v>
      </c>
      <c r="J6" s="3040"/>
      <c r="K6" s="595" t="s">
        <v>2354</v>
      </c>
      <c r="L6" s="1245"/>
      <c r="M6" s="1246"/>
      <c r="N6" s="1246"/>
      <c r="O6" s="1246"/>
      <c r="P6" s="3064"/>
      <c r="Q6" s="3065"/>
      <c r="R6" s="3047"/>
      <c r="S6" s="3048"/>
      <c r="T6" s="3049"/>
      <c r="U6" s="3050"/>
      <c r="V6" s="3066"/>
      <c r="W6" s="3066"/>
      <c r="X6" s="1906"/>
      <c r="Y6" s="3049"/>
      <c r="Z6" s="3050"/>
      <c r="AA6" s="3055"/>
      <c r="AB6" s="3055"/>
      <c r="AC6" s="3055"/>
    </row>
    <row r="7" spans="1:29" s="35" customFormat="1" ht="15.75" thickBot="1">
      <c r="A7" s="388" t="s">
        <v>2355</v>
      </c>
      <c r="B7" s="389"/>
      <c r="C7" s="390">
        <f>'数据-取费表'!B2</f>
        <v>43047</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3" t="s">
        <v>2356</v>
      </c>
      <c r="Q7" s="3051"/>
      <c r="R7" s="750" t="s">
        <v>25</v>
      </c>
      <c r="S7" s="751">
        <f t="shared" ref="S7:S14" si="0">F7</f>
        <v>0</v>
      </c>
      <c r="T7" s="750" t="s">
        <v>25</v>
      </c>
      <c r="U7" s="751">
        <f t="shared" ref="U7:U14" si="1">H7</f>
        <v>0</v>
      </c>
      <c r="V7" s="750" t="s">
        <v>25</v>
      </c>
      <c r="W7" s="751">
        <f t="shared" ref="W7:W14" si="2">J7</f>
        <v>0</v>
      </c>
      <c r="X7" s="752"/>
      <c r="Y7" s="3043" t="s">
        <v>2356</v>
      </c>
      <c r="Z7" s="304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3" t="s">
        <v>2359</v>
      </c>
      <c r="Q8" s="3044"/>
      <c r="R8" s="750" t="s">
        <v>25</v>
      </c>
      <c r="S8" s="751">
        <f t="shared" si="0"/>
        <v>0</v>
      </c>
      <c r="T8" s="750" t="s">
        <v>25</v>
      </c>
      <c r="U8" s="751">
        <f t="shared" si="1"/>
        <v>0</v>
      </c>
      <c r="V8" s="750" t="s">
        <v>25</v>
      </c>
      <c r="W8" s="751">
        <f t="shared" si="2"/>
        <v>0</v>
      </c>
      <c r="X8" s="752"/>
      <c r="Y8" s="3043" t="s">
        <v>2359</v>
      </c>
      <c r="Z8" s="304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9" t="s">
        <v>2362</v>
      </c>
      <c r="Q9" s="1893" t="str">
        <f t="shared" ref="Q9:Q14" si="6">B9</f>
        <v>用途</v>
      </c>
      <c r="R9" s="750" t="s">
        <v>25</v>
      </c>
      <c r="S9" s="751">
        <f t="shared" si="0"/>
        <v>100</v>
      </c>
      <c r="T9" s="750" t="s">
        <v>25</v>
      </c>
      <c r="U9" s="751">
        <f t="shared" si="1"/>
        <v>100</v>
      </c>
      <c r="V9" s="750" t="s">
        <v>25</v>
      </c>
      <c r="W9" s="751">
        <f t="shared" si="2"/>
        <v>100</v>
      </c>
      <c r="X9" s="752"/>
      <c r="Y9" s="285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9"/>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213.75">
      <c r="A14" s="420" t="s">
        <v>2366</v>
      </c>
      <c r="B14" s="26" t="s">
        <v>2510</v>
      </c>
      <c r="C14" s="2486" t="str">
        <f>IF(B1="工业",估价对象房地状况!G4,估价对象房地状况!C6)</f>
        <v>估价对象紧邻城市支路——定福庄北街，临近地铁6号线（褡裢坡站）八通线（传媒大学站）；以估价对象为中心半径2公里范围内有306路、411路、488路、499路、517路等十余条公交线路，综合评价交通便捷度较好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2" t="s">
        <v>2367</v>
      </c>
      <c r="Q14" s="1905" t="str">
        <f t="shared" si="6"/>
        <v>交通便捷度</v>
      </c>
      <c r="R14" s="754" t="s">
        <v>25</v>
      </c>
      <c r="S14" s="755">
        <f t="shared" si="0"/>
        <v>100</v>
      </c>
      <c r="T14" s="754" t="s">
        <v>25</v>
      </c>
      <c r="U14" s="755">
        <f t="shared" si="1"/>
        <v>100</v>
      </c>
      <c r="V14" s="754" t="s">
        <v>25</v>
      </c>
      <c r="W14" s="755">
        <f t="shared" si="2"/>
        <v>100</v>
      </c>
      <c r="X14" s="1906"/>
      <c r="Y14" s="303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3"/>
      <c r="Q15" s="1905"/>
      <c r="R15" s="754"/>
      <c r="S15" s="755"/>
      <c r="T15" s="754"/>
      <c r="U15" s="755"/>
      <c r="V15" s="754"/>
      <c r="W15" s="755"/>
      <c r="X15" s="1906"/>
      <c r="Y15" s="3033"/>
      <c r="Z15" s="1908"/>
      <c r="AA15" s="1909">
        <v>1</v>
      </c>
      <c r="AB15" s="1909">
        <v>1</v>
      </c>
      <c r="AC15" s="1909">
        <v>1</v>
      </c>
    </row>
    <row r="16" spans="1:29" ht="42.75">
      <c r="A16" s="409"/>
      <c r="B16" s="616" t="s">
        <v>2482</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3"/>
      <c r="Q16" s="1905" t="str">
        <f>B16</f>
        <v>公共配套设施</v>
      </c>
      <c r="R16" s="754" t="s">
        <v>25</v>
      </c>
      <c r="S16" s="755">
        <f>F16</f>
        <v>100</v>
      </c>
      <c r="T16" s="754" t="s">
        <v>25</v>
      </c>
      <c r="U16" s="755">
        <f>H16</f>
        <v>100</v>
      </c>
      <c r="V16" s="754" t="s">
        <v>25</v>
      </c>
      <c r="W16" s="755">
        <f>J16</f>
        <v>100</v>
      </c>
      <c r="X16" s="1906"/>
      <c r="Y16" s="303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3"/>
      <c r="Q17" s="1905"/>
      <c r="R17" s="754"/>
      <c r="S17" s="755"/>
      <c r="T17" s="754"/>
      <c r="U17" s="755"/>
      <c r="V17" s="754"/>
      <c r="W17" s="755"/>
      <c r="X17" s="1906"/>
      <c r="Y17" s="3033"/>
      <c r="Z17" s="1908"/>
      <c r="AA17" s="1909">
        <v>1</v>
      </c>
      <c r="AB17" s="1909">
        <v>1</v>
      </c>
      <c r="AC17" s="1909">
        <v>1</v>
      </c>
    </row>
    <row r="18" spans="1:29" ht="42.75">
      <c r="A18" s="409"/>
      <c r="B18" s="618" t="s">
        <v>2483</v>
      </c>
      <c r="C18" s="2413"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3"/>
      <c r="Q18" s="1905" t="str">
        <f>B18</f>
        <v>基础设施水平</v>
      </c>
      <c r="R18" s="754" t="s">
        <v>25</v>
      </c>
      <c r="S18" s="755">
        <f>F18</f>
        <v>100</v>
      </c>
      <c r="T18" s="754" t="s">
        <v>25</v>
      </c>
      <c r="U18" s="755">
        <f>H18</f>
        <v>100</v>
      </c>
      <c r="V18" s="754" t="s">
        <v>25</v>
      </c>
      <c r="W18" s="755">
        <f>J18</f>
        <v>100</v>
      </c>
      <c r="X18" s="1906"/>
      <c r="Y18" s="303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3"/>
      <c r="Q19" s="1905"/>
      <c r="R19" s="754"/>
      <c r="S19" s="755"/>
      <c r="T19" s="754"/>
      <c r="U19" s="755"/>
      <c r="V19" s="754"/>
      <c r="W19" s="755"/>
      <c r="X19" s="1906"/>
      <c r="Y19" s="3033"/>
      <c r="Z19" s="1908"/>
      <c r="AA19" s="1909">
        <v>1</v>
      </c>
      <c r="AB19" s="1909">
        <v>1</v>
      </c>
      <c r="AC19" s="1909">
        <v>1</v>
      </c>
    </row>
    <row r="20" spans="1:29" ht="128.25">
      <c r="A20" s="409"/>
      <c r="B20" s="432" t="s">
        <v>2511</v>
      </c>
      <c r="C20" s="2413" t="str">
        <f>IF(B1="工业",估价对象房地状况!G7,估价对象房地状况!C9)</f>
        <v>自然环境：兴隆公园、京城梨园、大黄庄苗圃花木基地等；人文环境：中国传媒大学、高进村史博物馆等，综合评价环境状况较好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3"/>
      <c r="Q20" s="1905" t="str">
        <f>B20</f>
        <v>自然及人文环境</v>
      </c>
      <c r="R20" s="754" t="s">
        <v>25</v>
      </c>
      <c r="S20" s="755">
        <f>F20</f>
        <v>100</v>
      </c>
      <c r="T20" s="754" t="s">
        <v>25</v>
      </c>
      <c r="U20" s="755">
        <f>H20</f>
        <v>100</v>
      </c>
      <c r="V20" s="754" t="s">
        <v>25</v>
      </c>
      <c r="W20" s="755">
        <f>J20</f>
        <v>100</v>
      </c>
      <c r="X20" s="1906"/>
      <c r="Y20" s="303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3"/>
      <c r="Q21" s="1905"/>
      <c r="R21" s="754"/>
      <c r="S21" s="755"/>
      <c r="T21" s="754"/>
      <c r="U21" s="755"/>
      <c r="V21" s="754"/>
      <c r="W21" s="755"/>
      <c r="X21" s="1906"/>
      <c r="Y21" s="303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3"/>
      <c r="Q22" s="1905" t="str">
        <f>B22</f>
        <v>楼层</v>
      </c>
      <c r="R22" s="754" t="s">
        <v>25</v>
      </c>
      <c r="S22" s="755">
        <f>F22</f>
        <v>100</v>
      </c>
      <c r="T22" s="754" t="s">
        <v>25</v>
      </c>
      <c r="U22" s="755">
        <f>H22</f>
        <v>100</v>
      </c>
      <c r="V22" s="754" t="s">
        <v>25</v>
      </c>
      <c r="W22" s="755">
        <f>J22</f>
        <v>100</v>
      </c>
      <c r="X22" s="1906"/>
      <c r="Y22" s="3033"/>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3"/>
      <c r="Q23" s="1905">
        <f>B23</f>
        <v>111</v>
      </c>
      <c r="R23" s="754" t="s">
        <v>25</v>
      </c>
      <c r="S23" s="755">
        <f>F23</f>
        <v>100</v>
      </c>
      <c r="T23" s="754" t="s">
        <v>25</v>
      </c>
      <c r="U23" s="755">
        <f>H23</f>
        <v>100</v>
      </c>
      <c r="V23" s="754" t="s">
        <v>25</v>
      </c>
      <c r="W23" s="755">
        <f>J23</f>
        <v>100</v>
      </c>
      <c r="X23" s="1906"/>
      <c r="Y23" s="3033"/>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3"/>
      <c r="Q24" s="1905">
        <f t="shared" ref="Q24:Q34" si="11">B24</f>
        <v>111</v>
      </c>
      <c r="R24" s="754" t="s">
        <v>25</v>
      </c>
      <c r="S24" s="755">
        <f>F24</f>
        <v>100</v>
      </c>
      <c r="T24" s="754" t="s">
        <v>25</v>
      </c>
      <c r="U24" s="755">
        <f>H24</f>
        <v>100</v>
      </c>
      <c r="V24" s="754" t="s">
        <v>25</v>
      </c>
      <c r="W24" s="755">
        <f>J24</f>
        <v>100</v>
      </c>
      <c r="X24" s="1906"/>
      <c r="Y24" s="3033"/>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3"/>
      <c r="Q25" s="1893">
        <f t="shared" si="11"/>
        <v>111</v>
      </c>
      <c r="R25" s="750" t="s">
        <v>25</v>
      </c>
      <c r="S25" s="751">
        <f>F25</f>
        <v>100</v>
      </c>
      <c r="T25" s="750" t="s">
        <v>25</v>
      </c>
      <c r="U25" s="751">
        <f>H25</f>
        <v>100</v>
      </c>
      <c r="V25" s="750" t="s">
        <v>25</v>
      </c>
      <c r="W25" s="751">
        <f>J25</f>
        <v>100</v>
      </c>
      <c r="X25" s="752"/>
      <c r="Y25" s="3033"/>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3"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7"/>
      <c r="Q27" s="756" t="str">
        <f t="shared" si="11"/>
        <v>成新率</v>
      </c>
      <c r="R27" s="757" t="s">
        <v>25</v>
      </c>
      <c r="S27" s="758" t="e">
        <f t="shared" si="12"/>
        <v>#N/A</v>
      </c>
      <c r="T27" s="757" t="s">
        <v>25</v>
      </c>
      <c r="U27" s="758" t="e">
        <f t="shared" si="13"/>
        <v>#N/A</v>
      </c>
      <c r="V27" s="757" t="s">
        <v>25</v>
      </c>
      <c r="W27" s="758" t="e">
        <f t="shared" si="14"/>
        <v>#N/A</v>
      </c>
      <c r="X27" s="759"/>
      <c r="Y27" s="303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7"/>
      <c r="Q28" s="1905" t="str">
        <f t="shared" si="11"/>
        <v>物业等级</v>
      </c>
      <c r="R28" s="754" t="s">
        <v>25</v>
      </c>
      <c r="S28" s="755">
        <f t="shared" si="12"/>
        <v>100</v>
      </c>
      <c r="T28" s="754" t="s">
        <v>25</v>
      </c>
      <c r="U28" s="755">
        <f t="shared" si="13"/>
        <v>100</v>
      </c>
      <c r="V28" s="754" t="s">
        <v>25</v>
      </c>
      <c r="W28" s="755">
        <f t="shared" si="14"/>
        <v>100</v>
      </c>
      <c r="X28" s="1906"/>
      <c r="Y28" s="303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7"/>
      <c r="Q29" s="1905" t="str">
        <f t="shared" si="11"/>
        <v>有无电梯</v>
      </c>
      <c r="R29" s="754" t="s">
        <v>25</v>
      </c>
      <c r="S29" s="755">
        <f t="shared" si="12"/>
        <v>100</v>
      </c>
      <c r="T29" s="754" t="s">
        <v>25</v>
      </c>
      <c r="U29" s="755">
        <f t="shared" si="13"/>
        <v>100</v>
      </c>
      <c r="V29" s="754" t="s">
        <v>25</v>
      </c>
      <c r="W29" s="755">
        <f t="shared" si="14"/>
        <v>100</v>
      </c>
      <c r="X29" s="1906"/>
      <c r="Y29" s="303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7"/>
      <c r="Q30" s="1905" t="str">
        <f t="shared" si="11"/>
        <v>建筑面积</v>
      </c>
      <c r="R30" s="754" t="s">
        <v>25</v>
      </c>
      <c r="S30" s="755" t="e">
        <f t="shared" si="12"/>
        <v>#N/A</v>
      </c>
      <c r="T30" s="754" t="s">
        <v>25</v>
      </c>
      <c r="U30" s="755" t="e">
        <f t="shared" si="13"/>
        <v>#N/A</v>
      </c>
      <c r="V30" s="754" t="s">
        <v>25</v>
      </c>
      <c r="W30" s="755" t="e">
        <f t="shared" si="14"/>
        <v>#N/A</v>
      </c>
      <c r="X30" s="1906"/>
      <c r="Y30" s="303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7"/>
      <c r="Q31" s="1893" t="str">
        <f t="shared" si="11"/>
        <v>是否封闭</v>
      </c>
      <c r="R31" s="750" t="s">
        <v>25</v>
      </c>
      <c r="S31" s="751">
        <f t="shared" si="12"/>
        <v>100</v>
      </c>
      <c r="T31" s="750" t="s">
        <v>25</v>
      </c>
      <c r="U31" s="751">
        <f t="shared" si="13"/>
        <v>100</v>
      </c>
      <c r="V31" s="750" t="s">
        <v>25</v>
      </c>
      <c r="W31" s="751">
        <f t="shared" si="14"/>
        <v>100</v>
      </c>
      <c r="X31" s="752"/>
      <c r="Y31" s="3037"/>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7" t="s">
        <v>2373</v>
      </c>
      <c r="Q32" s="1905">
        <f t="shared" si="11"/>
        <v>111</v>
      </c>
      <c r="R32" s="754" t="s">
        <v>25</v>
      </c>
      <c r="S32" s="755">
        <f t="shared" si="12"/>
        <v>100</v>
      </c>
      <c r="T32" s="754" t="s">
        <v>25</v>
      </c>
      <c r="U32" s="755">
        <f t="shared" si="13"/>
        <v>100</v>
      </c>
      <c r="V32" s="754" t="s">
        <v>25</v>
      </c>
      <c r="W32" s="755">
        <f t="shared" si="14"/>
        <v>100</v>
      </c>
      <c r="X32" s="1906"/>
      <c r="Y32" s="3037"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7"/>
      <c r="Q33" s="1905">
        <f t="shared" si="11"/>
        <v>111</v>
      </c>
      <c r="R33" s="754" t="s">
        <v>25</v>
      </c>
      <c r="S33" s="755">
        <f t="shared" si="12"/>
        <v>100</v>
      </c>
      <c r="T33" s="754" t="s">
        <v>25</v>
      </c>
      <c r="U33" s="755">
        <f t="shared" si="13"/>
        <v>100</v>
      </c>
      <c r="V33" s="754" t="s">
        <v>25</v>
      </c>
      <c r="W33" s="755">
        <f t="shared" si="14"/>
        <v>100</v>
      </c>
      <c r="X33" s="1906"/>
      <c r="Y33" s="3037"/>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7"/>
      <c r="Q34" s="1905">
        <f t="shared" si="11"/>
        <v>111</v>
      </c>
      <c r="R34" s="754" t="s">
        <v>25</v>
      </c>
      <c r="S34" s="755">
        <f t="shared" si="12"/>
        <v>100</v>
      </c>
      <c r="T34" s="754" t="s">
        <v>25</v>
      </c>
      <c r="U34" s="755">
        <f t="shared" si="13"/>
        <v>100</v>
      </c>
      <c r="V34" s="754" t="s">
        <v>25</v>
      </c>
      <c r="W34" s="755">
        <f t="shared" si="14"/>
        <v>100</v>
      </c>
      <c r="X34" s="1906"/>
      <c r="Y34" s="303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29" t="str">
        <f>A35</f>
        <v>成交单价（元/平方米）</v>
      </c>
      <c r="Q35" s="3029"/>
      <c r="R35" s="3025">
        <f>E35</f>
        <v>0</v>
      </c>
      <c r="S35" s="3025"/>
      <c r="T35" s="3025">
        <f>G35</f>
        <v>0</v>
      </c>
      <c r="U35" s="3025"/>
      <c r="V35" s="3025">
        <f>I35</f>
        <v>0</v>
      </c>
      <c r="W35" s="302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29" t="str">
        <f>A36</f>
        <v>比较价值（元/平方米）</v>
      </c>
      <c r="Q36" s="3029"/>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26" t="str">
        <f>A37</f>
        <v>估价对象XX用房的比较价值（楼面单价，元/平方米）</v>
      </c>
      <c r="Q37" s="3027"/>
      <c r="R37" s="3028" t="e">
        <f>IF(E1="售价",ROUND(AVERAGE(R36:V36),0),ROUND(AVERAGE(R36:V36),1))</f>
        <v>#DIV/0!</v>
      </c>
      <c r="S37" s="3028"/>
      <c r="T37" s="3028"/>
      <c r="U37" s="3028"/>
      <c r="V37" s="3028"/>
      <c r="W37" s="302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56" t="s">
        <v>2343</v>
      </c>
      <c r="D4" s="3057"/>
      <c r="E4" s="3058" t="s">
        <v>2344</v>
      </c>
      <c r="F4" s="3059"/>
      <c r="G4" s="3056" t="s">
        <v>2345</v>
      </c>
      <c r="H4" s="3057"/>
      <c r="I4" s="3056" t="s">
        <v>2346</v>
      </c>
      <c r="J4" s="3057"/>
      <c r="K4" s="595" t="s">
        <v>2347</v>
      </c>
      <c r="L4" s="1245"/>
      <c r="M4" s="1246"/>
      <c r="N4" s="1246"/>
      <c r="O4" s="1246"/>
      <c r="P4" s="3060" t="s">
        <v>2348</v>
      </c>
      <c r="Q4" s="3061"/>
      <c r="R4" s="3045" t="s">
        <v>2344</v>
      </c>
      <c r="S4" s="3046"/>
      <c r="T4" s="3045" t="s">
        <v>2345</v>
      </c>
      <c r="U4" s="3046"/>
      <c r="V4" s="3066" t="s">
        <v>2346</v>
      </c>
      <c r="W4" s="3066"/>
      <c r="X4" s="1906"/>
      <c r="Y4" s="3045" t="s">
        <v>2348</v>
      </c>
      <c r="Z4" s="3046"/>
      <c r="AA4" s="3053" t="s">
        <v>2344</v>
      </c>
      <c r="AB4" s="3054" t="s">
        <v>2345</v>
      </c>
      <c r="AC4" s="3053" t="s">
        <v>2346</v>
      </c>
    </row>
    <row r="5" spans="1:30" ht="15">
      <c r="A5" s="384"/>
      <c r="B5" s="385"/>
      <c r="C5" s="3074" t="s">
        <v>2349</v>
      </c>
      <c r="D5" s="3075"/>
      <c r="E5" s="3072" t="s">
        <v>2350</v>
      </c>
      <c r="F5" s="3073"/>
      <c r="G5" s="3074" t="s">
        <v>2351</v>
      </c>
      <c r="H5" s="3075"/>
      <c r="I5" s="3074" t="s">
        <v>2352</v>
      </c>
      <c r="J5" s="3075"/>
      <c r="K5" s="595"/>
      <c r="L5" s="1245"/>
      <c r="M5" s="1246"/>
      <c r="N5" s="1246"/>
      <c r="O5" s="1246"/>
      <c r="P5" s="3062"/>
      <c r="Q5" s="3063"/>
      <c r="R5" s="3047"/>
      <c r="S5" s="3048"/>
      <c r="T5" s="3047"/>
      <c r="U5" s="3048"/>
      <c r="V5" s="3066"/>
      <c r="W5" s="3066"/>
      <c r="X5" s="1906"/>
      <c r="Y5" s="3047"/>
      <c r="Z5" s="3048"/>
      <c r="AA5" s="3054"/>
      <c r="AB5" s="3054"/>
      <c r="AC5" s="3054"/>
    </row>
    <row r="6" spans="1:30" ht="15.75" thickBot="1">
      <c r="A6" s="386"/>
      <c r="B6" s="387"/>
      <c r="C6" s="3039" t="s">
        <v>2353</v>
      </c>
      <c r="D6" s="3040"/>
      <c r="E6" s="3070" t="s">
        <v>2353</v>
      </c>
      <c r="F6" s="3071"/>
      <c r="G6" s="3039" t="s">
        <v>2353</v>
      </c>
      <c r="H6" s="3040"/>
      <c r="I6" s="3039" t="s">
        <v>2353</v>
      </c>
      <c r="J6" s="3040"/>
      <c r="K6" s="595" t="s">
        <v>2354</v>
      </c>
      <c r="L6" s="1245"/>
      <c r="M6" s="1246"/>
      <c r="N6" s="1246"/>
      <c r="O6" s="1246"/>
      <c r="P6" s="3064"/>
      <c r="Q6" s="3065"/>
      <c r="R6" s="3047"/>
      <c r="S6" s="3048"/>
      <c r="T6" s="3049"/>
      <c r="U6" s="3050"/>
      <c r="V6" s="3066"/>
      <c r="W6" s="3066"/>
      <c r="X6" s="1906"/>
      <c r="Y6" s="3049"/>
      <c r="Z6" s="3050"/>
      <c r="AA6" s="3055"/>
      <c r="AB6" s="3055"/>
      <c r="AC6" s="3055"/>
    </row>
    <row r="7" spans="1:30" s="35" customFormat="1" ht="15.75" thickBot="1">
      <c r="A7" s="388" t="s">
        <v>2355</v>
      </c>
      <c r="B7" s="389"/>
      <c r="C7" s="390">
        <f>'数据-取费表'!B2</f>
        <v>43047</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3" t="s">
        <v>2356</v>
      </c>
      <c r="Q7" s="3051"/>
      <c r="R7" s="750" t="s">
        <v>25</v>
      </c>
      <c r="S7" s="751">
        <f t="shared" ref="S7:S15" si="0">F7</f>
        <v>0</v>
      </c>
      <c r="T7" s="750" t="s">
        <v>25</v>
      </c>
      <c r="U7" s="751">
        <f t="shared" ref="U7:U15" si="1">H7</f>
        <v>0</v>
      </c>
      <c r="V7" s="750" t="s">
        <v>25</v>
      </c>
      <c r="W7" s="751">
        <f t="shared" ref="W7:W15" si="2">J7</f>
        <v>0</v>
      </c>
      <c r="X7" s="752"/>
      <c r="Y7" s="3043" t="s">
        <v>2356</v>
      </c>
      <c r="Z7" s="304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3" t="s">
        <v>2359</v>
      </c>
      <c r="Q8" s="3044"/>
      <c r="R8" s="750" t="s">
        <v>25</v>
      </c>
      <c r="S8" s="751">
        <f t="shared" si="0"/>
        <v>0</v>
      </c>
      <c r="T8" s="750" t="s">
        <v>25</v>
      </c>
      <c r="U8" s="751">
        <f t="shared" si="1"/>
        <v>0</v>
      </c>
      <c r="V8" s="750" t="s">
        <v>25</v>
      </c>
      <c r="W8" s="751">
        <f t="shared" si="2"/>
        <v>0</v>
      </c>
      <c r="X8" s="752"/>
      <c r="Y8" s="3043" t="s">
        <v>2359</v>
      </c>
      <c r="Z8" s="3044"/>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9" t="s">
        <v>2362</v>
      </c>
      <c r="Q9" s="1893" t="str">
        <f t="shared" ref="Q9:Q15" si="6">B9</f>
        <v>用途</v>
      </c>
      <c r="R9" s="750" t="s">
        <v>25</v>
      </c>
      <c r="S9" s="751">
        <f t="shared" si="0"/>
        <v>100</v>
      </c>
      <c r="T9" s="750" t="s">
        <v>25</v>
      </c>
      <c r="U9" s="751">
        <f t="shared" si="1"/>
        <v>100</v>
      </c>
      <c r="V9" s="750" t="s">
        <v>25</v>
      </c>
      <c r="W9" s="751">
        <f t="shared" si="2"/>
        <v>100</v>
      </c>
      <c r="X9" s="752"/>
      <c r="Y9" s="285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100</v>
      </c>
      <c r="G10" s="445"/>
      <c r="H10" s="52">
        <f>ROUND(100/'数据-取费表'!B14,0)</f>
        <v>100</v>
      </c>
      <c r="I10" s="445"/>
      <c r="J10" s="52">
        <f>ROUND(100/'数据-取费表'!B14,0)</f>
        <v>100</v>
      </c>
      <c r="K10" s="656"/>
      <c r="L10" s="1250"/>
      <c r="M10" s="1251"/>
      <c r="N10" s="1251"/>
      <c r="O10" s="1252"/>
      <c r="P10" s="302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9"/>
      <c r="Q12" s="1893" t="str">
        <f t="shared" si="6"/>
        <v>配建</v>
      </c>
      <c r="R12" s="750" t="s">
        <v>25</v>
      </c>
      <c r="S12" s="751">
        <f t="shared" si="0"/>
        <v>100</v>
      </c>
      <c r="T12" s="750" t="s">
        <v>25</v>
      </c>
      <c r="U12" s="751">
        <f t="shared" si="1"/>
        <v>100</v>
      </c>
      <c r="V12" s="750" t="s">
        <v>25</v>
      </c>
      <c r="W12" s="751">
        <f t="shared" si="2"/>
        <v>100</v>
      </c>
      <c r="X12" s="752"/>
      <c r="Y12" s="285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9"/>
      <c r="Q13" s="1893">
        <f t="shared" si="6"/>
        <v>111</v>
      </c>
      <c r="R13" s="750" t="s">
        <v>25</v>
      </c>
      <c r="S13" s="751">
        <f t="shared" si="0"/>
        <v>100</v>
      </c>
      <c r="T13" s="750" t="s">
        <v>25</v>
      </c>
      <c r="U13" s="751">
        <f t="shared" si="1"/>
        <v>100</v>
      </c>
      <c r="V13" s="750" t="s">
        <v>25</v>
      </c>
      <c r="W13" s="751">
        <f t="shared" si="2"/>
        <v>100</v>
      </c>
      <c r="X13" s="752"/>
      <c r="Y13" s="285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9"/>
      <c r="Q14" s="1893">
        <f t="shared" si="6"/>
        <v>111</v>
      </c>
      <c r="R14" s="750" t="s">
        <v>25</v>
      </c>
      <c r="S14" s="751">
        <f t="shared" si="0"/>
        <v>100</v>
      </c>
      <c r="T14" s="750" t="s">
        <v>25</v>
      </c>
      <c r="U14" s="751">
        <f t="shared" si="1"/>
        <v>100</v>
      </c>
      <c r="V14" s="750" t="s">
        <v>25</v>
      </c>
      <c r="W14" s="751">
        <f t="shared" si="2"/>
        <v>100</v>
      </c>
      <c r="X14" s="752"/>
      <c r="Y14" s="2855"/>
      <c r="Z14" s="23">
        <f t="shared" si="7"/>
        <v>111</v>
      </c>
      <c r="AA14" s="753">
        <f>D14/F14</f>
        <v>1</v>
      </c>
      <c r="AB14" s="753">
        <f>D14/H14</f>
        <v>1</v>
      </c>
      <c r="AC14" s="753">
        <f>D14/J14</f>
        <v>1</v>
      </c>
    </row>
    <row r="15" spans="1:30" ht="142.5">
      <c r="A15" s="381" t="s">
        <v>2366</v>
      </c>
      <c r="B15" s="1489" t="s">
        <v>1742</v>
      </c>
      <c r="C15" s="2474" t="str">
        <f>估价对象房地状况!C15</f>
        <v>估价对象周边有金福家园、金星小区、定福公寓、定福庄北里1号院等居住小区，小区规模和社区发展完善程度较好，综合评价居住社区成熟度较好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2" t="s">
        <v>2367</v>
      </c>
      <c r="Q15" s="1905" t="str">
        <f t="shared" si="6"/>
        <v>居住社区成熟度</v>
      </c>
      <c r="R15" s="754" t="s">
        <v>25</v>
      </c>
      <c r="S15" s="755">
        <f t="shared" si="0"/>
        <v>100</v>
      </c>
      <c r="T15" s="754" t="s">
        <v>25</v>
      </c>
      <c r="U15" s="755">
        <f t="shared" si="1"/>
        <v>100</v>
      </c>
      <c r="V15" s="754" t="s">
        <v>25</v>
      </c>
      <c r="W15" s="755">
        <f t="shared" si="2"/>
        <v>100</v>
      </c>
      <c r="X15" s="1906"/>
      <c r="Y15" s="303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3"/>
      <c r="Q16" s="1905"/>
      <c r="R16" s="754"/>
      <c r="S16" s="755"/>
      <c r="T16" s="754"/>
      <c r="U16" s="755"/>
      <c r="V16" s="754"/>
      <c r="W16" s="755"/>
      <c r="X16" s="1906"/>
      <c r="Y16" s="3033"/>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3"/>
      <c r="Q17" s="1905" t="str">
        <f>B17</f>
        <v>商业繁华度</v>
      </c>
      <c r="R17" s="754" t="s">
        <v>25</v>
      </c>
      <c r="S17" s="755">
        <f>F17</f>
        <v>100</v>
      </c>
      <c r="T17" s="754" t="s">
        <v>25</v>
      </c>
      <c r="U17" s="755">
        <f>H17</f>
        <v>100</v>
      </c>
      <c r="V17" s="754" t="s">
        <v>25</v>
      </c>
      <c r="W17" s="755">
        <f>J17</f>
        <v>100</v>
      </c>
      <c r="X17" s="1906"/>
      <c r="Y17" s="3033"/>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3"/>
      <c r="Q18" s="1905"/>
      <c r="R18" s="754"/>
      <c r="S18" s="755"/>
      <c r="T18" s="754"/>
      <c r="U18" s="755"/>
      <c r="V18" s="754"/>
      <c r="W18" s="755"/>
      <c r="X18" s="1906"/>
      <c r="Y18" s="3033"/>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3"/>
      <c r="Q19" s="1905" t="str">
        <f>B19</f>
        <v>办公集聚程度</v>
      </c>
      <c r="R19" s="754" t="s">
        <v>25</v>
      </c>
      <c r="S19" s="755">
        <f>F19</f>
        <v>100</v>
      </c>
      <c r="T19" s="754" t="s">
        <v>25</v>
      </c>
      <c r="U19" s="755">
        <f>H19</f>
        <v>100</v>
      </c>
      <c r="V19" s="754" t="s">
        <v>25</v>
      </c>
      <c r="W19" s="755">
        <f>J19</f>
        <v>100</v>
      </c>
      <c r="X19" s="1906"/>
      <c r="Y19" s="303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3"/>
      <c r="Q20" s="1905"/>
      <c r="R20" s="754"/>
      <c r="S20" s="755"/>
      <c r="T20" s="754"/>
      <c r="U20" s="755"/>
      <c r="V20" s="754"/>
      <c r="W20" s="755"/>
      <c r="X20" s="1906"/>
      <c r="Y20" s="3033"/>
      <c r="Z20" s="1908"/>
      <c r="AA20" s="1909">
        <v>1</v>
      </c>
      <c r="AB20" s="1909">
        <v>1</v>
      </c>
      <c r="AC20" s="1909">
        <v>1</v>
      </c>
    </row>
    <row r="21" spans="1:29" ht="213.75">
      <c r="A21" s="384"/>
      <c r="B21" s="1491" t="s">
        <v>2510</v>
      </c>
      <c r="C21" s="2475" t="str">
        <f>估价对象房地状况!C18</f>
        <v>估价对象紧邻城市支路——定福庄北街，临近地铁6号线（褡裢坡站）八通线（传媒大学站）；以估价对象为中心半径2公里范围内有306路、411路、488路、499路、517路等十余条公交线路，综合评价交通便捷度较好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3"/>
      <c r="Q21" s="1905" t="str">
        <f>B21</f>
        <v>交通便捷度</v>
      </c>
      <c r="R21" s="754" t="s">
        <v>25</v>
      </c>
      <c r="S21" s="755">
        <f>F21</f>
        <v>100</v>
      </c>
      <c r="T21" s="754" t="s">
        <v>25</v>
      </c>
      <c r="U21" s="755">
        <f>H21</f>
        <v>100</v>
      </c>
      <c r="V21" s="754" t="s">
        <v>25</v>
      </c>
      <c r="W21" s="755">
        <f>J21</f>
        <v>100</v>
      </c>
      <c r="X21" s="1906"/>
      <c r="Y21" s="303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3"/>
      <c r="Q22" s="1905"/>
      <c r="R22" s="754"/>
      <c r="S22" s="755"/>
      <c r="T22" s="754"/>
      <c r="U22" s="755"/>
      <c r="V22" s="754"/>
      <c r="W22" s="755"/>
      <c r="X22" s="1906"/>
      <c r="Y22" s="3033"/>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3"/>
      <c r="Q23" s="1905" t="str">
        <f t="shared" ref="Q23:Q37" si="8">B23</f>
        <v>区域土地利用方向</v>
      </c>
      <c r="R23" s="754" t="s">
        <v>25</v>
      </c>
      <c r="S23" s="755">
        <f>F23</f>
        <v>100</v>
      </c>
      <c r="T23" s="754" t="s">
        <v>25</v>
      </c>
      <c r="U23" s="755">
        <f>H23</f>
        <v>100</v>
      </c>
      <c r="V23" s="754" t="s">
        <v>25</v>
      </c>
      <c r="W23" s="755">
        <f>J23</f>
        <v>100</v>
      </c>
      <c r="X23" s="1906"/>
      <c r="Y23" s="3033"/>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3"/>
      <c r="Q24" s="1905"/>
      <c r="R24" s="754"/>
      <c r="S24" s="755"/>
      <c r="T24" s="754"/>
      <c r="U24" s="755"/>
      <c r="V24" s="754"/>
      <c r="W24" s="755"/>
      <c r="X24" s="1906"/>
      <c r="Y24" s="3033"/>
      <c r="Z24" s="1908"/>
      <c r="AA24" s="1909"/>
      <c r="AB24" s="1909"/>
      <c r="AC24" s="1909"/>
    </row>
    <row r="25" spans="1:29" ht="128.25">
      <c r="A25" s="384"/>
      <c r="B25" s="1493" t="s">
        <v>2551</v>
      </c>
      <c r="C25" s="2492" t="str">
        <f>估价对象房地状况!C20</f>
        <v>自然环境：兴隆公园、京城梨园、大黄庄苗圃花木基地等；人文环境：中国传媒大学、高进村史博物馆等，综合评价环境状况较好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3"/>
      <c r="Q25" s="1905" t="str">
        <f t="shared" si="8"/>
        <v>自然及人文环境状况</v>
      </c>
      <c r="R25" s="754" t="s">
        <v>25</v>
      </c>
      <c r="S25" s="755">
        <f>F25</f>
        <v>100</v>
      </c>
      <c r="T25" s="754" t="s">
        <v>25</v>
      </c>
      <c r="U25" s="755">
        <f>H25</f>
        <v>100</v>
      </c>
      <c r="V25" s="754" t="s">
        <v>25</v>
      </c>
      <c r="W25" s="755">
        <f>J25</f>
        <v>100</v>
      </c>
      <c r="X25" s="1906"/>
      <c r="Y25" s="303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3"/>
      <c r="Q26" s="1905"/>
      <c r="R26" s="754"/>
      <c r="S26" s="755"/>
      <c r="T26" s="754"/>
      <c r="U26" s="755"/>
      <c r="V26" s="754"/>
      <c r="W26" s="755"/>
      <c r="X26" s="1906"/>
      <c r="Y26" s="3033"/>
      <c r="Z26" s="1908"/>
      <c r="AA26" s="1909">
        <v>1</v>
      </c>
      <c r="AB26" s="1909">
        <v>1</v>
      </c>
      <c r="AC26" s="1909">
        <v>1</v>
      </c>
    </row>
    <row r="27" spans="1:29" ht="42.75">
      <c r="A27" s="384"/>
      <c r="B27" s="1493" t="s">
        <v>2453</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3"/>
      <c r="Q27" s="1893" t="str">
        <f t="shared" ref="Q27" si="9">B27</f>
        <v>公共配套设施</v>
      </c>
      <c r="R27" s="750" t="s">
        <v>25</v>
      </c>
      <c r="S27" s="751">
        <f>F27</f>
        <v>100</v>
      </c>
      <c r="T27" s="750" t="s">
        <v>25</v>
      </c>
      <c r="U27" s="751">
        <f>H27</f>
        <v>100</v>
      </c>
      <c r="V27" s="750" t="s">
        <v>25</v>
      </c>
      <c r="W27" s="751">
        <f>J27</f>
        <v>100</v>
      </c>
      <c r="X27" s="1906"/>
      <c r="Y27" s="3033"/>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3"/>
      <c r="Q28" s="1905"/>
      <c r="R28" s="754"/>
      <c r="S28" s="755"/>
      <c r="T28" s="754"/>
      <c r="U28" s="755"/>
      <c r="V28" s="754"/>
      <c r="W28" s="755"/>
      <c r="X28" s="1906"/>
      <c r="Y28" s="3033"/>
      <c r="Z28" s="23"/>
      <c r="AA28" s="1909">
        <v>1</v>
      </c>
      <c r="AB28" s="1909">
        <v>1</v>
      </c>
      <c r="AC28" s="1909">
        <v>1</v>
      </c>
    </row>
    <row r="29" spans="1:29" s="35" customFormat="1" ht="42.75">
      <c r="A29" s="634"/>
      <c r="B29" s="1493" t="s">
        <v>2454</v>
      </c>
      <c r="C29" s="2495"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3"/>
      <c r="Q29" s="1893" t="str">
        <f t="shared" si="8"/>
        <v>基础设施水平</v>
      </c>
      <c r="R29" s="750" t="s">
        <v>25</v>
      </c>
      <c r="S29" s="751">
        <f>F29</f>
        <v>100</v>
      </c>
      <c r="T29" s="750" t="s">
        <v>25</v>
      </c>
      <c r="U29" s="751">
        <f>H29</f>
        <v>100</v>
      </c>
      <c r="V29" s="750" t="s">
        <v>25</v>
      </c>
      <c r="W29" s="751">
        <f>J29</f>
        <v>100</v>
      </c>
      <c r="X29" s="752"/>
      <c r="Y29" s="3033"/>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3"/>
      <c r="Q30" s="1893"/>
      <c r="R30" s="750"/>
      <c r="S30" s="751"/>
      <c r="T30" s="750"/>
      <c r="U30" s="751"/>
      <c r="V30" s="750"/>
      <c r="W30" s="751"/>
      <c r="X30" s="752"/>
      <c r="Y30" s="303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3"/>
      <c r="Q32" s="1905" t="str">
        <f t="shared" si="8"/>
        <v>毗邻道路的类型与等级</v>
      </c>
      <c r="R32" s="754" t="s">
        <v>25</v>
      </c>
      <c r="S32" s="755">
        <f t="shared" si="10"/>
        <v>100</v>
      </c>
      <c r="T32" s="754" t="s">
        <v>25</v>
      </c>
      <c r="U32" s="755">
        <f t="shared" si="11"/>
        <v>100</v>
      </c>
      <c r="V32" s="754" t="s">
        <v>25</v>
      </c>
      <c r="W32" s="755">
        <f t="shared" si="12"/>
        <v>100</v>
      </c>
      <c r="X32" s="1906"/>
      <c r="Y32" s="303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3"/>
      <c r="Q33" s="1905"/>
      <c r="R33" s="754"/>
      <c r="S33" s="755"/>
      <c r="T33" s="754"/>
      <c r="U33" s="755"/>
      <c r="V33" s="754"/>
      <c r="W33" s="755"/>
      <c r="X33" s="1906"/>
      <c r="Y33" s="303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3"/>
      <c r="Q34" s="1905" t="str">
        <f t="shared" si="8"/>
        <v>土地级别</v>
      </c>
      <c r="R34" s="754" t="s">
        <v>25</v>
      </c>
      <c r="S34" s="755">
        <f t="shared" si="10"/>
        <v>100</v>
      </c>
      <c r="T34" s="754" t="s">
        <v>25</v>
      </c>
      <c r="U34" s="755">
        <f t="shared" si="11"/>
        <v>100</v>
      </c>
      <c r="V34" s="754" t="s">
        <v>25</v>
      </c>
      <c r="W34" s="755">
        <f t="shared" si="12"/>
        <v>100</v>
      </c>
      <c r="X34" s="1906"/>
      <c r="Y34" s="303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3"/>
      <c r="Q35" s="1905">
        <f t="shared" si="8"/>
        <v>111</v>
      </c>
      <c r="R35" s="754" t="s">
        <v>25</v>
      </c>
      <c r="S35" s="755">
        <f t="shared" si="10"/>
        <v>100</v>
      </c>
      <c r="T35" s="754" t="s">
        <v>25</v>
      </c>
      <c r="U35" s="755">
        <f t="shared" si="11"/>
        <v>100</v>
      </c>
      <c r="V35" s="754" t="s">
        <v>25</v>
      </c>
      <c r="W35" s="755">
        <f t="shared" si="12"/>
        <v>100</v>
      </c>
      <c r="X35" s="1906"/>
      <c r="Y35" s="303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3" t="s">
        <v>2373</v>
      </c>
      <c r="Q36" s="1905">
        <f t="shared" si="8"/>
        <v>111</v>
      </c>
      <c r="R36" s="754" t="s">
        <v>25</v>
      </c>
      <c r="S36" s="755">
        <f t="shared" si="10"/>
        <v>100</v>
      </c>
      <c r="T36" s="754" t="s">
        <v>25</v>
      </c>
      <c r="U36" s="755">
        <f t="shared" si="11"/>
        <v>100</v>
      </c>
      <c r="V36" s="754" t="s">
        <v>25</v>
      </c>
      <c r="W36" s="755">
        <f t="shared" si="12"/>
        <v>100</v>
      </c>
      <c r="X36" s="1906"/>
      <c r="Y36" s="303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7"/>
      <c r="Q37" s="1905">
        <f t="shared" si="8"/>
        <v>111</v>
      </c>
      <c r="R37" s="757" t="s">
        <v>25</v>
      </c>
      <c r="S37" s="758">
        <f t="shared" si="10"/>
        <v>100</v>
      </c>
      <c r="T37" s="757" t="s">
        <v>25</v>
      </c>
      <c r="U37" s="758">
        <f t="shared" si="11"/>
        <v>100</v>
      </c>
      <c r="V37" s="757" t="s">
        <v>25</v>
      </c>
      <c r="W37" s="758">
        <f t="shared" si="12"/>
        <v>100</v>
      </c>
      <c r="X37" s="759"/>
      <c r="Y37" s="303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7"/>
      <c r="Q38" s="1905" t="str">
        <f>B38</f>
        <v>宗地面积</v>
      </c>
      <c r="R38" s="754" t="s">
        <v>25</v>
      </c>
      <c r="S38" s="755" t="e">
        <f t="shared" si="10"/>
        <v>#N/A</v>
      </c>
      <c r="T38" s="754" t="s">
        <v>25</v>
      </c>
      <c r="U38" s="755" t="e">
        <f t="shared" si="11"/>
        <v>#N/A</v>
      </c>
      <c r="V38" s="754" t="s">
        <v>25</v>
      </c>
      <c r="W38" s="755" t="e">
        <f t="shared" si="12"/>
        <v>#N/A</v>
      </c>
      <c r="X38" s="1906"/>
      <c r="Y38" s="3037"/>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7"/>
      <c r="Q39" s="1905" t="str">
        <f t="shared" ref="Q39:Q45" si="14">B39</f>
        <v>宗地形状</v>
      </c>
      <c r="R39" s="754" t="s">
        <v>25</v>
      </c>
      <c r="S39" s="755">
        <f t="shared" si="10"/>
        <v>100</v>
      </c>
      <c r="T39" s="754" t="s">
        <v>25</v>
      </c>
      <c r="U39" s="755">
        <f t="shared" si="11"/>
        <v>100</v>
      </c>
      <c r="V39" s="754" t="s">
        <v>25</v>
      </c>
      <c r="W39" s="755">
        <f t="shared" si="12"/>
        <v>100</v>
      </c>
      <c r="X39" s="1906"/>
      <c r="Y39" s="3037"/>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7"/>
      <c r="Q40" s="1905" t="str">
        <f t="shared" si="14"/>
        <v>临街宽度及深度</v>
      </c>
      <c r="R40" s="754" t="s">
        <v>25</v>
      </c>
      <c r="S40" s="755">
        <f t="shared" si="10"/>
        <v>100</v>
      </c>
      <c r="T40" s="754" t="s">
        <v>25</v>
      </c>
      <c r="U40" s="755">
        <f t="shared" si="11"/>
        <v>100</v>
      </c>
      <c r="V40" s="754" t="s">
        <v>25</v>
      </c>
      <c r="W40" s="755">
        <f t="shared" si="12"/>
        <v>100</v>
      </c>
      <c r="X40" s="1906"/>
      <c r="Y40" s="3037"/>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7"/>
      <c r="Q41" s="1905" t="str">
        <f t="shared" si="14"/>
        <v>宗地开发程度</v>
      </c>
      <c r="R41" s="750" t="s">
        <v>25</v>
      </c>
      <c r="S41" s="751">
        <f t="shared" si="10"/>
        <v>100</v>
      </c>
      <c r="T41" s="750" t="s">
        <v>25</v>
      </c>
      <c r="U41" s="751">
        <f t="shared" si="11"/>
        <v>100</v>
      </c>
      <c r="V41" s="750" t="s">
        <v>25</v>
      </c>
      <c r="W41" s="751">
        <f t="shared" si="12"/>
        <v>100</v>
      </c>
      <c r="X41" s="752"/>
      <c r="Y41" s="3037"/>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7" t="s">
        <v>2373</v>
      </c>
      <c r="Q42" s="1905" t="str">
        <f t="shared" si="14"/>
        <v>工程地质条件</v>
      </c>
      <c r="R42" s="754" t="s">
        <v>25</v>
      </c>
      <c r="S42" s="755">
        <f t="shared" si="10"/>
        <v>100</v>
      </c>
      <c r="T42" s="754" t="s">
        <v>25</v>
      </c>
      <c r="U42" s="755">
        <f t="shared" si="11"/>
        <v>100</v>
      </c>
      <c r="V42" s="754" t="s">
        <v>25</v>
      </c>
      <c r="W42" s="755">
        <f t="shared" si="12"/>
        <v>100</v>
      </c>
      <c r="X42" s="1906"/>
      <c r="Y42" s="3037"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7"/>
      <c r="Q43" s="1905">
        <f t="shared" si="14"/>
        <v>111</v>
      </c>
      <c r="R43" s="754" t="s">
        <v>25</v>
      </c>
      <c r="S43" s="755">
        <f t="shared" si="10"/>
        <v>100</v>
      </c>
      <c r="T43" s="754" t="s">
        <v>25</v>
      </c>
      <c r="U43" s="755">
        <f t="shared" si="11"/>
        <v>100</v>
      </c>
      <c r="V43" s="754" t="s">
        <v>25</v>
      </c>
      <c r="W43" s="755">
        <f t="shared" si="12"/>
        <v>100</v>
      </c>
      <c r="X43" s="1906"/>
      <c r="Y43" s="3037"/>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7"/>
      <c r="Q44" s="1905">
        <f t="shared" si="14"/>
        <v>111</v>
      </c>
      <c r="R44" s="754" t="s">
        <v>25</v>
      </c>
      <c r="S44" s="755">
        <f t="shared" si="10"/>
        <v>100</v>
      </c>
      <c r="T44" s="754" t="s">
        <v>25</v>
      </c>
      <c r="U44" s="755">
        <f t="shared" si="11"/>
        <v>100</v>
      </c>
      <c r="V44" s="754" t="s">
        <v>25</v>
      </c>
      <c r="W44" s="755">
        <f t="shared" si="12"/>
        <v>100</v>
      </c>
      <c r="X44" s="1906"/>
      <c r="Y44" s="3037"/>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7"/>
      <c r="Q45" s="1905">
        <f t="shared" si="14"/>
        <v>111</v>
      </c>
      <c r="R45" s="757" t="s">
        <v>25</v>
      </c>
      <c r="S45" s="758">
        <f t="shared" si="10"/>
        <v>100</v>
      </c>
      <c r="T45" s="757" t="s">
        <v>25</v>
      </c>
      <c r="U45" s="758">
        <f t="shared" si="11"/>
        <v>100</v>
      </c>
      <c r="V45" s="757" t="s">
        <v>25</v>
      </c>
      <c r="W45" s="758">
        <f t="shared" si="12"/>
        <v>100</v>
      </c>
      <c r="X45" s="759"/>
      <c r="Y45" s="3037"/>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29" t="str">
        <f>A46</f>
        <v>成交单价</v>
      </c>
      <c r="Q46" s="3029"/>
      <c r="R46" s="3066">
        <f>E46</f>
        <v>0</v>
      </c>
      <c r="S46" s="3066"/>
      <c r="T46" s="3066">
        <f>G46</f>
        <v>0</v>
      </c>
      <c r="U46" s="3066"/>
      <c r="V46" s="3066">
        <f>I46</f>
        <v>0</v>
      </c>
      <c r="W46" s="306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29" t="str">
        <f>A47</f>
        <v>比较价值（元/平方米）</v>
      </c>
      <c r="Q47" s="3029"/>
      <c r="R47" s="3084" t="e">
        <f>ROUND(PRODUCT(R46,AA7:AA45),0)</f>
        <v>#DIV/0!</v>
      </c>
      <c r="S47" s="3084"/>
      <c r="T47" s="3084" t="e">
        <f>ROUND(PRODUCT(T46,AB7:AB45),0)</f>
        <v>#DIV/0!</v>
      </c>
      <c r="U47" s="3084"/>
      <c r="V47" s="3084" t="e">
        <f>ROUND(PRODUCT(V46,AC7:AC45),0)</f>
        <v>#DIV/0!</v>
      </c>
      <c r="W47" s="3084"/>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26" t="str">
        <f>A48</f>
        <v>估价对象XX用房的比较价值（楼面单价，元/平方米）</v>
      </c>
      <c r="Q48" s="3027"/>
      <c r="R48" s="3085" t="e">
        <f>ROUND(AVERAGE(R47:V47),0)</f>
        <v>#DIV/0!</v>
      </c>
      <c r="S48" s="3085"/>
      <c r="T48" s="3085"/>
      <c r="U48" s="3085"/>
      <c r="V48" s="3085"/>
      <c r="W48" s="3085"/>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6" t="s">
        <v>2343</v>
      </c>
      <c r="D4" s="3057"/>
      <c r="E4" s="3058" t="s">
        <v>2344</v>
      </c>
      <c r="F4" s="3059"/>
      <c r="G4" s="3056" t="s">
        <v>2345</v>
      </c>
      <c r="H4" s="3057"/>
      <c r="I4" s="3056" t="s">
        <v>2346</v>
      </c>
      <c r="J4" s="3057"/>
      <c r="K4" s="595" t="s">
        <v>2347</v>
      </c>
      <c r="L4" s="1245"/>
      <c r="M4" s="1246"/>
      <c r="N4" s="1246"/>
      <c r="O4" s="1246"/>
      <c r="P4" s="3060" t="s">
        <v>2348</v>
      </c>
      <c r="Q4" s="3061"/>
      <c r="R4" s="3045" t="s">
        <v>2344</v>
      </c>
      <c r="S4" s="3046"/>
      <c r="T4" s="3045" t="s">
        <v>2345</v>
      </c>
      <c r="U4" s="3046"/>
      <c r="V4" s="3066" t="s">
        <v>2346</v>
      </c>
      <c r="W4" s="3066"/>
      <c r="X4" s="1906"/>
      <c r="Y4" s="3045" t="s">
        <v>2348</v>
      </c>
      <c r="Z4" s="3046"/>
      <c r="AA4" s="3053" t="s">
        <v>2344</v>
      </c>
      <c r="AB4" s="3054" t="s">
        <v>2345</v>
      </c>
      <c r="AC4" s="3053" t="s">
        <v>2346</v>
      </c>
    </row>
    <row r="5" spans="1:29" ht="15">
      <c r="A5" s="384"/>
      <c r="B5" s="385"/>
      <c r="C5" s="3074" t="s">
        <v>2349</v>
      </c>
      <c r="D5" s="3075"/>
      <c r="E5" s="3072" t="s">
        <v>2350</v>
      </c>
      <c r="F5" s="3073"/>
      <c r="G5" s="3074" t="s">
        <v>2351</v>
      </c>
      <c r="H5" s="3075"/>
      <c r="I5" s="3074" t="s">
        <v>2352</v>
      </c>
      <c r="J5" s="3075"/>
      <c r="K5" s="595"/>
      <c r="L5" s="1245"/>
      <c r="M5" s="1246"/>
      <c r="N5" s="1246"/>
      <c r="O5" s="1246"/>
      <c r="P5" s="3062"/>
      <c r="Q5" s="3063"/>
      <c r="R5" s="3047"/>
      <c r="S5" s="3048"/>
      <c r="T5" s="3047"/>
      <c r="U5" s="3048"/>
      <c r="V5" s="3066"/>
      <c r="W5" s="3066"/>
      <c r="X5" s="1906"/>
      <c r="Y5" s="3047"/>
      <c r="Z5" s="3048"/>
      <c r="AA5" s="3054"/>
      <c r="AB5" s="3054"/>
      <c r="AC5" s="3054"/>
    </row>
    <row r="6" spans="1:29" ht="15.75" thickBot="1">
      <c r="A6" s="386"/>
      <c r="B6" s="387"/>
      <c r="C6" s="3039" t="s">
        <v>2353</v>
      </c>
      <c r="D6" s="3040"/>
      <c r="E6" s="3070" t="s">
        <v>2353</v>
      </c>
      <c r="F6" s="3071"/>
      <c r="G6" s="3039" t="s">
        <v>2353</v>
      </c>
      <c r="H6" s="3040"/>
      <c r="I6" s="3039" t="s">
        <v>2353</v>
      </c>
      <c r="J6" s="3040"/>
      <c r="K6" s="595" t="s">
        <v>2354</v>
      </c>
      <c r="L6" s="1245"/>
      <c r="M6" s="1246"/>
      <c r="N6" s="1246"/>
      <c r="O6" s="1246"/>
      <c r="P6" s="3064"/>
      <c r="Q6" s="3065"/>
      <c r="R6" s="3047"/>
      <c r="S6" s="3048"/>
      <c r="T6" s="3049"/>
      <c r="U6" s="3050"/>
      <c r="V6" s="3066"/>
      <c r="W6" s="3066"/>
      <c r="X6" s="1906"/>
      <c r="Y6" s="3049"/>
      <c r="Z6" s="3050"/>
      <c r="AA6" s="3055"/>
      <c r="AB6" s="3055"/>
      <c r="AC6" s="3055"/>
    </row>
    <row r="7" spans="1:29" s="35" customFormat="1" ht="15.75" thickBot="1">
      <c r="A7" s="388" t="s">
        <v>2355</v>
      </c>
      <c r="B7" s="389"/>
      <c r="C7" s="390">
        <f>'数据-取费表'!B2</f>
        <v>43047</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3" t="s">
        <v>2356</v>
      </c>
      <c r="Q7" s="3051"/>
      <c r="R7" s="750" t="s">
        <v>25</v>
      </c>
      <c r="S7" s="751">
        <f t="shared" ref="S7:S15" si="0">F7</f>
        <v>0</v>
      </c>
      <c r="T7" s="750" t="s">
        <v>25</v>
      </c>
      <c r="U7" s="751">
        <f t="shared" ref="U7:U15" si="1">H7</f>
        <v>0</v>
      </c>
      <c r="V7" s="750" t="s">
        <v>25</v>
      </c>
      <c r="W7" s="751">
        <f t="shared" ref="W7:W15" si="2">J7</f>
        <v>0</v>
      </c>
      <c r="X7" s="752"/>
      <c r="Y7" s="3043" t="s">
        <v>2356</v>
      </c>
      <c r="Z7" s="304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3" t="s">
        <v>2359</v>
      </c>
      <c r="Q8" s="3044"/>
      <c r="R8" s="750" t="s">
        <v>25</v>
      </c>
      <c r="S8" s="751">
        <f t="shared" si="0"/>
        <v>0</v>
      </c>
      <c r="T8" s="750" t="s">
        <v>25</v>
      </c>
      <c r="U8" s="751">
        <f t="shared" si="1"/>
        <v>0</v>
      </c>
      <c r="V8" s="750" t="s">
        <v>25</v>
      </c>
      <c r="W8" s="751">
        <f t="shared" si="2"/>
        <v>0</v>
      </c>
      <c r="X8" s="752"/>
      <c r="Y8" s="3043" t="s">
        <v>2359</v>
      </c>
      <c r="Z8" s="3044"/>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9" t="s">
        <v>2362</v>
      </c>
      <c r="Q9" s="1893" t="str">
        <f t="shared" ref="Q9:Q15" si="6">B9</f>
        <v>用途</v>
      </c>
      <c r="R9" s="750" t="s">
        <v>25</v>
      </c>
      <c r="S9" s="751">
        <f t="shared" si="0"/>
        <v>100</v>
      </c>
      <c r="T9" s="750" t="s">
        <v>25</v>
      </c>
      <c r="U9" s="751">
        <f t="shared" si="1"/>
        <v>100</v>
      </c>
      <c r="V9" s="750" t="s">
        <v>25</v>
      </c>
      <c r="W9" s="751">
        <f t="shared" si="2"/>
        <v>100</v>
      </c>
      <c r="X9" s="752"/>
      <c r="Y9" s="285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100</v>
      </c>
      <c r="G10" s="413"/>
      <c r="H10" s="52">
        <f>ROUND(100/'数据-取费表'!B14,0)</f>
        <v>100</v>
      </c>
      <c r="I10" s="413"/>
      <c r="J10" s="52">
        <f>ROUND(100/'数据-取费表'!B14,0)</f>
        <v>100</v>
      </c>
      <c r="K10" s="656"/>
      <c r="L10" s="1250"/>
      <c r="M10" s="1251"/>
      <c r="N10" s="1251"/>
      <c r="O10" s="1252"/>
      <c r="P10" s="302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9"/>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2" t="s">
        <v>2367</v>
      </c>
      <c r="Q15" s="1905" t="str">
        <f t="shared" si="6"/>
        <v>产业集聚程度</v>
      </c>
      <c r="R15" s="754" t="s">
        <v>25</v>
      </c>
      <c r="S15" s="755">
        <f t="shared" si="0"/>
        <v>100</v>
      </c>
      <c r="T15" s="754" t="s">
        <v>25</v>
      </c>
      <c r="U15" s="755">
        <f t="shared" si="1"/>
        <v>100</v>
      </c>
      <c r="V15" s="754" t="s">
        <v>25</v>
      </c>
      <c r="W15" s="755">
        <f t="shared" si="2"/>
        <v>100</v>
      </c>
      <c r="X15" s="1906"/>
      <c r="Y15" s="303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3"/>
      <c r="Q16" s="1905"/>
      <c r="R16" s="754"/>
      <c r="S16" s="755"/>
      <c r="T16" s="754"/>
      <c r="U16" s="755"/>
      <c r="V16" s="754"/>
      <c r="W16" s="755"/>
      <c r="X16" s="1906"/>
      <c r="Y16" s="3033"/>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3"/>
      <c r="Q17" s="1905" t="str">
        <f>B17</f>
        <v>交通便捷度</v>
      </c>
      <c r="R17" s="754" t="s">
        <v>25</v>
      </c>
      <c r="S17" s="755">
        <f>F17</f>
        <v>100</v>
      </c>
      <c r="T17" s="754" t="s">
        <v>25</v>
      </c>
      <c r="U17" s="755">
        <f>H17</f>
        <v>100</v>
      </c>
      <c r="V17" s="754" t="s">
        <v>25</v>
      </c>
      <c r="W17" s="755">
        <f>J17</f>
        <v>100</v>
      </c>
      <c r="X17" s="1906"/>
      <c r="Y17" s="303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3"/>
      <c r="Q18" s="1905"/>
      <c r="R18" s="754"/>
      <c r="S18" s="755"/>
      <c r="T18" s="754"/>
      <c r="U18" s="755"/>
      <c r="V18" s="754"/>
      <c r="W18" s="755"/>
      <c r="X18" s="1906"/>
      <c r="Y18" s="3033"/>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3"/>
      <c r="Q19" s="1905" t="str">
        <f t="shared" ref="Q19:Q33" si="8">B19</f>
        <v>区域土地利用方向</v>
      </c>
      <c r="R19" s="754" t="s">
        <v>25</v>
      </c>
      <c r="S19" s="755">
        <f>F19</f>
        <v>100</v>
      </c>
      <c r="T19" s="754" t="s">
        <v>25</v>
      </c>
      <c r="U19" s="755">
        <f>H19</f>
        <v>100</v>
      </c>
      <c r="V19" s="754" t="s">
        <v>25</v>
      </c>
      <c r="W19" s="755">
        <f>J19</f>
        <v>100</v>
      </c>
      <c r="X19" s="1906"/>
      <c r="Y19" s="303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3"/>
      <c r="Q20" s="1905"/>
      <c r="R20" s="754"/>
      <c r="S20" s="755"/>
      <c r="T20" s="754"/>
      <c r="U20" s="755"/>
      <c r="V20" s="754"/>
      <c r="W20" s="755"/>
      <c r="X20" s="1906"/>
      <c r="Y20" s="3033"/>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3"/>
      <c r="Q21" s="1905" t="str">
        <f t="shared" si="8"/>
        <v>环境状况</v>
      </c>
      <c r="R21" s="754" t="s">
        <v>25</v>
      </c>
      <c r="S21" s="755">
        <f>F21</f>
        <v>100</v>
      </c>
      <c r="T21" s="754" t="s">
        <v>25</v>
      </c>
      <c r="U21" s="755">
        <f>H21</f>
        <v>100</v>
      </c>
      <c r="V21" s="754" t="s">
        <v>25</v>
      </c>
      <c r="W21" s="755">
        <f>J21</f>
        <v>100</v>
      </c>
      <c r="X21" s="1906"/>
      <c r="Y21" s="303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3"/>
      <c r="Q22" s="1905"/>
      <c r="R22" s="754"/>
      <c r="S22" s="755"/>
      <c r="T22" s="754"/>
      <c r="U22" s="755"/>
      <c r="V22" s="754"/>
      <c r="W22" s="755"/>
      <c r="X22" s="1906"/>
      <c r="Y22" s="3033"/>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3"/>
      <c r="Q23" s="1893" t="str">
        <f t="shared" si="8"/>
        <v>公共配套设施</v>
      </c>
      <c r="R23" s="750" t="s">
        <v>25</v>
      </c>
      <c r="S23" s="751">
        <f>F23</f>
        <v>100</v>
      </c>
      <c r="T23" s="750" t="s">
        <v>25</v>
      </c>
      <c r="U23" s="751">
        <f>H23</f>
        <v>100</v>
      </c>
      <c r="V23" s="750" t="s">
        <v>25</v>
      </c>
      <c r="W23" s="751">
        <f>J23</f>
        <v>100</v>
      </c>
      <c r="X23" s="752"/>
      <c r="Y23" s="3033"/>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3"/>
      <c r="Q24" s="1893"/>
      <c r="R24" s="750"/>
      <c r="S24" s="751"/>
      <c r="T24" s="750"/>
      <c r="U24" s="751"/>
      <c r="V24" s="750"/>
      <c r="W24" s="751"/>
      <c r="X24" s="752"/>
      <c r="Y24" s="3033"/>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3"/>
      <c r="Q25" s="1893" t="str">
        <f t="shared" ref="Q25" si="9">B25</f>
        <v>基础设施水平</v>
      </c>
      <c r="R25" s="750" t="s">
        <v>25</v>
      </c>
      <c r="S25" s="751">
        <f>F25</f>
        <v>100</v>
      </c>
      <c r="T25" s="750" t="s">
        <v>25</v>
      </c>
      <c r="U25" s="751">
        <f>H25</f>
        <v>100</v>
      </c>
      <c r="V25" s="750" t="s">
        <v>25</v>
      </c>
      <c r="W25" s="751">
        <f>J25</f>
        <v>100</v>
      </c>
      <c r="X25" s="752"/>
      <c r="Y25" s="3033"/>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3"/>
      <c r="Q26" s="1893"/>
      <c r="R26" s="750"/>
      <c r="S26" s="751"/>
      <c r="T26" s="750"/>
      <c r="U26" s="751"/>
      <c r="V26" s="750"/>
      <c r="W26" s="751"/>
      <c r="X26" s="752"/>
      <c r="Y26" s="303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3"/>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3"/>
      <c r="Q28" s="1905" t="str">
        <f t="shared" si="8"/>
        <v>毗邻道路的类型与等级</v>
      </c>
      <c r="R28" s="754" t="s">
        <v>25</v>
      </c>
      <c r="S28" s="755">
        <f t="shared" si="10"/>
        <v>100</v>
      </c>
      <c r="T28" s="754" t="s">
        <v>25</v>
      </c>
      <c r="U28" s="755">
        <f t="shared" si="11"/>
        <v>100</v>
      </c>
      <c r="V28" s="754" t="s">
        <v>25</v>
      </c>
      <c r="W28" s="755">
        <f t="shared" si="12"/>
        <v>100</v>
      </c>
      <c r="X28" s="1906"/>
      <c r="Y28" s="303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3"/>
      <c r="Q29" s="1905"/>
      <c r="R29" s="754"/>
      <c r="S29" s="755"/>
      <c r="T29" s="754"/>
      <c r="U29" s="755"/>
      <c r="V29" s="754"/>
      <c r="W29" s="755"/>
      <c r="X29" s="1906"/>
      <c r="Y29" s="303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3"/>
      <c r="Q30" s="1905" t="str">
        <f t="shared" si="8"/>
        <v>土地级别</v>
      </c>
      <c r="R30" s="754" t="s">
        <v>25</v>
      </c>
      <c r="S30" s="755">
        <f t="shared" si="10"/>
        <v>100</v>
      </c>
      <c r="T30" s="754" t="s">
        <v>25</v>
      </c>
      <c r="U30" s="755">
        <f t="shared" si="11"/>
        <v>100</v>
      </c>
      <c r="V30" s="754" t="s">
        <v>25</v>
      </c>
      <c r="W30" s="755">
        <f t="shared" si="12"/>
        <v>100</v>
      </c>
      <c r="X30" s="1906"/>
      <c r="Y30" s="3033"/>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3"/>
      <c r="Q31" s="1905">
        <f t="shared" si="8"/>
        <v>111</v>
      </c>
      <c r="R31" s="754" t="s">
        <v>25</v>
      </c>
      <c r="S31" s="755">
        <f t="shared" si="10"/>
        <v>100</v>
      </c>
      <c r="T31" s="754" t="s">
        <v>25</v>
      </c>
      <c r="U31" s="755">
        <f t="shared" si="11"/>
        <v>100</v>
      </c>
      <c r="V31" s="754" t="s">
        <v>25</v>
      </c>
      <c r="W31" s="755">
        <f t="shared" si="12"/>
        <v>100</v>
      </c>
      <c r="X31" s="1906"/>
      <c r="Y31" s="3033"/>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3" t="s">
        <v>2373</v>
      </c>
      <c r="Q32" s="1905">
        <f t="shared" si="8"/>
        <v>111</v>
      </c>
      <c r="R32" s="754" t="s">
        <v>25</v>
      </c>
      <c r="S32" s="755">
        <f t="shared" si="10"/>
        <v>100</v>
      </c>
      <c r="T32" s="754" t="s">
        <v>25</v>
      </c>
      <c r="U32" s="755">
        <f t="shared" si="11"/>
        <v>100</v>
      </c>
      <c r="V32" s="754" t="s">
        <v>25</v>
      </c>
      <c r="W32" s="755">
        <f t="shared" si="12"/>
        <v>100</v>
      </c>
      <c r="X32" s="1906"/>
      <c r="Y32" s="3037"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7"/>
      <c r="Q33" s="1905">
        <f t="shared" si="8"/>
        <v>111</v>
      </c>
      <c r="R33" s="757" t="s">
        <v>25</v>
      </c>
      <c r="S33" s="758">
        <f t="shared" si="10"/>
        <v>100</v>
      </c>
      <c r="T33" s="757" t="s">
        <v>25</v>
      </c>
      <c r="U33" s="758">
        <f t="shared" si="11"/>
        <v>100</v>
      </c>
      <c r="V33" s="757" t="s">
        <v>25</v>
      </c>
      <c r="W33" s="758">
        <f t="shared" si="12"/>
        <v>100</v>
      </c>
      <c r="X33" s="759"/>
      <c r="Y33" s="303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7"/>
      <c r="Q34" s="1905" t="str">
        <f>B34</f>
        <v>宗地面积</v>
      </c>
      <c r="R34" s="754" t="s">
        <v>25</v>
      </c>
      <c r="S34" s="755" t="e">
        <f t="shared" si="10"/>
        <v>#N/A</v>
      </c>
      <c r="T34" s="754" t="s">
        <v>25</v>
      </c>
      <c r="U34" s="755" t="e">
        <f t="shared" si="11"/>
        <v>#N/A</v>
      </c>
      <c r="V34" s="754" t="s">
        <v>25</v>
      </c>
      <c r="W34" s="755" t="e">
        <f t="shared" si="12"/>
        <v>#N/A</v>
      </c>
      <c r="X34" s="1906"/>
      <c r="Y34" s="3037"/>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7"/>
      <c r="Q35" s="1905" t="str">
        <f t="shared" ref="Q35:Q40" si="14">B35</f>
        <v>宗地形状</v>
      </c>
      <c r="R35" s="754" t="s">
        <v>25</v>
      </c>
      <c r="S35" s="755">
        <f t="shared" si="10"/>
        <v>100</v>
      </c>
      <c r="T35" s="754" t="s">
        <v>25</v>
      </c>
      <c r="U35" s="755">
        <f t="shared" si="11"/>
        <v>100</v>
      </c>
      <c r="V35" s="754" t="s">
        <v>25</v>
      </c>
      <c r="W35" s="755">
        <f t="shared" si="12"/>
        <v>100</v>
      </c>
      <c r="X35" s="1906"/>
      <c r="Y35" s="3037"/>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7"/>
      <c r="Q36" s="1905" t="str">
        <f t="shared" si="14"/>
        <v>宗地开发程度</v>
      </c>
      <c r="R36" s="750" t="s">
        <v>25</v>
      </c>
      <c r="S36" s="751">
        <f t="shared" si="10"/>
        <v>100</v>
      </c>
      <c r="T36" s="750" t="s">
        <v>25</v>
      </c>
      <c r="U36" s="751">
        <f t="shared" si="11"/>
        <v>100</v>
      </c>
      <c r="V36" s="750" t="s">
        <v>25</v>
      </c>
      <c r="W36" s="751">
        <f t="shared" si="12"/>
        <v>100</v>
      </c>
      <c r="X36" s="752"/>
      <c r="Y36" s="3037"/>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7" t="s">
        <v>2373</v>
      </c>
      <c r="Q37" s="1905" t="str">
        <f t="shared" si="14"/>
        <v>工程地质条件</v>
      </c>
      <c r="R37" s="754" t="s">
        <v>25</v>
      </c>
      <c r="S37" s="755">
        <f t="shared" si="10"/>
        <v>100</v>
      </c>
      <c r="T37" s="754" t="s">
        <v>25</v>
      </c>
      <c r="U37" s="755">
        <f t="shared" si="11"/>
        <v>100</v>
      </c>
      <c r="V37" s="754" t="s">
        <v>25</v>
      </c>
      <c r="W37" s="755">
        <f t="shared" si="12"/>
        <v>100</v>
      </c>
      <c r="X37" s="1906"/>
      <c r="Y37" s="3037"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7"/>
      <c r="Q38" s="1905">
        <f t="shared" si="14"/>
        <v>111</v>
      </c>
      <c r="R38" s="754" t="s">
        <v>25</v>
      </c>
      <c r="S38" s="755">
        <f t="shared" si="10"/>
        <v>100</v>
      </c>
      <c r="T38" s="754" t="s">
        <v>25</v>
      </c>
      <c r="U38" s="755">
        <f t="shared" si="11"/>
        <v>100</v>
      </c>
      <c r="V38" s="754" t="s">
        <v>25</v>
      </c>
      <c r="W38" s="755">
        <f t="shared" si="12"/>
        <v>100</v>
      </c>
      <c r="X38" s="1906"/>
      <c r="Y38" s="3037"/>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7"/>
      <c r="Q39" s="1905">
        <f t="shared" si="14"/>
        <v>111</v>
      </c>
      <c r="R39" s="754" t="s">
        <v>25</v>
      </c>
      <c r="S39" s="755">
        <f t="shared" si="10"/>
        <v>100</v>
      </c>
      <c r="T39" s="754" t="s">
        <v>25</v>
      </c>
      <c r="U39" s="755">
        <f t="shared" si="11"/>
        <v>100</v>
      </c>
      <c r="V39" s="754" t="s">
        <v>25</v>
      </c>
      <c r="W39" s="755">
        <f t="shared" si="12"/>
        <v>100</v>
      </c>
      <c r="X39" s="1906"/>
      <c r="Y39" s="3037"/>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7"/>
      <c r="Q40" s="1905">
        <f t="shared" si="14"/>
        <v>111</v>
      </c>
      <c r="R40" s="757" t="s">
        <v>25</v>
      </c>
      <c r="S40" s="758">
        <f t="shared" si="10"/>
        <v>100</v>
      </c>
      <c r="T40" s="757" t="s">
        <v>25</v>
      </c>
      <c r="U40" s="758">
        <f t="shared" si="11"/>
        <v>100</v>
      </c>
      <c r="V40" s="757" t="s">
        <v>25</v>
      </c>
      <c r="W40" s="758">
        <f t="shared" si="12"/>
        <v>100</v>
      </c>
      <c r="X40" s="759"/>
      <c r="Y40" s="3037"/>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29" t="str">
        <f>A41</f>
        <v>成交单价</v>
      </c>
      <c r="Q41" s="3029"/>
      <c r="R41" s="3066">
        <f>E41</f>
        <v>0</v>
      </c>
      <c r="S41" s="3066"/>
      <c r="T41" s="3066">
        <f>G41</f>
        <v>0</v>
      </c>
      <c r="U41" s="3066"/>
      <c r="V41" s="3066">
        <f>I41</f>
        <v>0</v>
      </c>
      <c r="W41" s="306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29" t="str">
        <f>A42</f>
        <v>比较价值（元/平方米）</v>
      </c>
      <c r="Q42" s="3029"/>
      <c r="R42" s="3084" t="e">
        <f>ROUND(PRODUCT(R41,AA7:AA40),0)</f>
        <v>#DIV/0!</v>
      </c>
      <c r="S42" s="3084"/>
      <c r="T42" s="3084" t="e">
        <f>ROUND(PRODUCT(T41,AB7:AB40),0)</f>
        <v>#DIV/0!</v>
      </c>
      <c r="U42" s="3084"/>
      <c r="V42" s="3084" t="e">
        <f>ROUND(PRODUCT(V41,AC7:AC40),0)</f>
        <v>#DIV/0!</v>
      </c>
      <c r="W42" s="3084"/>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26" t="str">
        <f>A43</f>
        <v>估价对象XX用房的比较价值（楼面单价，元/平方米）</v>
      </c>
      <c r="Q43" s="3027"/>
      <c r="R43" s="3085" t="e">
        <f>ROUND(AVERAGE(R42:V42),0)</f>
        <v>#DIV/0!</v>
      </c>
      <c r="S43" s="3085"/>
      <c r="T43" s="3085"/>
      <c r="U43" s="3085"/>
      <c r="V43" s="3085"/>
      <c r="W43" s="3085"/>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89"/>
      <c r="B4" s="3090"/>
      <c r="C4" s="3090"/>
      <c r="D4" s="3091"/>
      <c r="E4" s="3091"/>
      <c r="F4" s="3091"/>
      <c r="G4" s="3091"/>
      <c r="H4" s="3091"/>
      <c r="I4" s="3091"/>
      <c r="J4" s="3092"/>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3"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94"/>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86" t="s">
        <v>2635</v>
      </c>
      <c r="X8" s="3087"/>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4"/>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88"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4"/>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88"/>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4"/>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88"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3"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88"/>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5"/>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88"/>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95"/>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96"/>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3"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4"/>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43047</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70</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5"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06"/>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06"/>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07"/>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14.75">
      <c r="A49" s="2677" t="s">
        <v>2760</v>
      </c>
      <c r="B49" s="2681" t="str">
        <f>估价对象房地状况!C18</f>
        <v>估价对象紧邻城市支路——定福庄北街，临近地铁6号线（褡裢坡站）八通线（传媒大学站）；以估价对象为中心半径2公里范围内有306路、411路、488路、499路、517路等十余条公交线路，综合评价交通便捷度较好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城市支路——定福庄北街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估价对象所在区域公共配套设施齐备情况一般</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估价对象所在区域基础设施水平——六通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77.25" thickBot="1">
      <c r="A56" s="2686" t="s">
        <v>2769</v>
      </c>
      <c r="B56" s="2687" t="str">
        <f>估价对象房地状况!C20</f>
        <v>自然环境：兴隆公园、京城梨园、大黄庄苗圃花木基地等；人文环境：中国传媒大学、高进村史博物馆等，综合评价环境状况较好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14.75">
      <c r="A60" s="2677" t="s">
        <v>2760</v>
      </c>
      <c r="B60" s="2681" t="str">
        <f>估价对象房地状况!C18</f>
        <v>估价对象紧邻城市支路——定福庄北街，临近地铁6号线（褡裢坡站）八通线（传媒大学站）；以估价对象为中心半径2公里范围内有306路、411路、488路、499路、517路等十余条公交线路，综合评价交通便捷度较好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城市支路——定福庄北街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估价对象所在区域公共配套设施齐备情况一般</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估价对象所在区域基础设施水平——六通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77.25" thickBot="1">
      <c r="A67" s="2686" t="s">
        <v>2769</v>
      </c>
      <c r="B67" s="2689" t="str">
        <f>估价对象房地状况!C20</f>
        <v>自然环境：兴隆公园、京城梨园、大黄庄苗圃花木基地等；人文环境：中国传媒大学、高进村史博物馆等，综合评价环境状况较好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76.5">
      <c r="A70" s="2677" t="s">
        <v>2776</v>
      </c>
      <c r="B70" s="2680" t="str">
        <f>估价对象房地状况!C15</f>
        <v>估价对象周边有金福家园、金星小区、定福公寓、定福庄北里1号院等居住小区，小区规模和社区发展完善程度较好，综合评价居住社区成熟度较好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14.75">
      <c r="A71" s="2677" t="s">
        <v>2760</v>
      </c>
      <c r="B71" s="2681" t="str">
        <f>估价对象房地状况!C18</f>
        <v>估价对象紧邻城市支路——定福庄北街，临近地铁6号线（褡裢坡站）八通线（传媒大学站）；以估价对象为中心半径2公里范围内有306路、411路、488路、499路、517路等十余条公交线路，综合评价交通便捷度较好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城市支路——定福庄北街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估价对象所在区域公共配套设施齐备情况一般</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估价对象所在区域基础设施水平——六通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76.5">
      <c r="A77" s="2677" t="s">
        <v>2769</v>
      </c>
      <c r="B77" s="2680" t="str">
        <f>估价对象房地状况!C20</f>
        <v>自然环境：兴隆公园、京城梨园、大黄庄苗圃花木基地等；人文环境：中国传媒大学、高进村史博物馆等，综合评价环境状况较好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7" t="s">
        <v>2782</v>
      </c>
      <c r="B90" s="3097"/>
      <c r="C90" s="3097"/>
      <c r="D90" s="3097"/>
      <c r="E90" s="3097"/>
      <c r="F90" s="3097"/>
      <c r="G90" s="3097"/>
      <c r="H90" s="3097"/>
      <c r="I90" s="3097"/>
      <c r="J90" s="3097"/>
      <c r="K90" s="2694"/>
      <c r="L90" s="2694"/>
      <c r="M90" s="2694"/>
      <c r="N90" s="2694"/>
    </row>
    <row r="91" spans="1:37">
      <c r="A91" s="3099" t="s">
        <v>2783</v>
      </c>
      <c r="B91" s="3099" t="s">
        <v>2784</v>
      </c>
      <c r="C91" s="2642" t="s">
        <v>2785</v>
      </c>
      <c r="D91" s="2643"/>
      <c r="E91" s="2643"/>
      <c r="F91" s="2643"/>
      <c r="G91" s="2643"/>
      <c r="H91" s="2643"/>
      <c r="I91" s="2643"/>
      <c r="J91" s="2695"/>
      <c r="K91" s="2696"/>
      <c r="L91" s="2696"/>
      <c r="M91" s="2696"/>
      <c r="N91" s="2696"/>
    </row>
    <row r="92" spans="1:37">
      <c r="A92" s="3099"/>
      <c r="B92" s="3099"/>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100"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01"/>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01"/>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01"/>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01"/>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01"/>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01"/>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02"/>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00"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01"/>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01"/>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01"/>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01"/>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01"/>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01"/>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01"/>
      <c r="B108" s="3103"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02"/>
      <c r="B109" s="3104"/>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8" t="s">
        <v>2790</v>
      </c>
      <c r="B110" s="3098"/>
      <c r="C110" s="3098"/>
      <c r="D110" s="3098"/>
      <c r="E110" s="3098"/>
      <c r="F110" s="3098"/>
      <c r="G110" s="3098"/>
      <c r="H110" s="3098"/>
      <c r="I110" s="3098"/>
      <c r="J110" s="3098"/>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估价对象紧邻城市支路——定福庄北街，临近地铁6号线（褡裢坡站）八通线（传媒大学站）；以估价对象为中心半径2公里范围内有306路、411路、488路、499路、517路等十余条公交线路，综合评价交通便捷度较好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城市支路——定福庄北街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自然环境：兴隆公园、京城梨园、大黄庄苗圃花木基地等；人文环境：中国传媒大学、高进村史博物馆等，综合评价环境状况较好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估价对象紧邻城市支路——定福庄北街，临近地铁6号线（褡裢坡站）八通线（传媒大学站）；以估价对象为中心半径2公里范围内有306路、411路、488路、499路、517路等十余条公交线路，综合评价交通便捷度较好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城市支路——定福庄北街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自然环境：兴隆公园、京城梨园、大黄庄苗圃花木基地等；人文环境：中国传媒大学、高进村史博物馆等，综合评价环境状况较好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估价对象周边有金福家园、金星小区、定福公寓、定福庄北里1号院等居住小区，小区规模和社区发展完善程度较好，综合评价居住社区成熟度较好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估价对象紧邻城市支路——定福庄北街，临近地铁6号线（褡裢坡站）八通线（传媒大学站）；以估价对象为中心半径2公里范围内有306路、411路、488路、499路、517路等十余条公交线路，综合评价交通便捷度较好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城市支路——定福庄北街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自然环境：兴隆公园、京城梨园、大黄庄苗圃花木基地等；人文环境：中国传媒大学、高进村史博物馆等，综合评价环境状况较好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4" t="s">
        <v>1035</v>
      </c>
      <c r="H1" s="3114"/>
      <c r="I1" s="3114"/>
      <c r="J1" s="3114"/>
      <c r="K1" s="3114"/>
      <c r="L1" s="3114"/>
      <c r="N1" s="3114" t="s">
        <v>1036</v>
      </c>
      <c r="O1" s="3114"/>
      <c r="P1" s="3114"/>
      <c r="Q1" s="3114"/>
      <c r="R1" s="1550"/>
      <c r="S1" s="3114" t="s">
        <v>1037</v>
      </c>
      <c r="T1" s="3114"/>
      <c r="U1" s="3114"/>
      <c r="V1" s="3114"/>
      <c r="X1" s="3113" t="s">
        <v>1038</v>
      </c>
      <c r="Y1" s="3114"/>
      <c r="Z1" s="3114"/>
      <c r="AA1" s="3114"/>
      <c r="AB1" s="3114"/>
      <c r="AD1" s="3113" t="s">
        <v>1039</v>
      </c>
      <c r="AE1" s="3114"/>
      <c r="AF1" s="3114"/>
      <c r="AG1" s="3114"/>
      <c r="AH1" s="3114"/>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6"/>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6"/>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7"/>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6"/>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6"/>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7"/>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5">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6"/>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6"/>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7"/>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5">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6"/>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6"/>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7"/>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5">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6"/>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6"/>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7"/>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5">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6">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6">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7">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5">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6">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6">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7">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5">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6">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6">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7">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5">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6">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6">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7">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5">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6">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6">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7">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5">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6">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6">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7">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5">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6">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6">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7">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5">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6">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6">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7">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5">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6">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6">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7">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5">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6">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6">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7">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9"/>
      <c r="C2" s="2779"/>
      <c r="D2" s="2779"/>
      <c r="E2" s="2779"/>
    </row>
    <row r="3" spans="1:5" ht="13.5" customHeight="1">
      <c r="A3" s="1936"/>
      <c r="B3" s="1936"/>
      <c r="C3" s="1936"/>
      <c r="D3" s="1936"/>
      <c r="E3" s="1936"/>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33"/>
      <c r="B5" s="1937" t="s">
        <v>742</v>
      </c>
      <c r="C5" s="2781" t="s">
        <v>784</v>
      </c>
      <c r="D5" s="2782"/>
      <c r="E5" s="1933"/>
    </row>
    <row r="6" spans="1:5" ht="14.25">
      <c r="A6" s="1933"/>
      <c r="B6" s="1938" t="str">
        <f>项目基本情况!I1</f>
        <v>房地产</v>
      </c>
      <c r="C6" s="2783">
        <f>项目基本情况!C12</f>
        <v>51.99</v>
      </c>
      <c r="D6" s="2783"/>
      <c r="E6" s="1933"/>
    </row>
    <row r="7" spans="1:5" ht="14.25">
      <c r="A7" s="1933"/>
      <c r="B7" s="2777" t="s">
        <v>785</v>
      </c>
      <c r="C7" s="1939" t="str">
        <f>IF('数据-取费表'!B3="万元","总价（万元）","总价（元）")</f>
        <v>总价（元）</v>
      </c>
      <c r="D7" s="1940">
        <f ca="1">IF('数据-取费表'!E3="否",结果表!I102,'结果表 (1修多)'!I103)</f>
        <v>2543455</v>
      </c>
      <c r="E7" s="1933"/>
    </row>
    <row r="8" spans="1:5" ht="28.5">
      <c r="A8" s="1933"/>
      <c r="B8" s="2777"/>
      <c r="C8" s="1941" t="s">
        <v>1179</v>
      </c>
      <c r="D8" s="1942" t="str">
        <f ca="1">IF('数据-取费表'!B3="万元",NUMBERSTRING(INT(D7*10000),2)&amp;"元整",NUMBERSTRING(INT(D7),2)&amp;"元整")</f>
        <v>贰佰伍拾肆万叁仟肆佰伍拾伍元整</v>
      </c>
      <c r="E8" s="1933"/>
    </row>
    <row r="9" spans="1:5" ht="14.25">
      <c r="A9" s="1933"/>
      <c r="B9" s="2777"/>
      <c r="C9" s="1943" t="s">
        <v>1277</v>
      </c>
      <c r="D9" s="1940">
        <f ca="1">IF('数据-取费表'!E3="否",结果表!I103,'结果表 (1修多)'!I104)</f>
        <v>48922</v>
      </c>
      <c r="E9" s="1933"/>
    </row>
    <row r="10" spans="1:5" ht="14.25">
      <c r="A10" s="1933"/>
      <c r="B10" s="2784"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4"/>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4" t="str">
        <f>IF('数据-取费表'!E3="否",结果表!F110,'结果表 (1修多)'!F111)</f>
        <v>3.房地产抵押价值</v>
      </c>
      <c r="C15" s="1934" t="str">
        <f>C7</f>
        <v>总价（元）</v>
      </c>
      <c r="D15" s="1940">
        <f ca="1">IF('数据-取费表'!E3="否",结果表!I110,'结果表 (1修多)'!I111)</f>
        <v>2543455</v>
      </c>
      <c r="E15" s="1933"/>
    </row>
    <row r="16" spans="1:5" ht="28.5">
      <c r="A16" s="1933"/>
      <c r="B16" s="2784"/>
      <c r="C16" s="1941" t="s">
        <v>1179</v>
      </c>
      <c r="D16" s="1940" t="str">
        <f ca="1">IF('数据-取费表'!B3="万元",NUMBERSTRING(INT(D15*10000),2)&amp;"元整",NUMBERSTRING(INT(D15),2)&amp;"元整")</f>
        <v>贰佰伍拾肆万叁仟肆佰伍拾伍元整</v>
      </c>
      <c r="E16" s="1933"/>
    </row>
    <row r="17" spans="1:5" ht="14.25">
      <c r="A17" s="1933"/>
      <c r="B17" s="2784"/>
      <c r="C17" s="1943" t="s">
        <v>1277</v>
      </c>
      <c r="D17" s="1940">
        <f ca="1">IF('数据-取费表'!E3="否",结果表!I111,'结果表 (1修多)'!I112)</f>
        <v>48922</v>
      </c>
      <c r="E17" s="1933"/>
    </row>
    <row r="18" spans="1:5" ht="14.25">
      <c r="A18" s="1933"/>
      <c r="B18" s="2784" t="str">
        <f>IF('数据-取费表'!E3="否",结果表!F112,'结果表 (1修多)'!F113)</f>
        <v>——</v>
      </c>
      <c r="C18" s="1934" t="str">
        <f>C7</f>
        <v>总价（元）</v>
      </c>
      <c r="D18" s="1940" t="str">
        <f>IF('数据-取费表'!E3="否",结果表!I112,'结果表 (1修多)'!I113)</f>
        <v>——</v>
      </c>
      <c r="E18" s="1933"/>
    </row>
    <row r="19" spans="1:5" ht="14.25">
      <c r="A19" s="1933"/>
      <c r="B19" s="2784"/>
      <c r="C19" s="1941" t="s">
        <v>1179</v>
      </c>
      <c r="D19" s="1940" t="e">
        <f>IF('数据-取费表'!B3="万元",NUMBERSTRING(INT(D18*10000),2)&amp;"元整",NUMBERSTRING(INT(D18),2)&amp;"元整")</f>
        <v>#VALUE!</v>
      </c>
      <c r="E19" s="1933"/>
    </row>
    <row r="20" spans="1:5" ht="14.25">
      <c r="A20" s="1933"/>
      <c r="B20" s="2784"/>
      <c r="C20" s="1943" t="s">
        <v>1277</v>
      </c>
      <c r="D20" s="1940" t="str">
        <f>IF('数据-取费表'!E3="否",结果表!I113,'结果表 (1修多)'!I114)</f>
        <v>——</v>
      </c>
      <c r="E20" s="1933"/>
    </row>
    <row r="21" spans="1:5" ht="14.25">
      <c r="A21" s="1933"/>
      <c r="B21" s="2777" t="str">
        <f>IF('数据-取费表'!E3="否",结果表!F114,'结果表 (1修多)'!F115)</f>
        <v>——</v>
      </c>
      <c r="C21" s="1939" t="str">
        <f>C7</f>
        <v>总价（元）</v>
      </c>
      <c r="D21" s="1940" t="str">
        <f>IF('数据-取费表'!E3="否",结果表!I114,'结果表 (1修多)'!I115)</f>
        <v>——</v>
      </c>
      <c r="E21" s="1933"/>
    </row>
    <row r="22" spans="1:5" ht="14.25">
      <c r="A22" s="1933"/>
      <c r="B22" s="2777"/>
      <c r="C22" s="1941" t="s">
        <v>1179</v>
      </c>
      <c r="D22" s="1942" t="e">
        <f>IF('数据-取费表'!B3="万元",NUMBERSTRING(INT(D21*10000),2)&amp;"元整",NUMBERSTRING(INT(D21),2)&amp;"元整")</f>
        <v>#VALUE!</v>
      </c>
      <c r="E22" s="1933"/>
    </row>
    <row r="23" spans="1:5" ht="15" thickBot="1">
      <c r="A23" s="1933"/>
      <c r="B23" s="2778"/>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9" t="s">
        <v>1278</v>
      </c>
      <c r="C25" s="2769"/>
      <c r="D25" s="2769"/>
      <c r="E25" s="1933"/>
    </row>
    <row r="26" spans="1:5" ht="18.75" customHeight="1" thickTop="1">
      <c r="A26" s="1933"/>
      <c r="B26" s="2772" t="s">
        <v>1178</v>
      </c>
      <c r="C26" s="2773"/>
      <c r="D26" s="2770" t="s">
        <v>1177</v>
      </c>
      <c r="E26" s="1933"/>
    </row>
    <row r="27" spans="1:5" ht="18.75" customHeight="1">
      <c r="A27" s="1933"/>
      <c r="B27" s="2774"/>
      <c r="C27" s="2775"/>
      <c r="D27" s="2771"/>
      <c r="E27" s="1933"/>
    </row>
    <row r="28" spans="1:5" ht="14.25">
      <c r="A28" s="1933"/>
      <c r="B28" s="2762" t="s">
        <v>785</v>
      </c>
      <c r="C28" s="1950" t="s">
        <v>1180</v>
      </c>
      <c r="D28" s="1951">
        <f ca="1">IF('数据-取费表'!E3="否",结果表!I102,'结果表 (1修多)'!I103)</f>
        <v>2543455</v>
      </c>
      <c r="E28" s="1933"/>
    </row>
    <row r="29" spans="1:5" ht="28.5">
      <c r="A29" s="1933"/>
      <c r="B29" s="2763"/>
      <c r="C29" s="1952" t="s">
        <v>1179</v>
      </c>
      <c r="D29" s="1953" t="str">
        <f ca="1">IF('数据-取费表'!B3="万元",NUMBERSTRING(INT(D28*10000),2)&amp;"元整",NUMBERSTRING(INT(D28),2)&amp;"元整")</f>
        <v>贰佰伍拾肆万叁仟肆佰伍拾伍元整</v>
      </c>
      <c r="E29" s="1933"/>
    </row>
    <row r="30" spans="1:5" ht="14.25">
      <c r="A30" s="1933"/>
      <c r="B30" s="2764"/>
      <c r="C30" s="1943" t="s">
        <v>1182</v>
      </c>
      <c r="D30" s="1954">
        <f ca="1">IF('数据-取费表'!E3="否",结果表!I103,'结果表 (1修多)'!I104)</f>
        <v>48922</v>
      </c>
      <c r="E30" s="1933"/>
    </row>
    <row r="31" spans="1:5" ht="14.25">
      <c r="A31" s="1933"/>
      <c r="B31" s="2767" t="str">
        <f>B10</f>
        <v>2.估价师所知悉的法定优先受偿款</v>
      </c>
      <c r="C31" s="1955" t="s">
        <v>1181</v>
      </c>
      <c r="D31" s="1956">
        <f>IF('数据-取费表'!E3="否",结果表!I105,'结果表 (1修多)'!I106)</f>
        <v>0</v>
      </c>
      <c r="E31" s="1933"/>
    </row>
    <row r="32" spans="1:5" ht="14.25">
      <c r="A32" s="1933"/>
      <c r="B32" s="277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5" t="str">
        <f>B15</f>
        <v>3.房地产抵押价值</v>
      </c>
      <c r="C36" s="1955" t="str">
        <f>C28</f>
        <v>总价</v>
      </c>
      <c r="D36" s="1956">
        <f ca="1">IF('数据-取费表'!E3="否",结果表!I110,'结果表 (1修多)'!I111)</f>
        <v>2543455</v>
      </c>
      <c r="E36" s="1933"/>
    </row>
    <row r="37" spans="1:5" ht="28.5">
      <c r="A37" s="1933"/>
      <c r="B37" s="2765"/>
      <c r="C37" s="1952" t="s">
        <v>1179</v>
      </c>
      <c r="D37" s="1957" t="str">
        <f ca="1">IF('数据-取费表'!B3="万元",NUMBERSTRING(INT(D36*10000),2)&amp;"元整",NUMBERSTRING(INT(D36),2)&amp;"元整")</f>
        <v>贰佰伍拾肆万叁仟肆佰伍拾伍元整</v>
      </c>
      <c r="E37" s="1933"/>
    </row>
    <row r="38" spans="1:5" ht="14.25">
      <c r="A38" s="1933"/>
      <c r="B38" s="2765"/>
      <c r="C38" s="1943" t="s">
        <v>1183</v>
      </c>
      <c r="D38" s="1954">
        <f ca="1">IF('数据-取费表'!E3="否",结果表!D113,'结果表 (1修多)'!D116)</f>
        <v>48922</v>
      </c>
      <c r="E38" s="1933"/>
    </row>
    <row r="39" spans="1:5" ht="14.25">
      <c r="A39" s="1933"/>
      <c r="B39" s="2766" t="str">
        <f>B18</f>
        <v>——</v>
      </c>
      <c r="C39" s="1955" t="str">
        <f>C28</f>
        <v>总价</v>
      </c>
      <c r="D39" s="1956" t="str">
        <f>IF('数据-取费表'!E3="否",结果表!I112,'结果表 (1修多)'!I113)</f>
        <v>——</v>
      </c>
      <c r="E39" s="1933"/>
    </row>
    <row r="40" spans="1:5" ht="14.25">
      <c r="A40" s="1933"/>
      <c r="B40" s="2766"/>
      <c r="C40" s="1952" t="s">
        <v>1179</v>
      </c>
      <c r="D40" s="1957" t="e">
        <f>IF('数据-取费表'!B3="万元",NUMBERSTRING(INT(D39*10000),2)&amp;"元整",NUMBERSTRING(INT(D39),2)&amp;"元整")</f>
        <v>#VALUE!</v>
      </c>
      <c r="E40" s="1933"/>
    </row>
    <row r="41" spans="1:5" ht="14.25">
      <c r="A41" s="1933"/>
      <c r="B41" s="2766"/>
      <c r="C41" s="1943" t="s">
        <v>1183</v>
      </c>
      <c r="D41" s="1954" t="str">
        <f>IF('数据-取费表'!E3="否",结果表!D115,'结果表 (1修多)'!D118)</f>
        <v>——</v>
      </c>
      <c r="E41" s="1933"/>
    </row>
    <row r="42" spans="1:5" ht="14.25">
      <c r="A42" s="1933"/>
      <c r="B42" s="2765" t="str">
        <f>B21</f>
        <v>——</v>
      </c>
      <c r="C42" s="1955" t="str">
        <f>C28</f>
        <v>总价</v>
      </c>
      <c r="D42" s="1956" t="str">
        <f>IF('数据-取费表'!E3="否",结果表!I114,'结果表 (1修多)'!I115)</f>
        <v>——</v>
      </c>
      <c r="E42" s="1933"/>
    </row>
    <row r="43" spans="1:5" ht="14.25">
      <c r="A43" s="1933"/>
      <c r="B43" s="2767"/>
      <c r="C43" s="1952" t="s">
        <v>1179</v>
      </c>
      <c r="D43" s="1958" t="e">
        <f>IF('数据-取费表'!B3="万元",NUMBERSTRING(INT(D42*10000),2)&amp;"元整",NUMBERSTRING(INT(D42),2)&amp;"元整")</f>
        <v>#VALUE!</v>
      </c>
      <c r="E43" s="1933"/>
    </row>
    <row r="44" spans="1:5" ht="15" thickBot="1">
      <c r="A44" s="1933"/>
      <c r="B44" s="276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43047</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5"/>
      <c r="B3" s="2785"/>
      <c r="C3" s="2785"/>
      <c r="D3" s="1050" t="s">
        <v>1284</v>
      </c>
      <c r="E3" s="1050" t="s">
        <v>1285</v>
      </c>
      <c r="F3" s="1050" t="s">
        <v>1284</v>
      </c>
      <c r="G3" s="1050" t="s">
        <v>1286</v>
      </c>
      <c r="H3" s="1050" t="s">
        <v>1284</v>
      </c>
      <c r="I3" s="1050" t="s">
        <v>1286</v>
      </c>
    </row>
    <row r="4" spans="1:9" ht="46.5" customHeight="1">
      <c r="A4" s="1050" t="str">
        <f>项目基本情况!I1</f>
        <v>房地产</v>
      </c>
      <c r="B4" s="1050">
        <f>结果表!B121</f>
        <v>51.99</v>
      </c>
      <c r="C4" s="1050">
        <f>结果表!C121</f>
        <v>0</v>
      </c>
      <c r="D4" s="1050">
        <f ca="1">IF('数据-取费表'!E3="否",结果表!D121,'结果表 (1修多)'!D124)</f>
        <v>2393412</v>
      </c>
      <c r="E4" s="1050">
        <f ca="1">IF('数据-取费表'!E3="否",结果表!E121,'结果表 (1修多)'!E124)</f>
        <v>46036</v>
      </c>
      <c r="F4" s="1050">
        <f ca="1">IF('数据-取费表'!E3="否",结果表!F121,'结果表 (1修多)'!F124)</f>
        <v>150043</v>
      </c>
      <c r="G4" s="1050">
        <f ca="1">IF('数据-取费表'!E3="否",结果表!G121,'结果表 (1修多)'!G124)</f>
        <v>2886</v>
      </c>
      <c r="H4" s="1050">
        <f ca="1">IF('数据-取费表'!E3="否",结果表!H121,'结果表 (1修多)'!H124)</f>
        <v>2543455</v>
      </c>
      <c r="I4" s="1050">
        <f ca="1">IF('数据-取费表'!E3="否",结果表!I121,'结果表 (1修多)'!I124)</f>
        <v>48922</v>
      </c>
    </row>
    <row r="5" spans="1:9" ht="15">
      <c r="A5" s="2785" t="s">
        <v>1287</v>
      </c>
      <c r="B5" s="2785"/>
      <c r="C5" s="2785"/>
      <c r="D5" s="2786" t="str">
        <f ca="1">IF('数据-取费表'!E3="否",结果表!D122,'结果表 (1修多)'!D125)</f>
        <v>贰佰叁拾玖万叁仟肆佰壹拾贰元整</v>
      </c>
      <c r="E5" s="2786"/>
      <c r="F5" s="2786" t="str">
        <f ca="1">IF('数据-取费表'!E3="否",结果表!F122,'结果表 (1修多)'!F125)</f>
        <v>壹拾伍万零肆拾叁元整</v>
      </c>
      <c r="G5" s="2786"/>
      <c r="H5" s="2786" t="str">
        <f ca="1">IF('数据-取费表'!E3="否",结果表!H122,'结果表 (1修多)'!H125)</f>
        <v>贰佰伍拾肆万叁仟肆佰伍拾伍元整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1287</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2543455</v>
      </c>
      <c r="E8" s="2787"/>
      <c r="F8" s="2787"/>
      <c r="G8" s="2787"/>
      <c r="H8" s="2787"/>
      <c r="I8" s="2787"/>
    </row>
    <row r="9" spans="1:9" ht="15">
      <c r="A9" s="2785" t="s">
        <v>1287</v>
      </c>
      <c r="B9" s="2785"/>
      <c r="C9" s="2785"/>
      <c r="D9" s="2786">
        <f ca="1">IF('数据-取费表'!E3="否",结果表!D126,'结果表 (1修多)'!D129)</f>
        <v>48922</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1287</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1287</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7" t="s">
        <v>1301</v>
      </c>
      <c r="B1" s="2797"/>
      <c r="C1" s="2797"/>
      <c r="D1" s="2797"/>
    </row>
    <row r="2" spans="1:4" ht="18">
      <c r="A2" s="2796" t="s">
        <v>1289</v>
      </c>
      <c r="B2" s="2796"/>
      <c r="C2" s="2796"/>
      <c r="D2" s="2796"/>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6" t="s">
        <v>1294</v>
      </c>
      <c r="B7" s="2796"/>
      <c r="C7" s="2796"/>
      <c r="D7" s="2796"/>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8" t="s">
        <v>1303</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1304</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1297</v>
      </c>
      <c r="B20" s="2800"/>
      <c r="C20" s="2800"/>
      <c r="D20" s="2800"/>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43087</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本次估价的“房地产价值”是指在正常市场情况下，在价值时点2017年11月8日，估价对象规划用途为，假定未设立法定优先受偿款下的房地产市场价值。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2017-12-18T02:45:08Z</dcterms:modified>
</cp:coreProperties>
</file>