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未出租" sheetId="82" r:id="rId19"/>
    <sheet name="结果表-车位"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基准地价修正" sheetId="81" r:id="rId32"/>
    <sheet name="成本法-未出租" sheetId="79" r:id="rId33"/>
    <sheet name="收益法-未出租" sheetId="80" r:id="rId34"/>
    <sheet name="基准地价修正-未出租" sheetId="43" r:id="rId35"/>
    <sheet name="比较法-车位" sheetId="35" r:id="rId36"/>
    <sheet name="收益法-车位" sheetId="77"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9" hidden="1">'比较法-办公'!$A$1:$L$50</definedName>
    <definedName name="_xlnm._FilterDatabase" localSheetId="37" hidden="1">'比较法-仓储'!$A$1:$L$37</definedName>
    <definedName name="_xlnm._FilterDatabase" localSheetId="35"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6">'收益法-车位'!$A$1:$AK$69</definedName>
    <definedName name="_xlnm.Print_Area" localSheetId="3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基准地价修正!$Q$19:$AD$19</definedName>
    <definedName name="季度">'基准地价修正-未出租'!$Q$19:$AD$19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E15" i="3" l="1"/>
  <c r="E14" i="3"/>
  <c r="E13" i="3"/>
  <c r="A126" i="82" l="1"/>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D33" i="43"/>
  <c r="F113" i="81"/>
  <c r="L108" i="81"/>
  <c r="H108" i="81"/>
  <c r="D108" i="81"/>
  <c r="L100" i="81"/>
  <c r="H100" i="81"/>
  <c r="D100" i="81"/>
  <c r="N99" i="81"/>
  <c r="N108" i="81" s="1"/>
  <c r="M99" i="81"/>
  <c r="L99" i="81"/>
  <c r="K99" i="81"/>
  <c r="J99" i="81"/>
  <c r="J108" i="81" s="1"/>
  <c r="I99" i="81"/>
  <c r="H99" i="81"/>
  <c r="G99" i="81"/>
  <c r="F99" i="81"/>
  <c r="F108" i="81" s="1"/>
  <c r="E99" i="81"/>
  <c r="D99" i="8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E81" i="81" s="1"/>
  <c r="B79" i="81" s="1"/>
  <c r="B81" i="81"/>
  <c r="M78" i="81"/>
  <c r="N78" i="81" s="1"/>
  <c r="K78" i="81"/>
  <c r="J78" i="81"/>
  <c r="D78" i="81"/>
  <c r="M77" i="81"/>
  <c r="N77" i="81" s="1"/>
  <c r="K77" i="81"/>
  <c r="J77" i="81"/>
  <c r="D77" i="81"/>
  <c r="B77" i="81"/>
  <c r="N76" i="81"/>
  <c r="M76" i="81"/>
  <c r="K76" i="81"/>
  <c r="J76" i="81" s="1"/>
  <c r="D76" i="81"/>
  <c r="N75" i="81"/>
  <c r="M75" i="81"/>
  <c r="K75" i="81"/>
  <c r="J75" i="81" s="1"/>
  <c r="D75" i="81"/>
  <c r="B75" i="81"/>
  <c r="M74" i="81"/>
  <c r="N74" i="81" s="1"/>
  <c r="K74" i="81"/>
  <c r="J74" i="81"/>
  <c r="D74" i="81"/>
  <c r="B74" i="81"/>
  <c r="N73" i="81"/>
  <c r="M73" i="81"/>
  <c r="K73" i="81"/>
  <c r="J73" i="81" s="1"/>
  <c r="D73" i="81"/>
  <c r="B73" i="81"/>
  <c r="M72" i="81"/>
  <c r="N72" i="81" s="1"/>
  <c r="K72" i="81"/>
  <c r="J72" i="81"/>
  <c r="D72" i="81"/>
  <c r="B72" i="81"/>
  <c r="N71" i="81"/>
  <c r="M71" i="81"/>
  <c r="K71" i="81"/>
  <c r="J71" i="81" s="1"/>
  <c r="D71" i="81"/>
  <c r="B71" i="81"/>
  <c r="M70" i="81"/>
  <c r="N70" i="81" s="1"/>
  <c r="K70" i="81"/>
  <c r="J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B55" i="81"/>
  <c r="M54" i="81"/>
  <c r="N54" i="81" s="1"/>
  <c r="K54" i="81"/>
  <c r="J54" i="81"/>
  <c r="D54" i="81"/>
  <c r="B54" i="81"/>
  <c r="N53" i="81"/>
  <c r="M53" i="81"/>
  <c r="K53" i="81"/>
  <c r="J53" i="81" s="1"/>
  <c r="N52" i="81"/>
  <c r="M52" i="81"/>
  <c r="K52" i="81"/>
  <c r="J52" i="81" s="1"/>
  <c r="D52" i="81"/>
  <c r="B52" i="81"/>
  <c r="M51" i="81"/>
  <c r="N51" i="81" s="1"/>
  <c r="K51" i="81"/>
  <c r="J51" i="81"/>
  <c r="D51" i="81"/>
  <c r="M50" i="81"/>
  <c r="N50" i="81" s="1"/>
  <c r="K50" i="81"/>
  <c r="J50" i="81"/>
  <c r="D50" i="81"/>
  <c r="B50" i="81"/>
  <c r="N49" i="81"/>
  <c r="M49" i="81"/>
  <c r="K49" i="81"/>
  <c r="J49" i="81" s="1"/>
  <c r="B49" i="81"/>
  <c r="M48" i="81"/>
  <c r="N48" i="81" s="1"/>
  <c r="K48" i="81"/>
  <c r="J48" i="81"/>
  <c r="D48" i="81"/>
  <c r="B48" i="81"/>
  <c r="H39" i="81"/>
  <c r="H38" i="81"/>
  <c r="H37" i="81"/>
  <c r="H36" i="81"/>
  <c r="H35" i="81"/>
  <c r="H34" i="81"/>
  <c r="D33" i="81"/>
  <c r="H33" i="81" s="1"/>
  <c r="P25" i="81"/>
  <c r="P21" i="81"/>
  <c r="M20" i="81"/>
  <c r="J20" i="81"/>
  <c r="I20" i="81"/>
  <c r="O19" i="81"/>
  <c r="M19" i="81"/>
  <c r="I19" i="81"/>
  <c r="G19" i="81"/>
  <c r="P24" i="81" s="1"/>
  <c r="C19" i="81"/>
  <c r="C18" i="81"/>
  <c r="F15" i="81"/>
  <c r="E15" i="81"/>
  <c r="D15" i="81"/>
  <c r="C15" i="81"/>
  <c r="C12" i="81" s="1"/>
  <c r="AI12" i="81"/>
  <c r="AG12" i="81"/>
  <c r="AE12" i="81"/>
  <c r="AC12" i="81"/>
  <c r="AA12" i="81"/>
  <c r="Y12" i="81"/>
  <c r="E11" i="81"/>
  <c r="Y10" i="81"/>
  <c r="E10" i="81"/>
  <c r="C10" i="81"/>
  <c r="C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M9" i="81"/>
  <c r="E9" i="81"/>
  <c r="C9" i="81"/>
  <c r="M8" i="81"/>
  <c r="E8" i="81"/>
  <c r="G39" i="81" s="1"/>
  <c r="I39" i="81" s="1"/>
  <c r="M7" i="81"/>
  <c r="C7" i="81"/>
  <c r="A7" i="81"/>
  <c r="N6" i="81"/>
  <c r="N5" i="81"/>
  <c r="M4" i="81"/>
  <c r="N3" i="81"/>
  <c r="G3" i="81"/>
  <c r="J22" i="81" s="1"/>
  <c r="M2" i="81"/>
  <c r="I2" i="81"/>
  <c r="G2" i="81"/>
  <c r="N1" i="81"/>
  <c r="M1" i="81"/>
  <c r="D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F38" i="79"/>
  <c r="E37" i="79"/>
  <c r="F36" i="79"/>
  <c r="F35" i="79"/>
  <c r="F30" i="79"/>
  <c r="C48" i="79" s="1"/>
  <c r="F21" i="79"/>
  <c r="C40" i="79" s="1"/>
  <c r="C21" i="79"/>
  <c r="F20" i="79"/>
  <c r="E19" i="79"/>
  <c r="C19" i="79"/>
  <c r="E10" i="79"/>
  <c r="E9" i="79"/>
  <c r="F7" i="79"/>
  <c r="G1" i="79"/>
  <c r="G21" i="6"/>
  <c r="M9" i="80"/>
  <c r="F6" i="80"/>
  <c r="C36" i="79"/>
  <c r="D35" i="82"/>
  <c r="E2" i="79"/>
  <c r="D34" i="82"/>
  <c r="K120" i="82" l="1"/>
  <c r="D121" i="82"/>
  <c r="C74" i="82"/>
  <c r="C92" i="82"/>
  <c r="C94" i="82"/>
  <c r="H109" i="82"/>
  <c r="E22" i="81"/>
  <c r="H113" i="81"/>
  <c r="F48" i="81"/>
  <c r="F39" i="81"/>
  <c r="F38" i="81"/>
  <c r="F37" i="81"/>
  <c r="F36" i="81"/>
  <c r="F35" i="81"/>
  <c r="F34" i="81"/>
  <c r="F33" i="81"/>
  <c r="I17" i="81"/>
  <c r="G17" i="81"/>
  <c r="C17" i="81"/>
  <c r="S2" i="81"/>
  <c r="B113" i="81"/>
  <c r="M101" i="81"/>
  <c r="K101" i="81"/>
  <c r="I101" i="81"/>
  <c r="G101" i="81"/>
  <c r="E101" i="81"/>
  <c r="C101" i="81"/>
  <c r="L101" i="81"/>
  <c r="H101" i="81"/>
  <c r="D101" i="81"/>
  <c r="N101" i="81"/>
  <c r="J101" i="81"/>
  <c r="F101" i="81"/>
  <c r="H22" i="81"/>
  <c r="F22" i="81"/>
  <c r="AI11" i="81"/>
  <c r="AI13" i="81" s="1"/>
  <c r="AG11" i="81"/>
  <c r="AG13" i="81" s="1"/>
  <c r="AE11" i="81"/>
  <c r="AE13" i="81" s="1"/>
  <c r="AC11" i="81"/>
  <c r="AC13" i="81" s="1"/>
  <c r="AA11" i="81"/>
  <c r="AA13" i="81" s="1"/>
  <c r="Y11" i="81"/>
  <c r="Y13" i="81" s="1"/>
  <c r="S4" i="81"/>
  <c r="C6" i="81"/>
  <c r="S7" i="81"/>
  <c r="Z7" i="81"/>
  <c r="Z10" i="81"/>
  <c r="AD10" i="81"/>
  <c r="AH10" i="81"/>
  <c r="AB11" i="81"/>
  <c r="AB13" i="81" s="1"/>
  <c r="AF11" i="81"/>
  <c r="AF13" i="81" s="1"/>
  <c r="AJ11" i="81"/>
  <c r="AJ13" i="81" s="1"/>
  <c r="E17" i="81"/>
  <c r="J17" i="81"/>
  <c r="N12" i="81"/>
  <c r="M11" i="81"/>
  <c r="M10" i="81"/>
  <c r="N9" i="81"/>
  <c r="N2" i="81"/>
  <c r="M3" i="81"/>
  <c r="S3" i="81"/>
  <c r="N4" i="81"/>
  <c r="M5" i="81"/>
  <c r="S5" i="81"/>
  <c r="M6" i="81"/>
  <c r="S6" i="81"/>
  <c r="N7" i="81"/>
  <c r="X7" i="81"/>
  <c r="N8" i="81"/>
  <c r="N10" i="81"/>
  <c r="AB10" i="81"/>
  <c r="AF10" i="81"/>
  <c r="AJ10" i="81"/>
  <c r="N11" i="81"/>
  <c r="Z11" i="81"/>
  <c r="Z13" i="81" s="1"/>
  <c r="AD11" i="81"/>
  <c r="AD13" i="81" s="1"/>
  <c r="AH11" i="81"/>
  <c r="AH13" i="81" s="1"/>
  <c r="M12" i="81"/>
  <c r="H17" i="81"/>
  <c r="G22" i="81"/>
  <c r="C23" i="81"/>
  <c r="H109" i="81"/>
  <c r="P22" i="81"/>
  <c r="P23" i="81"/>
  <c r="D49" i="81"/>
  <c r="E48" i="81" s="1"/>
  <c r="B46" i="81" s="1"/>
  <c r="C24" i="81" s="1"/>
  <c r="D53" i="81"/>
  <c r="D55" i="81"/>
  <c r="H59" i="81"/>
  <c r="H61" i="81"/>
  <c r="H62" i="81"/>
  <c r="H65" i="81"/>
  <c r="H67" i="81"/>
  <c r="H70" i="81"/>
  <c r="H72" i="81"/>
  <c r="H74" i="81"/>
  <c r="H77" i="81"/>
  <c r="H78" i="81"/>
  <c r="H83" i="81"/>
  <c r="H85" i="8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P61" i="80"/>
  <c r="D24" i="80"/>
  <c r="D22" i="80"/>
  <c r="C30" i="79"/>
  <c r="AD6" i="1"/>
  <c r="Z6" i="1"/>
  <c r="L48" i="80"/>
  <c r="F43" i="80"/>
  <c r="M8" i="80"/>
  <c r="M26" i="80"/>
  <c r="D10" i="79"/>
  <c r="C76" i="80"/>
  <c r="F26" i="80"/>
  <c r="M6" i="80"/>
  <c r="J15" i="80"/>
  <c r="F36" i="80"/>
  <c r="F16" i="80"/>
  <c r="L47" i="80"/>
  <c r="M22" i="80"/>
  <c r="M28" i="80"/>
  <c r="F8" i="80"/>
  <c r="F13" i="80"/>
  <c r="F40" i="80"/>
  <c r="F9" i="80"/>
  <c r="M23" i="80"/>
  <c r="F27" i="79"/>
  <c r="D9" i="79"/>
  <c r="F7" i="80"/>
  <c r="F37" i="80"/>
  <c r="M24" i="80"/>
  <c r="M29" i="80"/>
  <c r="F38" i="80"/>
  <c r="F42" i="80"/>
  <c r="D124" i="82" l="1"/>
  <c r="D125" i="82" s="1"/>
  <c r="H110" i="82"/>
  <c r="C5" i="8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D109" i="81"/>
  <c r="J109" i="81"/>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I116" i="81"/>
  <c r="J116" i="81" s="1"/>
  <c r="K116" i="81" s="1"/>
  <c r="L116" i="81" s="1"/>
  <c r="M116" i="81" s="1"/>
  <c r="I115" i="81"/>
  <c r="J115" i="81" s="1"/>
  <c r="K115" i="81" s="1"/>
  <c r="L115" i="81" s="1"/>
  <c r="M115" i="81" s="1"/>
  <c r="C16" i="81"/>
  <c r="D5" i="81" s="1"/>
  <c r="H55" i="81"/>
  <c r="H53" i="81"/>
  <c r="H52" i="81"/>
  <c r="H49" i="81"/>
  <c r="H56" i="81"/>
  <c r="H54" i="81"/>
  <c r="H51" i="81"/>
  <c r="H50" i="81"/>
  <c r="H48" i="81"/>
  <c r="L109" i="81"/>
  <c r="N109" i="81"/>
  <c r="F109" i="81"/>
  <c r="F64" i="80"/>
  <c r="F66" i="80"/>
  <c r="C27" i="80"/>
  <c r="F51" i="80"/>
  <c r="C6" i="80"/>
  <c r="F68" i="80"/>
  <c r="F71" i="80"/>
  <c r="L57" i="80"/>
  <c r="L56" i="80"/>
  <c r="J60" i="80"/>
  <c r="Q48" i="80" s="1"/>
  <c r="I54" i="80"/>
  <c r="L60" i="80"/>
  <c r="J53" i="80"/>
  <c r="J59" i="80"/>
  <c r="J57" i="80"/>
  <c r="J55" i="80" s="1"/>
  <c r="J58" i="80" s="1"/>
  <c r="Q50" i="80" s="1"/>
  <c r="F65" i="80"/>
  <c r="F50" i="80"/>
  <c r="M7" i="80"/>
  <c r="J6" i="80" s="1"/>
  <c r="N59" i="80"/>
  <c r="L59" i="80"/>
  <c r="L58" i="80"/>
  <c r="Q71" i="80"/>
  <c r="C10" i="79"/>
  <c r="D19" i="79"/>
  <c r="D37" i="79" s="1"/>
  <c r="C9" i="79"/>
  <c r="C8" i="79" s="1"/>
  <c r="C29" i="79"/>
  <c r="D27" i="79" s="1"/>
  <c r="C47" i="79"/>
  <c r="D45" i="79" s="1"/>
  <c r="G37" i="35"/>
  <c r="I37" i="35"/>
  <c r="E37" i="35"/>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8" i="78"/>
  <c r="B118" i="78" s="1"/>
  <c r="D17" i="78"/>
  <c r="C17" i="78"/>
  <c r="C18" i="78" s="1"/>
  <c r="D18" i="78" s="1"/>
  <c r="L4" i="78"/>
  <c r="K4" i="78"/>
  <c r="H1" i="78"/>
  <c r="Q72" i="77"/>
  <c r="Q59" i="77"/>
  <c r="K59" i="77"/>
  <c r="P74" i="77" s="1"/>
  <c r="F59" i="77"/>
  <c r="Q58" i="77"/>
  <c r="Q51" i="77"/>
  <c r="J50" i="77"/>
  <c r="M47" i="77"/>
  <c r="D46" i="77"/>
  <c r="F34" i="77"/>
  <c r="F62" i="77" s="1"/>
  <c r="F33" i="77"/>
  <c r="F61" i="77" s="1"/>
  <c r="F32" i="77"/>
  <c r="F60" i="77" s="1"/>
  <c r="F31" i="77"/>
  <c r="F28" i="77"/>
  <c r="C28" i="77" s="1"/>
  <c r="F23" i="77"/>
  <c r="F21" i="77"/>
  <c r="M20" i="77"/>
  <c r="F20" i="77"/>
  <c r="M19" i="77"/>
  <c r="M18" i="77"/>
  <c r="F18" i="77"/>
  <c r="M17" i="77"/>
  <c r="F17" i="77"/>
  <c r="F15" i="77"/>
  <c r="G1" i="77"/>
  <c r="C17" i="80"/>
  <c r="D35" i="78"/>
  <c r="D34" i="78"/>
  <c r="D113" i="81" l="1"/>
  <c r="L46" i="80"/>
  <c r="Q61" i="80"/>
  <c r="Q74" i="80"/>
  <c r="Q66" i="80"/>
  <c r="Q57" i="80"/>
  <c r="Q60" i="80"/>
  <c r="Q73" i="80"/>
  <c r="F1" i="80"/>
  <c r="Q52" i="80"/>
  <c r="C49" i="80"/>
  <c r="C74" i="78"/>
  <c r="C92" i="78"/>
  <c r="C94" i="78"/>
  <c r="K120" i="78"/>
  <c r="D121" i="78"/>
  <c r="H109" i="78"/>
  <c r="D23" i="77"/>
  <c r="D22" i="77"/>
  <c r="D24" i="77"/>
  <c r="P61" i="77"/>
  <c r="J51" i="77"/>
  <c r="F16" i="77"/>
  <c r="C76" i="77"/>
  <c r="F38" i="77"/>
  <c r="F40" i="77"/>
  <c r="F9" i="77"/>
  <c r="F37" i="77"/>
  <c r="M23" i="77"/>
  <c r="M27" i="77"/>
  <c r="M24" i="77"/>
  <c r="F42" i="77"/>
  <c r="F7" i="77"/>
  <c r="M28" i="77"/>
  <c r="F6" i="77"/>
  <c r="L47" i="77"/>
  <c r="M9" i="77"/>
  <c r="F8" i="77"/>
  <c r="F26" i="77"/>
  <c r="M22" i="77"/>
  <c r="J15" i="77"/>
  <c r="M26" i="77"/>
  <c r="L48" i="77"/>
  <c r="M6" i="77"/>
  <c r="F36" i="77"/>
  <c r="F13" i="77"/>
  <c r="M8" i="77"/>
  <c r="J53" i="77" l="1"/>
  <c r="F1" i="77" s="1"/>
  <c r="D124" i="78"/>
  <c r="D125" i="78" s="1"/>
  <c r="H110" i="78"/>
  <c r="C27" i="77"/>
  <c r="F65" i="77"/>
  <c r="F66" i="77"/>
  <c r="F50" i="77"/>
  <c r="M7" i="77"/>
  <c r="J6" i="77" s="1"/>
  <c r="N59" i="77"/>
  <c r="L59" i="77"/>
  <c r="L58" i="77"/>
  <c r="Q71" i="77"/>
  <c r="C6" i="77"/>
  <c r="F64" i="77"/>
  <c r="F51" i="77"/>
  <c r="F68" i="77"/>
  <c r="L56" i="77"/>
  <c r="I54" i="77"/>
  <c r="J57" i="77"/>
  <c r="J55" i="77" s="1"/>
  <c r="J58" i="77" s="1"/>
  <c r="Q50" i="77" s="1"/>
  <c r="Q52" i="77" l="1"/>
  <c r="C49" i="77"/>
  <c r="Q60" i="77"/>
  <c r="Q73" i="77"/>
  <c r="Q61" i="77"/>
  <c r="Q74" i="77"/>
  <c r="Y7" i="1" l="1"/>
  <c r="Y6" i="1"/>
  <c r="N7" i="1"/>
  <c r="N6" i="1"/>
  <c r="G20" i="6"/>
  <c r="G19" i="6"/>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A15" i="51" l="1"/>
  <c r="E9" i="76"/>
  <c r="E7" i="76"/>
  <c r="E10" i="76"/>
  <c r="E13" i="76"/>
  <c r="B13" i="76"/>
  <c r="B12" i="76"/>
  <c r="E11" i="76"/>
  <c r="B9" i="76"/>
  <c r="E12" i="76"/>
  <c r="B11" i="76"/>
  <c r="B8" i="76"/>
  <c r="B10" i="76"/>
  <c r="E8" i="76"/>
  <c r="B7"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D6" i="73"/>
  <c r="D3" i="73"/>
  <c r="F4" i="73"/>
  <c r="F5" i="73"/>
  <c r="D5" i="73"/>
  <c r="I1" i="73" l="1"/>
  <c r="B39" i="1" s="1"/>
  <c r="D7" i="73"/>
  <c r="D4" i="73"/>
  <c r="E20" i="81" l="1"/>
  <c r="F11" i="80"/>
  <c r="M11" i="80"/>
  <c r="J10" i="80" s="1"/>
  <c r="J5" i="80" s="1"/>
  <c r="F11" i="77"/>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81" l="1"/>
  <c r="M17" i="81"/>
  <c r="G20" i="81" s="1"/>
  <c r="C20" i="81" s="1"/>
  <c r="N17" i="81"/>
  <c r="P17" i="81"/>
  <c r="J24" i="80"/>
  <c r="J18" i="80"/>
  <c r="C53" i="80"/>
  <c r="C48" i="80" s="1"/>
  <c r="C10" i="80"/>
  <c r="C5" i="80" s="1"/>
  <c r="J26" i="77"/>
  <c r="J18" i="77"/>
  <c r="J24" i="77"/>
  <c r="C53" i="77"/>
  <c r="C48" i="77" s="1"/>
  <c r="C10" i="77"/>
  <c r="C5" i="77" s="1"/>
  <c r="AA10" i="43"/>
  <c r="AC10" i="43"/>
  <c r="AE10" i="43"/>
  <c r="AG10" i="43"/>
  <c r="AI10" i="43"/>
  <c r="Z10" i="43"/>
  <c r="AB10" i="43"/>
  <c r="AD10" i="43"/>
  <c r="AF10" i="43"/>
  <c r="AH10" i="43"/>
  <c r="AJ10" i="43"/>
  <c r="C35" i="81" l="1"/>
  <c r="C33" i="81"/>
  <c r="C39" i="81"/>
  <c r="E39" i="81" s="1"/>
  <c r="C37" i="81"/>
  <c r="T16" i="81"/>
  <c r="V16" i="81" s="1"/>
  <c r="T10" i="81"/>
  <c r="V10" i="81" s="1"/>
  <c r="T13" i="81"/>
  <c r="V13" i="81" s="1"/>
  <c r="T7" i="81"/>
  <c r="V7" i="81" s="1"/>
  <c r="T2" i="81"/>
  <c r="V2" i="81" s="1"/>
  <c r="T12" i="81"/>
  <c r="V12" i="81" s="1"/>
  <c r="T6" i="81"/>
  <c r="V6" i="81" s="1"/>
  <c r="T3" i="81"/>
  <c r="V3" i="81" s="1"/>
  <c r="C36" i="81"/>
  <c r="C34" i="81"/>
  <c r="C38" i="81"/>
  <c r="C29" i="81"/>
  <c r="T11" i="81"/>
  <c r="V11" i="81" s="1"/>
  <c r="T15" i="81"/>
  <c r="V15" i="81" s="1"/>
  <c r="T9" i="81"/>
  <c r="V9" i="81" s="1"/>
  <c r="T4" i="81"/>
  <c r="V4" i="81" s="1"/>
  <c r="T14" i="81"/>
  <c r="V14" i="81" s="1"/>
  <c r="T8" i="81"/>
  <c r="V8" i="81" s="1"/>
  <c r="T5" i="81"/>
  <c r="V5" i="81" s="1"/>
  <c r="C38" i="80"/>
  <c r="C32" i="80"/>
  <c r="C66" i="80"/>
  <c r="C60" i="80"/>
  <c r="C66" i="77"/>
  <c r="C60" i="77"/>
  <c r="C38" i="77"/>
  <c r="C32" i="77"/>
  <c r="K49" i="9"/>
  <c r="E107" i="9"/>
  <c r="A122" i="9" s="1"/>
  <c r="A8" i="52" s="1"/>
  <c r="E111" i="9"/>
  <c r="A126" i="9" s="1"/>
  <c r="E109" i="9"/>
  <c r="A124" i="9" s="1"/>
  <c r="E29" i="81" l="1"/>
  <c r="C30" i="81"/>
  <c r="E30" i="81" s="1"/>
  <c r="G34" i="81"/>
  <c r="I34" i="81" s="1"/>
  <c r="E34" i="81"/>
  <c r="G37" i="81"/>
  <c r="I37" i="81" s="1"/>
  <c r="E37" i="81"/>
  <c r="G33" i="81"/>
  <c r="I33" i="81" s="1"/>
  <c r="E33" i="81"/>
  <c r="C6" i="68" s="1"/>
  <c r="G38" i="81"/>
  <c r="I38" i="81" s="1"/>
  <c r="E38" i="81"/>
  <c r="G36" i="81"/>
  <c r="I36" i="81" s="1"/>
  <c r="E36" i="81"/>
  <c r="G35" i="81"/>
  <c r="I35" i="81" s="1"/>
  <c r="E35" i="81"/>
  <c r="B44" i="72"/>
  <c r="B42" i="72"/>
  <c r="B69" i="72"/>
  <c r="B68" i="72"/>
  <c r="B63" i="72"/>
  <c r="B62" i="72"/>
  <c r="B16" i="72"/>
  <c r="C27" i="81" l="1"/>
  <c r="C26" i="81"/>
  <c r="B2" i="81" s="1"/>
  <c r="B3" i="81" s="1"/>
  <c r="B65" i="72"/>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14" i="80"/>
  <c r="C16" i="80"/>
  <c r="M59" i="80" l="1"/>
  <c r="M59" i="77"/>
  <c r="G41" i="79"/>
  <c r="G22" i="79"/>
  <c r="C15" i="80"/>
  <c r="C18" i="80"/>
  <c r="BL15" i="3"/>
  <c r="AZ15" i="3" s="1"/>
  <c r="G20" i="43"/>
  <c r="AA29" i="35"/>
  <c r="C51" i="10"/>
  <c r="A13" i="51" s="1"/>
  <c r="B11" i="72" s="1"/>
  <c r="A118" i="78"/>
  <c r="A2" i="78"/>
  <c r="H48" i="43"/>
  <c r="H50" i="43"/>
  <c r="H75" i="43"/>
  <c r="G28" i="6"/>
  <c r="F29" i="6"/>
  <c r="G8" i="1"/>
  <c r="G7" i="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E28" i="6"/>
  <c r="J107" i="43"/>
  <c r="F107" i="43"/>
  <c r="F102" i="43"/>
  <c r="F106" i="43"/>
  <c r="C107" i="43"/>
  <c r="C105" i="43"/>
  <c r="C103" i="43"/>
  <c r="K102"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2" i="43" s="1"/>
  <c r="F103" i="43"/>
  <c r="F105"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4" i="79"/>
  <c r="L47" i="67"/>
  <c r="F8" i="15"/>
  <c r="F7" i="67"/>
  <c r="M9" i="15"/>
  <c r="M23" i="15"/>
  <c r="M29" i="15"/>
  <c r="F37" i="67"/>
  <c r="F36" i="67"/>
  <c r="M9" i="67"/>
  <c r="F8" i="67"/>
  <c r="M6" i="67"/>
  <c r="J15" i="15"/>
  <c r="M6" i="15"/>
  <c r="F38" i="67"/>
  <c r="F26" i="15"/>
  <c r="F9" i="67"/>
  <c r="C76" i="67"/>
  <c r="F16" i="15"/>
  <c r="M22" i="15"/>
  <c r="F7" i="15"/>
  <c r="M29" i="77"/>
  <c r="F16" i="67"/>
  <c r="L48" i="67"/>
  <c r="F42" i="15"/>
  <c r="F13" i="67"/>
  <c r="L47" i="15"/>
  <c r="F9" i="15"/>
  <c r="M8" i="67"/>
  <c r="G1" i="73"/>
  <c r="F40" i="67"/>
  <c r="F6" i="15"/>
  <c r="M23" i="67"/>
  <c r="M28" i="67"/>
  <c r="L48" i="15"/>
  <c r="F37" i="15"/>
  <c r="F38" i="15"/>
  <c r="F26" i="67"/>
  <c r="M26" i="15"/>
  <c r="M28" i="15"/>
  <c r="M26" i="67"/>
  <c r="F6" i="67"/>
  <c r="F42" i="67"/>
  <c r="M22" i="67"/>
  <c r="J15" i="67"/>
  <c r="F43" i="77"/>
  <c r="F13" i="15"/>
  <c r="F36" i="15"/>
  <c r="C76" i="15"/>
  <c r="F43" i="67"/>
  <c r="F40" i="15"/>
  <c r="M24" i="15"/>
  <c r="M24" i="67"/>
  <c r="M29" i="67"/>
  <c r="M8" i="15"/>
  <c r="F43" i="15"/>
  <c r="C34" i="79"/>
  <c r="C35" i="79" l="1"/>
  <c r="C38" i="79"/>
  <c r="C37" i="79"/>
  <c r="C19" i="80"/>
  <c r="C20" i="80" s="1"/>
  <c r="C26" i="80" s="1"/>
  <c r="F71" i="77"/>
  <c r="D22" i="43"/>
  <c r="E56" i="40"/>
  <c r="G109" i="43"/>
  <c r="J106" i="43"/>
  <c r="K105" i="43"/>
  <c r="G107" i="43"/>
  <c r="J102" i="43"/>
  <c r="N105" i="43"/>
  <c r="G102" i="43"/>
  <c r="J105" i="43"/>
  <c r="F30" i="6"/>
  <c r="F31" i="6" s="1"/>
  <c r="N109" i="43"/>
  <c r="K109" i="43"/>
  <c r="J109" i="43"/>
  <c r="N104" i="43"/>
  <c r="K106" i="43"/>
  <c r="G103" i="43"/>
  <c r="K104" i="43"/>
  <c r="K107" i="43"/>
  <c r="J103" i="43"/>
  <c r="N106" i="43"/>
  <c r="N103" i="43"/>
  <c r="G30" i="6"/>
  <c r="G31" i="6" s="1"/>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L18" i="78"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31" i="67"/>
  <c r="F31" i="15"/>
  <c r="F59" i="15"/>
  <c r="D9" i="68"/>
  <c r="C16" i="67"/>
  <c r="C17" i="15"/>
  <c r="C16" i="15"/>
  <c r="C16" i="77"/>
  <c r="C17" i="77"/>
  <c r="C33" i="79" l="1"/>
  <c r="C39" i="79" s="1"/>
  <c r="C46" i="79" s="1"/>
  <c r="C45" i="79" s="1"/>
  <c r="C24" i="80"/>
  <c r="C23" i="80"/>
  <c r="F24" i="77"/>
  <c r="F22" i="79"/>
  <c r="M21" i="6"/>
  <c r="I21" i="6" s="1"/>
  <c r="S21" i="6" s="1"/>
  <c r="S8" i="1"/>
  <c r="O7" i="1"/>
  <c r="E3" i="6"/>
  <c r="E7" i="70"/>
  <c r="C9" i="68"/>
  <c r="C24" i="77"/>
  <c r="C30" i="69"/>
  <c r="C48" i="68"/>
  <c r="B5" i="62"/>
  <c r="B73" i="72" s="1"/>
  <c r="K16" i="1"/>
  <c r="M19" i="6"/>
  <c r="M27" i="6" s="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F50" i="79" s="1"/>
  <c r="Q60" i="67"/>
  <c r="Q73" i="67"/>
  <c r="F27" i="11"/>
  <c r="Q61" i="67"/>
  <c r="Q74" i="67"/>
  <c r="C49" i="67"/>
  <c r="F1" i="67"/>
  <c r="Q52" i="67"/>
  <c r="C14" i="77"/>
  <c r="F27" i="68"/>
  <c r="C29" i="80" l="1"/>
  <c r="C57" i="80" s="1"/>
  <c r="C24" i="79"/>
  <c r="C44" i="79"/>
  <c r="D41" i="79" s="1"/>
  <c r="C26" i="79"/>
  <c r="D22" i="79" s="1"/>
  <c r="C42" i="79"/>
  <c r="C43" i="79"/>
  <c r="AQ8" i="1"/>
  <c r="AR8" i="1"/>
  <c r="T8" i="1"/>
  <c r="C15" i="77"/>
  <c r="C18" i="77"/>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F34" i="68"/>
  <c r="C36" i="68"/>
  <c r="D10" i="68"/>
  <c r="J14" i="80" l="1"/>
  <c r="J22" i="80" s="1"/>
  <c r="Q49" i="80"/>
  <c r="C36" i="80"/>
  <c r="C33" i="80"/>
  <c r="C13" i="80"/>
  <c r="Q70" i="80" s="1"/>
  <c r="J19" i="80"/>
  <c r="J13" i="80"/>
  <c r="J23" i="80" s="1"/>
  <c r="C64" i="80"/>
  <c r="C61" i="80"/>
  <c r="C41" i="79"/>
  <c r="C49" i="79" s="1"/>
  <c r="C51" i="79" s="1"/>
  <c r="C7" i="68"/>
  <c r="C6" i="79"/>
  <c r="C19" i="77"/>
  <c r="R25" i="6"/>
  <c r="C20" i="77"/>
  <c r="C26" i="77" s="1"/>
  <c r="L19" i="78"/>
  <c r="M19" i="78"/>
  <c r="C118" i="78" s="1"/>
  <c r="J59" i="77"/>
  <c r="J60" i="77"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M21" i="77"/>
  <c r="C34" i="68"/>
  <c r="F35" i="77"/>
  <c r="C75" i="80" l="1"/>
  <c r="C37" i="80"/>
  <c r="C56" i="80"/>
  <c r="C65" i="80" s="1"/>
  <c r="C7" i="79"/>
  <c r="C5" i="79" s="1"/>
  <c r="C23" i="77"/>
  <c r="C29" i="77" s="1"/>
  <c r="C57" i="77" s="1"/>
  <c r="C5" i="68"/>
  <c r="C23" i="68"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80"/>
  <c r="F35" i="15"/>
  <c r="M21" i="15"/>
  <c r="F35" i="80"/>
  <c r="F35" i="67"/>
  <c r="J20" i="80" l="1"/>
  <c r="J17" i="80" s="1"/>
  <c r="J16" i="80" s="1"/>
  <c r="J25" i="80" s="1"/>
  <c r="F63" i="80"/>
  <c r="C62" i="80" s="1"/>
  <c r="C59" i="80" s="1"/>
  <c r="C58" i="80" s="1"/>
  <c r="C67" i="80" s="1"/>
  <c r="C34" i="80"/>
  <c r="C31" i="80" s="1"/>
  <c r="C30" i="80" s="1"/>
  <c r="C39" i="80" s="1"/>
  <c r="C33" i="77"/>
  <c r="Q49" i="77"/>
  <c r="C23" i="79"/>
  <c r="C20" i="79"/>
  <c r="C25" i="79" s="1"/>
  <c r="J14" i="77"/>
  <c r="J19" i="77"/>
  <c r="J17" i="77" s="1"/>
  <c r="C64" i="77"/>
  <c r="C61" i="77"/>
  <c r="C59" i="77" s="1"/>
  <c r="C36" i="77"/>
  <c r="C13" i="77"/>
  <c r="C31"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80" l="1"/>
  <c r="Q68" i="80" s="1"/>
  <c r="C80" i="80"/>
  <c r="C79" i="80" s="1"/>
  <c r="J22" i="77"/>
  <c r="J13" i="77"/>
  <c r="J23" i="77" s="1"/>
  <c r="C28" i="79"/>
  <c r="C27" i="79" s="1"/>
  <c r="C22" i="79"/>
  <c r="C75" i="77"/>
  <c r="C37" i="77"/>
  <c r="C30" i="77" s="1"/>
  <c r="C39" i="77" s="1"/>
  <c r="Q69" i="77" s="1"/>
  <c r="Q70" i="77"/>
  <c r="C56" i="77"/>
  <c r="C65" i="77" s="1"/>
  <c r="C58" i="77" s="1"/>
  <c r="C67"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L51" i="77"/>
  <c r="Q67" i="80" l="1"/>
  <c r="J16" i="77"/>
  <c r="J25" i="77" s="1"/>
  <c r="Q68" i="77"/>
  <c r="C31" i="79"/>
  <c r="C52" i="79" s="1"/>
  <c r="B2" i="79" s="1"/>
  <c r="C80" i="77"/>
  <c r="C79" i="77" s="1"/>
  <c r="Q67" i="77"/>
  <c r="L57" i="77"/>
  <c r="L60" i="77" s="1"/>
  <c r="C41" i="68"/>
  <c r="C46" i="68"/>
  <c r="C45" i="68" s="1"/>
  <c r="K63" i="40"/>
  <c r="J65" i="40"/>
  <c r="K70" i="39"/>
  <c r="C56" i="11"/>
  <c r="C57" i="11" s="1"/>
  <c r="B3" i="79"/>
  <c r="C57" i="79" l="1"/>
  <c r="C56" i="79" s="1"/>
  <c r="Q66" i="77"/>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F41" i="77"/>
  <c r="AE6" i="1"/>
  <c r="L51" i="15"/>
  <c r="AE8" i="1"/>
  <c r="F69" i="77" l="1"/>
  <c r="C68" i="77" s="1"/>
  <c r="J29" i="77"/>
  <c r="C40" i="77"/>
  <c r="C66" i="15"/>
  <c r="C60" i="15"/>
  <c r="C59" i="15" s="1"/>
  <c r="AG6" i="1"/>
  <c r="C80" i="15"/>
  <c r="C79" i="15" s="1"/>
  <c r="C65" i="15"/>
  <c r="Q68" i="15"/>
  <c r="L57" i="15"/>
  <c r="L60" i="15" s="1"/>
  <c r="Q67" i="15"/>
  <c r="M27" i="80"/>
  <c r="M27" i="15"/>
  <c r="F41" i="67"/>
  <c r="F41" i="15"/>
  <c r="M27" i="67"/>
  <c r="F41" i="80"/>
  <c r="C40" i="80" l="1"/>
  <c r="C43" i="80" s="1"/>
  <c r="F69" i="80"/>
  <c r="C68" i="80" s="1"/>
  <c r="C71" i="80" s="1"/>
  <c r="J26" i="80"/>
  <c r="J29" i="80" s="1"/>
  <c r="Q47" i="77"/>
  <c r="Q53" i="77" s="1"/>
  <c r="B2" i="77"/>
  <c r="Q65" i="77"/>
  <c r="Q75" i="77" s="1"/>
  <c r="Q56" i="77"/>
  <c r="Q62" i="77" s="1"/>
  <c r="C43" i="77"/>
  <c r="C83" i="77"/>
  <c r="C82" i="77" s="1"/>
  <c r="C46" i="77"/>
  <c r="C71" i="77"/>
  <c r="J26" i="15"/>
  <c r="J29" i="15" s="1"/>
  <c r="J26" i="67"/>
  <c r="J29" i="67" s="1"/>
  <c r="C58" i="15"/>
  <c r="C67" i="15" s="1"/>
  <c r="F69" i="15"/>
  <c r="C40" i="15"/>
  <c r="C43" i="15" s="1"/>
  <c r="L46" i="15"/>
  <c r="Q57" i="15"/>
  <c r="Q66" i="15"/>
  <c r="F69" i="67"/>
  <c r="C68" i="67" s="1"/>
  <c r="C71" i="67" s="1"/>
  <c r="C40" i="67"/>
  <c r="C83" i="67" s="1"/>
  <c r="C82" i="67" s="1"/>
  <c r="D19" i="78"/>
  <c r="C83" i="80" l="1"/>
  <c r="C82" i="80" s="1"/>
  <c r="C46" i="80"/>
  <c r="B2" i="80"/>
  <c r="B3" i="80" s="1"/>
  <c r="Q56" i="80"/>
  <c r="Q62" i="80" s="1"/>
  <c r="Q47" i="80"/>
  <c r="Q53" i="80" s="1"/>
  <c r="Q65" i="80"/>
  <c r="Q75" i="80" s="1"/>
  <c r="D102" i="78"/>
  <c r="D21" i="78"/>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D19" i="82"/>
  <c r="AO7" i="1"/>
  <c r="AO6" i="1"/>
  <c r="E2" i="69"/>
  <c r="D20" i="78"/>
  <c r="AO8" i="1"/>
  <c r="D21" i="82" l="1"/>
  <c r="D102" i="82"/>
  <c r="B3" i="15"/>
  <c r="D103" i="78"/>
  <c r="B8" i="70"/>
  <c r="B7" i="70"/>
  <c r="B6" i="70"/>
  <c r="C46" i="15"/>
  <c r="B2" i="69"/>
  <c r="B3" i="69" s="1"/>
  <c r="B2" i="68"/>
  <c r="B3" i="67"/>
  <c r="D2" i="33"/>
  <c r="E2" i="68"/>
  <c r="D2" i="21"/>
  <c r="C19" i="9"/>
  <c r="D20" i="82"/>
  <c r="C19" i="82"/>
  <c r="F20" i="31"/>
  <c r="D2" i="35"/>
  <c r="D2" i="37"/>
  <c r="D2" i="36"/>
  <c r="D2" i="34"/>
  <c r="C102" i="82" l="1"/>
  <c r="D22" i="82"/>
  <c r="C21" i="82"/>
  <c r="G19" i="82"/>
  <c r="D15" i="74" s="1"/>
  <c r="D103" i="82"/>
  <c r="B20" i="31"/>
  <c r="B2" i="36"/>
  <c r="B3" i="36" s="1"/>
  <c r="B2" i="35"/>
  <c r="B2" i="37"/>
  <c r="B3" i="37" s="1"/>
  <c r="B2" i="34"/>
  <c r="B3" i="34" s="1"/>
  <c r="B2" i="21"/>
  <c r="B3" i="21" s="1"/>
  <c r="B2" i="70"/>
  <c r="B3" i="70" s="1"/>
  <c r="C102" i="9"/>
  <c r="C21" i="9"/>
  <c r="D20" i="9"/>
  <c r="B3" i="68"/>
  <c r="C19" i="78"/>
  <c r="D19" i="9"/>
  <c r="G15" i="74" l="1"/>
  <c r="E15" i="74"/>
  <c r="F15" i="74"/>
  <c r="C32" i="82"/>
  <c r="G21" i="82"/>
  <c r="C102" i="78"/>
  <c r="G19" i="78"/>
  <c r="D16" i="74" s="1"/>
  <c r="C21" i="78"/>
  <c r="D22" i="78"/>
  <c r="B3" i="35"/>
  <c r="G19" i="9"/>
  <c r="D102" i="9"/>
  <c r="D22" i="9"/>
  <c r="D21" i="9"/>
  <c r="D103" i="9"/>
  <c r="C20" i="9"/>
  <c r="C20" i="82"/>
  <c r="C20" i="78"/>
  <c r="G16" i="74" l="1"/>
  <c r="F16" i="74"/>
  <c r="E16" i="74"/>
  <c r="C103" i="82"/>
  <c r="G20" i="82"/>
  <c r="C35" i="82"/>
  <c r="F118" i="82" s="1"/>
  <c r="H118" i="82"/>
  <c r="C103" i="9"/>
  <c r="G20" i="9"/>
  <c r="G20" i="78"/>
  <c r="C103" i="78"/>
  <c r="C32" i="78"/>
  <c r="G21" i="78"/>
  <c r="C32" i="9"/>
  <c r="G21" i="9"/>
  <c r="D34" i="9"/>
  <c r="C34" i="82" l="1"/>
  <c r="D118" i="82" s="1"/>
  <c r="D119" i="82" s="1"/>
  <c r="I118" i="82"/>
  <c r="C104" i="82"/>
  <c r="H119" i="82"/>
  <c r="H101" i="82"/>
  <c r="F119" i="82"/>
  <c r="G118" i="82"/>
  <c r="C35" i="78"/>
  <c r="F118" i="78" s="1"/>
  <c r="H118" i="78"/>
  <c r="H109" i="9"/>
  <c r="C34" i="78" l="1"/>
  <c r="D118" i="78" s="1"/>
  <c r="D119" i="78" s="1"/>
  <c r="H107" i="82"/>
  <c r="D45" i="82"/>
  <c r="M48" i="82"/>
  <c r="E118" i="82"/>
  <c r="C105" i="82"/>
  <c r="H102" i="82"/>
  <c r="I118" i="78"/>
  <c r="H119" i="78"/>
  <c r="C104" i="78"/>
  <c r="H101" i="78"/>
  <c r="G118" i="78"/>
  <c r="F119" i="78"/>
  <c r="H110" i="9"/>
  <c r="D18" i="53" s="1"/>
  <c r="B35" i="72" s="1"/>
  <c r="D124" i="9"/>
  <c r="D16" i="53"/>
  <c r="B34" i="72" s="1"/>
  <c r="C78" i="82" l="1"/>
  <c r="C73" i="82" s="1"/>
  <c r="D52" i="82"/>
  <c r="C93" i="82"/>
  <c r="C86" i="82" s="1"/>
  <c r="C85" i="82"/>
  <c r="C72" i="82"/>
  <c r="C79" i="82" s="1"/>
  <c r="C64" i="82"/>
  <c r="C63" i="82" s="1"/>
  <c r="C67" i="82" s="1"/>
  <c r="C68" i="82" s="1"/>
  <c r="D54" i="82" s="1"/>
  <c r="D55" i="82"/>
  <c r="M53" i="82" s="1"/>
  <c r="D53" i="82"/>
  <c r="D122" i="82"/>
  <c r="D123" i="82" s="1"/>
  <c r="H108" i="82"/>
  <c r="M49" i="82"/>
  <c r="D45" i="78"/>
  <c r="H107" i="78"/>
  <c r="M48" i="78"/>
  <c r="E118" i="78"/>
  <c r="H102" i="78"/>
  <c r="C105" i="78"/>
  <c r="D10" i="52"/>
  <c r="H14" i="74"/>
  <c r="D17" i="53"/>
  <c r="B36" i="72" s="1"/>
  <c r="D125" i="9"/>
  <c r="D11" i="52" s="1"/>
  <c r="C95" i="82" l="1"/>
  <c r="C96" i="82" s="1"/>
  <c r="E96" i="82" s="1"/>
  <c r="E97" i="82" s="1"/>
  <c r="L66" i="82"/>
  <c r="M66" i="82" s="1"/>
  <c r="L65" i="82"/>
  <c r="M65" i="82" s="1"/>
  <c r="L64" i="82"/>
  <c r="M64" i="82" s="1"/>
  <c r="L68" i="82"/>
  <c r="M68" i="82" s="1"/>
  <c r="L67" i="82"/>
  <c r="M67" i="82" s="1"/>
  <c r="L63" i="82"/>
  <c r="M63" i="82" s="1"/>
  <c r="C80" i="82"/>
  <c r="E80" i="82" s="1"/>
  <c r="E81" i="82" s="1"/>
  <c r="H108" i="78"/>
  <c r="D122" i="78"/>
  <c r="D123" i="78" s="1"/>
  <c r="M49" i="78"/>
  <c r="C78" i="78"/>
  <c r="C73" i="78" s="1"/>
  <c r="C85" i="78"/>
  <c r="C64" i="78"/>
  <c r="C63" i="78" s="1"/>
  <c r="C67" i="78" s="1"/>
  <c r="C68" i="78" s="1"/>
  <c r="D54" i="78" s="1"/>
  <c r="D53" i="78"/>
  <c r="C93" i="78"/>
  <c r="C86" i="78" s="1"/>
  <c r="C72" i="78"/>
  <c r="D55" i="78"/>
  <c r="M53" i="78" s="1"/>
  <c r="D52" i="78"/>
  <c r="B7" i="74"/>
  <c r="D7" i="74" s="1"/>
  <c r="M69" i="82" l="1"/>
  <c r="N69" i="82" s="1"/>
  <c r="C81" i="82"/>
  <c r="C97" i="82"/>
  <c r="D58" i="82" s="1"/>
  <c r="D56" i="82" s="1"/>
  <c r="M54" i="82" s="1"/>
  <c r="N57" i="82" s="1"/>
  <c r="C79" i="78"/>
  <c r="C95" i="78"/>
  <c r="L65" i="78"/>
  <c r="M65" i="78" s="1"/>
  <c r="L68" i="78"/>
  <c r="M68" i="78" s="1"/>
  <c r="L63" i="78"/>
  <c r="M63" i="78" s="1"/>
  <c r="L66" i="78"/>
  <c r="M66" i="78" s="1"/>
  <c r="L64" i="78"/>
  <c r="M64" i="78" s="1"/>
  <c r="L67" i="78"/>
  <c r="M67" i="78" s="1"/>
  <c r="C7" i="74"/>
  <c r="N58" i="82" l="1"/>
  <c r="P57" i="82"/>
  <c r="N59" i="82"/>
  <c r="M69" i="78"/>
  <c r="N69" i="78" s="1"/>
  <c r="C96" i="78"/>
  <c r="E96" i="78" s="1"/>
  <c r="E97" i="78" s="1"/>
  <c r="C80" i="78"/>
  <c r="E80" i="78" s="1"/>
  <c r="E81" i="78" s="1"/>
  <c r="J7" i="33"/>
  <c r="W7" i="33" s="1"/>
  <c r="F7" i="33"/>
  <c r="S7" i="33" s="1"/>
  <c r="H7" i="33"/>
  <c r="AB7" i="33" s="1"/>
  <c r="T48" i="33" s="1"/>
  <c r="G48" i="33" s="1"/>
  <c r="N61" i="82" l="1"/>
  <c r="N60" i="82"/>
  <c r="C81" i="78"/>
  <c r="C97" i="78"/>
  <c r="D58" i="78" s="1"/>
  <c r="D56" i="78" s="1"/>
  <c r="M54" i="78" s="1"/>
  <c r="N57" i="78" s="1"/>
  <c r="N58" i="78" s="1"/>
  <c r="G52" i="33"/>
  <c r="H52" i="33" s="1"/>
  <c r="AA7" i="33"/>
  <c r="R48" i="33" s="1"/>
  <c r="U7" i="33"/>
  <c r="AC7" i="33"/>
  <c r="V48" i="33" s="1"/>
  <c r="I48" i="33" s="1"/>
  <c r="P57" i="78" l="1"/>
  <c r="N59" i="78"/>
  <c r="N61" i="78" s="1"/>
  <c r="I52" i="33"/>
  <c r="J52" i="33" s="1"/>
  <c r="R49" i="33"/>
  <c r="E48" i="33"/>
  <c r="G53" i="33"/>
  <c r="H53" i="33" s="1"/>
  <c r="N60" i="78"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<sst xmlns="http://schemas.openxmlformats.org/spreadsheetml/2006/main" count="9275" uniqueCount="3125">
  <si>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</si>
  <si>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</si>
  <si>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</si>
  <si>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</si>
  <si>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</si>
  <si>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</si>
  <si>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</si>
  <si>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</si>
  <si>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</si>
  <si>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</si>
  <si>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</si>
  <si>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</si>
  <si>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</si>
  <si>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</si>
  <si>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</si>
  <si>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</si>
  <si>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</si>
  <si>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</si>
  <si>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</si>
  <si>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</si>
  <si>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</si>
  <si>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</si>
  <si>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</si>
  <si>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</si>
  <si>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</si>
  <si>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</si>
  <si>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</si>
  <si>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</si>
  <si>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</si>
  <si>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</si>
  <si>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</si>
  <si>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</si>
  <si>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</si>
  <si>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</si>
  <si>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</si>
  <si>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</si>
  <si>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</si>
  <si>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</si>
  <si>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</si>
  <si>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</si>
  <si>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</si>
  <si>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</si>
  <si>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</si>
  <si>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</si>
  <si>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</si>
  <si>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</si>
  <si>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</si>
  <si>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</si>
  <si>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</si>
  <si>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</si>
  <si>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</si>
  <si>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</si>
  <si>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</si>
  <si>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</si>
  <si>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</si>
  <si>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</si>
  <si>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</si>
  <si>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</si>
  <si>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</si>
  <si>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</si>
  <si>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</si>
  <si>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</si>
  <si>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</si>
  <si>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</si>
  <si>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</si>
  <si>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</si>
  <si>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</si>
  <si>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</si>
  <si>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</si>
  <si>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</si>
  <si>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</si>
  <si>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</si>
  <si>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</si>
  <si>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</si>
  <si>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</si>
  <si>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</si>
  <si>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</si>
  <si>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</si>
  <si>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</si>
  <si>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</si>
  <si>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</si>
  <si>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</si>
  <si>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</si>
  <si>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</si>
  <si>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</si>
  <si>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</si>
  <si>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</si>
  <si>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</si>
  <si>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</si>
  <si>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</si>
  <si>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</si>
  <si>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</si>
  <si>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</si>
  <si>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</si>
  <si>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</si>
  <si>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</si>
  <si>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</si>
  <si>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</si>
  <si>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</si>
  <si>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</si>
  <si>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</si>
  <si>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</si>
  <si>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</si>
  <si>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</si>
  <si>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</si>
  <si>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</si>
  <si>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</si>
  <si>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</si>
  <si>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</si>
  <si>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</si>
  <si>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</si>
  <si>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</si>
  <si>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</si>
  <si>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</si>
  <si>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</si>
  <si>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</si>
  <si>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</si>
  <si>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</si>
  <si>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</si>
  <si>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</si>
  <si>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</si>
  <si>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</si>
  <si>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</si>
  <si>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</si>
  <si>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</si>
  <si>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</si>
  <si>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</si>
  <si>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</si>
  <si>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</si>
  <si>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</si>
  <si>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</si>
  <si>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</si>
  <si>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</si>
  <si>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</si>
  <si>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</si>
  <si>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</si>
  <si>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</si>
  <si>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</si>
  <si>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</si>
  <si>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</si>
  <si>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</si>
  <si>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</si>
  <si>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</si>
  <si>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</si>
  <si>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</si>
  <si>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</si>
  <si>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</si>
  <si>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</si>
  <si>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</si>
  <si>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</si>
  <si>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</si>
  <si>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</si>
  <si>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</si>
  <si>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</si>
  <si>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</si>
  <si>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</si>
  <si>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</si>
  <si>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</si>
  <si>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</si>
  <si>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</si>
  <si>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</si>
  <si>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</si>
  <si>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</si>
  <si>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</si>
  <si>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</si>
  <si>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</si>
  <si>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</si>
  <si>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</si>
  <si>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</si>
  <si>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</si>
  <si>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</si>
  <si>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</si>
  <si>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</si>
  <si>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</si>
  <si>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</si>
  <si>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</si>
  <si>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</si>
  <si>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</si>
  <si>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</si>
  <si>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</si>
  <si>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</si>
  <si>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</si>
  <si>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</si>
  <si>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</si>
  <si>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</si>
  <si>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</si>
  <si>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</si>
  <si>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</si>
  <si>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</si>
  <si>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</si>
  <si>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</si>
  <si>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</si>
  <si>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</si>
  <si>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</si>
  <si>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</si>
  <si>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</si>
  <si>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</si>
  <si>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</si>
  <si>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</si>
  <si>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</si>
  <si>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</si>
  <si>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</si>
  <si>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</si>
  <si>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</si>
  <si>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</si>
  <si>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</si>
  <si>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</si>
  <si>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</si>
  <si>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</si>
  <si>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</si>
  <si>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</si>
  <si>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</si>
  <si>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</si>
  <si>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</si>
  <si>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</si>
  <si>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</si>
  <si>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</si>
  <si>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</si>
  <si>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</si>
  <si>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</si>
  <si>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</si>
  <si>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</si>
  <si>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</si>
  <si>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</si>
  <si>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</si>
  <si>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</si>
  <si>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</si>
  <si>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</si>
  <si>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</si>
  <si>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</si>
  <si>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</si>
  <si>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</si>
  <si>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</si>
  <si>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</si>
  <si>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</si>
  <si>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</si>
  <si>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</si>
  <si>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</si>
  <si>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</si>
  <si>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</si>
  <si>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</si>
  <si>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</si>
  <si>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</si>
  <si>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</si>
  <si>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</si>
  <si>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</si>
  <si>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</si>
  <si>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</si>
  <si>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</si>
  <si>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</si>
  <si>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</si>
  <si>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</si>
  <si>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</si>
  <si>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</si>
  <si>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</si>
  <si>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</si>
  <si>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</si>
  <si>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</si>
  <si>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</si>
  <si>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</si>
  <si>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</si>
  <si>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</si>
  <si>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</si>
  <si>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</si>
  <si>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</si>
  <si>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</si>
  <si>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</si>
  <si>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</si>
  <si>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</si>
  <si>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</si>
  <si>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</si>
  <si>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</si>
  <si>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</si>
  <si>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</si>
  <si>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</si>
  <si>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</si>
  <si>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</si>
  <si>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</si>
  <si>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</si>
  <si>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</si>
  <si>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</si>
  <si>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</si>
  <si>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</si>
  <si>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</si>
  <si>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</si>
  <si>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</si>
  <si>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</si>
  <si>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</si>
  <si>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</si>
  <si>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</si>
  <si>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</si>
  <si>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</si>
  <si>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</si>
  <si>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</si>
  <si>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</si>
  <si>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</si>
  <si>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</si>
  <si>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</si>
  <si>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</si>
  <si>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</si>
  <si>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</si>
  <si>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</si>
  <si>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</si>
  <si>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</si>
  <si>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</si>
  <si>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</si>
  <si>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</si>
  <si>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</si>
  <si>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</si>
  <si>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</si>
  <si>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</si>
  <si>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</si>
  <si>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</si>
  <si>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</si>
  <si>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</si>
  <si>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</si>
  <si>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</si>
  <si>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</si>
  <si>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</si>
  <si>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</si>
  <si>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</si>
  <si>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</si>
  <si>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</si>
  <si>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</si>
  <si>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</si>
  <si>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</si>
  <si>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</si>
  <si>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</si>
  <si>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</si>
  <si>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</si>
  <si>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</si>
  <si>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</si>
  <si>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</si>
  <si>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</si>
  <si>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</si>
  <si>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</si>
  <si>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</si>
  <si>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</si>
  <si>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</si>
  <si>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</si>
  <si>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</si>
  <si>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</si>
  <si>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</si>
  <si>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</si>
  <si>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</si>
  <si>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</si>
  <si>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</si>
  <si>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</si>
  <si>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</si>
  <si>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</si>
  <si>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</si>
  <si>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</si>
  <si>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</si>
  <si>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</si>
  <si>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</si>
  <si>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</si>
  <si>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</si>
  <si>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</si>
  <si>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</si>
  <si>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</si>
  <si>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</si>
  <si>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</si>
  <si>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</si>
  <si>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</si>
  <si>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</si>
  <si>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</si>
  <si>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</si>
  <si>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</si>
  <si>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</si>
  <si>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</si>
  <si>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</si>
  <si>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</si>
  <si>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</si>
  <si>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</si>
  <si>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</si>
  <si>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</si>
  <si>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</si>
  <si>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</si>
  <si>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</si>
  <si>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</si>
  <si>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</si>
  <si>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</si>
  <si>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</si>
  <si>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</si>
  <si>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</si>
  <si>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</si>
  <si>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</si>
  <si>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</si>
  <si>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</si>
  <si>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</si>
  <si>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</si>
  <si>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</si>
  <si>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</si>
  <si>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</si>
  <si>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</si>
  <si>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</si>
  <si>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</si>
  <si>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</si>
  <si>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</si>
  <si>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</si>
  <si>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</si>
  <si>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</si>
  <si>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</si>
  <si>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</si>
  <si>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</si>
  <si>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</si>
  <si>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</si>
  <si>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</si>
  <si>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</si>
  <si>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</si>
  <si>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</si>
  <si>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</si>
  <si>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</si>
  <si>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</si>
  <si>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</si>
  <si>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</si>
  <si>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</si>
  <si>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</si>
  <si>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</si>
  <si>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</si>
  <si>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</si>
  <si>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</si>
  <si>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</si>
  <si>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</si>
  <si>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</si>
  <si>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</si>
  <si>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</si>
  <si>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</si>
  <si>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</si>
  <si>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</si>
  <si>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</si>
  <si>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</si>
  <si>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</si>
  <si>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</si>
  <si>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</si>
  <si>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</si>
  <si>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</si>
  <si>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</si>
  <si>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</si>
  <si>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</si>
  <si>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</si>
  <si>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</si>
  <si>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</si>
  <si>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</si>
  <si>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</si>
  <si>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</si>
  <si>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</si>
  <si>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</si>
  <si>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</si>
  <si>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</si>
  <si>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</si>
  <si>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</si>
  <si>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</si>
  <si>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</si>
  <si>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</si>
  <si>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</si>
  <si>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</si>
  <si>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</si>
  <si>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</si>
  <si>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</si>
  <si>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</si>
  <si>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</si>
  <si>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</si>
  <si>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</si>
  <si>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</si>
  <si>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</si>
  <si>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</si>
  <si>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</si>
  <si>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</si>
  <si>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</si>
  <si>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</si>
  <si>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</si>
  <si>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</si>
  <si>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</si>
  <si>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</si>
  <si>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</si>
  <si>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</si>
  <si>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</si>
  <si>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</si>
  <si>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</si>
  <si>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</si>
  <si>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</si>
  <si>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</si>
  <si>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</si>
  <si>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</si>
  <si>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</si>
  <si>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</si>
  <si>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</si>
  <si>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</si>
  <si>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</si>
  <si>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</si>
  <si>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</si>
  <si>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</si>
  <si>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</si>
  <si>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</si>
  <si>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</si>
  <si>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</si>
  <si>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</si>
  <si>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</si>
  <si>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</si>
  <si>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</si>
  <si>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</si>
  <si>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</si>
  <si>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</si>
  <si>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</si>
  <si>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</si>
  <si>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</si>
  <si>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</si>
  <si>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</si>
  <si>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</si>
  <si>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</si>
  <si>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</si>
  <si>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</si>
  <si>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</si>
  <si>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</si>
  <si>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</si>
  <si>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</si>
  <si>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</si>
  <si>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</si>
  <si>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</si>
  <si>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</si>
  <si>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</si>
  <si>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</si>
  <si>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</si>
  <si>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</si>
  <si>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</si>
  <si>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</si>
  <si>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</si>
  <si>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</si>
  <si>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</si>
  <si>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</si>
  <si>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</si>
  <si>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</si>
  <si>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</si>
  <si>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</si>
  <si>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</si>
  <si>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</si>
  <si>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</si>
  <si>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</si>
  <si>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</si>
  <si>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</si>
  <si>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</si>
  <si>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</si>
  <si>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</si>
  <si>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</si>
  <si>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</si>
  <si>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</si>
  <si>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</si>
  <si>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</si>
  <si>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</si>
  <si>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</si>
  <si>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</si>
  <si>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</si>
  <si>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</si>
  <si>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</si>
  <si>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</si>
  <si>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</si>
  <si>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</si>
  <si>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</si>
  <si>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</si>
  <si>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</si>
  <si>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</si>
  <si>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</si>
  <si>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</si>
  <si>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</si>
  <si>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</si>
  <si>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</si>
  <si>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</si>
  <si>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</si>
  <si>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</si>
  <si>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</si>
  <si>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</si>
  <si>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</si>
  <si>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</si>
  <si>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</si>
  <si>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</si>
  <si>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</si>
  <si>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</si>
  <si>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</si>
  <si>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</si>
  <si>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</si>
  <si>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</si>
  <si>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</si>
  <si>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</si>
  <si>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</si>
  <si>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</si>
  <si>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</si>
  <si>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</si>
  <si>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</si>
  <si>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</si>
  <si>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</si>
  <si>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</si>
  <si>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</si>
  <si>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</si>
  <si>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</si>
  <si>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</si>
  <si>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</si>
  <si>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</si>
  <si>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</si>
  <si>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</si>
  <si>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</si>
  <si>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</si>
  <si>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</si>
  <si>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</si>
  <si>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</si>
  <si>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</si>
  <si>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</si>
  <si>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</si>
  <si>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</si>
  <si>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</si>
  <si>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</si>
  <si>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</si>
  <si>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</si>
  <si>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</si>
  <si>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</si>
  <si>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</si>
  <si>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</si>
  <si>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</si>
  <si>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</si>
  <si>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</si>
  <si>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</si>
  <si>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</si>
  <si>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</si>
  <si>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</si>
  <si>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</si>
  <si>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</si>
  <si>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</si>
  <si>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</si>
  <si>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</si>
  <si>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</si>
  <si>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</si>
  <si>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</si>
  <si>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</si>
  <si>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</si>
  <si>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</si>
  <si>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</si>
  <si>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</si>
  <si>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</si>
  <si>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</si>
  <si>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</si>
  <si>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</si>
  <si>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</si>
  <si>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</si>
  <si>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</si>
  <si>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</si>
  <si>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</si>
  <si>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</si>
  <si>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</si>
  <si>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</si>
  <si>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</si>
  <si>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</si>
  <si>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</si>
  <si>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</si>
  <si>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</si>
  <si>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</si>
  <si>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</si>
  <si>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</si>
  <si>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</si>
  <si>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</si>
  <si>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</si>
  <si>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</si>
  <si>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</si>
  <si>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</si>
  <si>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</si>
  <si>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</si>
  <si>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</si>
  <si>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</si>
  <si>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</si>
  <si>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</si>
  <si>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</si>
  <si>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</si>
  <si>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</si>
  <si>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</si>
  <si>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</si>
  <si>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</si>
  <si>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</si>
  <si>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</si>
  <si>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</si>
  <si>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</si>
  <si>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</si>
  <si>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</si>
  <si>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</si>
  <si>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</si>
  <si>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</si>
  <si>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</si>
  <si>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</si>
  <si>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</si>
  <si>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</si>
  <si>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</si>
  <si>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</si>
  <si>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</si>
  <si>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</si>
  <si>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</si>
  <si>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</si>
  <si>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</si>
  <si>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</si>
  <si>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</si>
  <si>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</si>
  <si>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</si>
  <si>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</si>
  <si>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</si>
  <si>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</si>
  <si>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</si>
  <si>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</si>
  <si>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</si>
  <si>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</si>
  <si>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</si>
  <si>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</si>
  <si>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</si>
  <si>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</si>
  <si>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</si>
  <si>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</si>
  <si>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</si>
  <si>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</si>
  <si>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</si>
  <si>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</si>
  <si>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</si>
  <si>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</si>
  <si>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</si>
  <si>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</si>
  <si>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</si>
  <si>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</si>
  <si>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</si>
  <si>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</si>
  <si>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</si>
  <si>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</si>
  <si>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</si>
  <si>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</si>
  <si>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</si>
  <si>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</si>
  <si>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</si>
  <si>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</si>
  <si>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</si>
  <si>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</si>
  <si>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</si>
  <si>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</si>
  <si>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</si>
  <si>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</si>
  <si>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</si>
  <si>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</si>
  <si>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</si>
  <si>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</si>
  <si>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</si>
  <si>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</si>
  <si>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</si>
  <si>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</si>
  <si>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</si>
  <si>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</si>
  <si>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</si>
  <si>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</si>
  <si>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</si>
  <si>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</si>
  <si>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</si>
  <si>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</si>
  <si>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</si>
  <si>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</si>
  <si>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</si>
  <si>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</si>
  <si>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</si>
  <si>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</si>
  <si>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</si>
  <si>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</si>
  <si>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</si>
  <si>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</si>
  <si>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</si>
  <si>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</si>
  <si>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</si>
  <si>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</si>
  <si>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</si>
  <si>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</si>
  <si>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</si>
  <si>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</si>
  <si>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</si>
  <si>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</si>
  <si>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</si>
  <si>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</si>
  <si>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</si>
  <si>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</si>
  <si>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</si>
  <si>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</si>
  <si>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</si>
  <si>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</si>
  <si>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</si>
  <si>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</si>
  <si>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</si>
  <si>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</si>
  <si>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</si>
  <si>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</si>
  <si>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</si>
  <si>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</si>
  <si>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</si>
  <si>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</si>
  <si>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</si>
  <si>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</si>
  <si>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</si>
  <si>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</si>
  <si>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</si>
  <si>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</si>
  <si>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</si>
  <si>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</si>
  <si>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</si>
  <si>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</si>
  <si>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</si>
  <si>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</si>
  <si>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</si>
  <si>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</si>
  <si>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</si>
  <si>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</si>
  <si>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</si>
  <si>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</si>
  <si>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</si>
  <si>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</si>
  <si>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</si>
  <si>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</si>
  <si>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</si>
  <si>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</si>
  <si>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</si>
  <si>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</si>
  <si>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</si>
  <si>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</si>
  <si>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</si>
  <si>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</si>
  <si>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</si>
  <si>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</si>
  <si>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</si>
  <si>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</si>
  <si>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</si>
  <si>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</si>
  <si>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</si>
  <si>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</si>
  <si>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</si>
  <si>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</si>
  <si>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</si>
  <si>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</si>
  <si>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</si>
  <si>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</si>
  <si>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</si>
  <si>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</si>
  <si>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</si>
  <si>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</si>
  <si>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</si>
  <si>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</si>
  <si>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</si>
  <si>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</si>
  <si>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</si>
  <si>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</si>
  <si>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</si>
  <si>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</si>
  <si>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</si>
  <si>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</si>
  <si>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</si>
  <si>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</si>
  <si>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</si>
  <si>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</si>
  <si>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</si>
  <si>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</si>
  <si>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</si>
  <si>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</si>
  <si>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</si>
  <si>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</si>
  <si>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</si>
  <si>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</si>
  <si>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</si>
  <si>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</si>
  <si>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</si>
  <si>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</si>
  <si>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</si>
  <si>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</si>
  <si>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</si>
  <si>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</si>
  <si>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</si>
  <si>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</si>
  <si>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</si>
  <si>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</si>
  <si>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</si>
  <si>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</si>
  <si>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</si>
  <si>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</si>
  <si>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</si>
  <si>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</si>
  <si>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</si>
  <si>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</si>
  <si>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</si>
  <si>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</si>
  <si>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</si>
  <si>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</si>
  <si>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</si>
  <si>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</si>
  <si>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</si>
  <si>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</si>
  <si>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</si>
  <si>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</si>
  <si>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</si>
  <si>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</si>
  <si>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</si>
  <si>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</si>
  <si>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</si>
  <si>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</si>
  <si>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</si>
  <si>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</si>
  <si>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</si>
  <si>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</si>
  <si>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</si>
  <si>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</si>
  <si>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</si>
  <si>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</si>
  <si>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</si>
  <si>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</si>
  <si>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</si>
  <si>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</si>
  <si>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</si>
  <si>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</si>
  <si>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</si>
  <si>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</si>
  <si>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</si>
  <si>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</si>
  <si>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</si>
  <si>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</si>
  <si>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</si>
  <si>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</si>
  <si>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</si>
  <si>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</si>
  <si>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</si>
  <si>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</si>
  <si>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</si>
  <si>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</si>
  <si>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</si>
  <si>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</si>
  <si>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</si>
  <si>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</si>
  <si>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</si>
  <si>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</si>
  <si>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</si>
  <si>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</si>
  <si>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</si>
  <si>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</si>
  <si>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</si>
  <si>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</si>
  <si>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</si>
  <si>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</si>
  <si>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</si>
  <si>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</si>
  <si>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</si>
  <si>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</si>
  <si>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</si>
  <si>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</si>
  <si>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</si>
  <si>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</si>
  <si>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</si>
  <si>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</si>
  <si>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</si>
  <si>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</si>
  <si>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</si>
  <si>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</si>
  <si>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</si>
  <si>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</si>
  <si>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</si>
  <si>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</si>
  <si>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</si>
  <si>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</si>
  <si>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</si>
  <si>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</si>
  <si>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</si>
  <si>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</si>
  <si>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</si>
  <si>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</si>
  <si>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</si>
  <si>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</si>
  <si>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</si>
  <si>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</si>
  <si>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</si>
  <si>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</si>
  <si>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</si>
  <si>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</si>
  <si>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</si>
  <si>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</si>
  <si>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</si>
  <si>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</si>
  <si>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</si>
  <si>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</si>
  <si>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</si>
  <si>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</si>
  <si>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</si>
  <si>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</si>
  <si>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</si>
  <si>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</si>
  <si>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</si>
  <si>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</si>
  <si>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</si>
  <si>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</si>
  <si>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</si>
  <si>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</si>
  <si>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</si>
  <si>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</si>
  <si>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</si>
  <si>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</si>
  <si>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</si>
  <si>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</si>
  <si>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</si>
  <si>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</si>
  <si>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</si>
  <si>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</si>
  <si>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</si>
  <si>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</si>
  <si>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</si>
  <si>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</si>
  <si>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</si>
  <si>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</si>
  <si>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</si>
  <si>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</si>
  <si>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</si>
  <si>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</si>
  <si>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</si>
  <si>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</si>
  <si>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</si>
  <si>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</si>
  <si>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</si>
  <si>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</si>
  <si>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</si>
  <si>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</si>
  <si>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</si>
  <si>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</si>
  <si>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</si>
  <si>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</si>
  <si>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</si>
  <si>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</si>
  <si>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</si>
  <si>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</si>
  <si>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</si>
  <si>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</si>
  <si>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</si>
  <si>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</si>
  <si>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</si>
  <si>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</si>
  <si>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</si>
  <si>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</si>
  <si>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</si>
  <si>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</si>
  <si>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</si>
  <si>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</si>
  <si>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</si>
  <si>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</si>
  <si>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</si>
  <si>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</si>
  <si>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</si>
  <si>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</si>
  <si>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</si>
  <si>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</si>
  <si>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</si>
  <si>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</si>
  <si>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</si>
  <si>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</si>
  <si>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</si>
  <si>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</si>
  <si>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</si>
  <si>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</si>
  <si>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</si>
  <si>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</si>
  <si>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</si>
  <si>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</si>
  <si>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</si>
  <si>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</si>
  <si>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</si>
  <si>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</si>
  <si>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</si>
  <si>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</si>
  <si>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</si>
  <si>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</si>
  <si>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</si>
  <si>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</si>
  <si>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</si>
  <si>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</si>
  <si>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</si>
  <si>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</si>
  <si>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</si>
  <si>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</si>
  <si>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</si>
  <si>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</si>
  <si>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</si>
  <si>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</si>
  <si>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</si>
  <si>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</si>
  <si>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</si>
  <si>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</si>
  <si>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</si>
  <si>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</si>
  <si>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</si>
  <si>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</si>
  <si>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</si>
  <si>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</si>
  <si>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</si>
  <si>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</si>
  <si>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</si>
  <si>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</si>
  <si>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</si>
  <si>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</si>
  <si>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</si>
  <si>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</si>
  <si>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</si>
  <si>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</si>
  <si>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</si>
  <si>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</si>
  <si>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</si>
  <si>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</si>
  <si>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</si>
  <si>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</si>
  <si>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</si>
  <si>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</si>
  <si>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</si>
  <si>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</si>
  <si>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</si>
  <si>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</si>
  <si>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</si>
  <si>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</si>
  <si>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</si>
  <si>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</si>
  <si>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</si>
  <si>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</si>
  <si>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</si>
  <si>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</si>
  <si>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</si>
  <si>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</si>
  <si>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</si>
  <si>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</si>
  <si>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</si>
  <si>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</si>
  <si>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</si>
  <si>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</si>
  <si>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</si>
  <si>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</si>
  <si>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</si>
  <si>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</si>
  <si>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</si>
  <si>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</si>
  <si>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</si>
  <si>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</si>
  <si>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</si>
  <si>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</si>
  <si>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</si>
  <si>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</si>
  <si>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</si>
  <si>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</si>
  <si>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</si>
  <si>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</si>
  <si>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</si>
  <si>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</si>
  <si>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</si>
  <si>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</si>
  <si>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</si>
  <si>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</si>
  <si>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</si>
  <si>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</si>
  <si>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</si>
  <si>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</si>
  <si>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</si>
  <si>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</si>
  <si>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</si>
  <si>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</si>
  <si>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</si>
  <si>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</si>
  <si>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</si>
  <si>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</si>
  <si>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</si>
  <si>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</si>
  <si>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</si>
  <si>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</si>
  <si>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</si>
  <si>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</si>
  <si>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</si>
  <si>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</si>
  <si>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</si>
  <si>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</si>
  <si>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</si>
  <si>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</si>
  <si>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</si>
  <si>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</si>
  <si>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</si>
  <si>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</si>
  <si>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</si>
  <si>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</si>
  <si>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</si>
  <si>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</si>
  <si>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</si>
  <si>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</si>
  <si>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</si>
  <si>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</si>
  <si>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</si>
  <si>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</si>
  <si>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</si>
  <si>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</si>
  <si>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</si>
  <si>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</si>
  <si>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</si>
  <si>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</si>
  <si>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</si>
  <si>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</si>
  <si>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</si>
  <si>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</si>
  <si>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</si>
  <si>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</si>
  <si>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</si>
  <si>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</si>
  <si>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</si>
  <si>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</si>
  <si>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</si>
  <si>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</si>
  <si>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</si>
  <si>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</si>
  <si>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</si>
  <si>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</si>
  <si>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</si>
  <si>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</si>
  <si>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</si>
  <si>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</si>
  <si>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</si>
  <si>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</si>
  <si>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</si>
  <si>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</si>
  <si>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</si>
  <si>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</si>
  <si>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</si>
  <si>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</si>
  <si>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</si>
  <si>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</si>
  <si>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</si>
  <si>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</si>
  <si>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</si>
  <si>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</si>
  <si>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</si>
  <si>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</si>
  <si>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</si>
  <si>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</si>
  <si>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</si>
  <si>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</si>
  <si>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</si>
  <si>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</si>
  <si>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</si>
  <si>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</si>
  <si>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</si>
  <si>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</si>
  <si>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</si>
  <si>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</si>
  <si>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</si>
  <si>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</si>
  <si>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</si>
  <si>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</si>
  <si>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</si>
  <si>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</si>
  <si>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</si>
  <si>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</si>
  <si>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</si>
  <si>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</si>
  <si>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</si>
  <si>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</si>
  <si>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</si>
  <si>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</si>
  <si>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</si>
  <si>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</si>
  <si>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</si>
  <si>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</si>
  <si>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</si>
  <si>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</si>
  <si>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</si>
  <si>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</si>
  <si>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</si>
  <si>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</si>
  <si>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</si>
  <si>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</si>
  <si>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</si>
  <si>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</si>
  <si>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</si>
  <si>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</si>
  <si>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</si>
  <si>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</si>
  <si>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</si>
  <si>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</si>
  <si>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</si>
  <si>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</si>
  <si>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</si>
  <si>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</si>
  <si>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</si>
  <si>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</si>
  <si>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</si>
  <si>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</si>
  <si>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</si>
  <si>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</si>
  <si>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</si>
  <si>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</si>
  <si>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</si>
  <si>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</si>
  <si>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</si>
  <si>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</si>
  <si>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</si>
  <si>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</si>
  <si>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</si>
  <si>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</si>
  <si>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</si>
  <si>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</si>
  <si>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</si>
  <si>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</si>
  <si>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</si>
  <si>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</si>
  <si>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</si>
  <si>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</si>
  <si>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</si>
  <si>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</si>
  <si>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</si>
  <si>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</si>
  <si>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</si>
  <si>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</si>
  <si>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</si>
  <si>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</si>
  <si>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</si>
  <si>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</si>
  <si>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</si>
  <si>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</si>
  <si>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</si>
  <si>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</si>
  <si>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</si>
  <si>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</si>
  <si>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</si>
  <si>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</si>
  <si>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</si>
  <si>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</si>
  <si>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</si>
  <si>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</si>
  <si>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</si>
  <si>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</si>
  <si>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</si>
  <si>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</si>
  <si>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</si>
  <si>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</si>
  <si>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</si>
  <si>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</si>
  <si>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</si>
  <si>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</si>
  <si>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</si>
  <si>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</si>
  <si>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</si>
  <si>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</si>
  <si>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</si>
  <si>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</si>
  <si>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</si>
  <si>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</si>
  <si>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</si>
  <si>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</si>
  <si>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</si>
  <si>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</si>
  <si>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</si>
  <si>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</si>
  <si>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</si>
  <si>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</si>
  <si>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</si>
  <si>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</si>
  <si>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</si>
  <si>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</si>
  <si>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</si>
  <si>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</si>
  <si>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</si>
  <si>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</si>
  <si>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</si>
  <si>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</si>
  <si>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</si>
  <si>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</si>
  <si>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</si>
  <si>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</si>
  <si>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</si>
  <si>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</si>
  <si>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</si>
  <si>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</si>
  <si>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</si>
  <si>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</si>
  <si>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</si>
  <si>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</si>
  <si>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</si>
  <si>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</si>
  <si>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</si>
  <si>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</si>
  <si>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</si>
  <si>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</si>
  <si>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</si>
  <si>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</si>
  <si>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</si>
  <si>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</si>
  <si>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</si>
  <si>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</si>
  <si>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</si>
  <si>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</si>
  <si>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</si>
  <si>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</si>
  <si>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</si>
  <si>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</si>
  <si>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</si>
  <si>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</si>
  <si>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</si>
  <si>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</si>
  <si>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</si>
  <si>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</si>
  <si>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</si>
  <si>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</si>
  <si>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</si>
  <si>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</si>
  <si>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</si>
  <si>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</si>
  <si>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</si>
  <si>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</si>
  <si>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</si>
  <si>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</si>
  <si>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</si>
  <si>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</si>
  <si>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</si>
  <si>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</si>
  <si>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</si>
  <si>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</si>
  <si>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</si>
  <si>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</si>
  <si>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</si>
  <si>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</si>
  <si>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</si>
  <si>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</si>
  <si>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</si>
  <si>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</si>
  <si>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</si>
  <si>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</si>
  <si>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</si>
  <si>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</si>
  <si>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</si>
  <si>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</si>
  <si>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</si>
  <si>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</si>
  <si>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</si>
  <si>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</si>
  <si>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</si>
  <si>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</si>
  <si>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</si>
  <si>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</si>
  <si>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</si>
  <si>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</si>
  <si>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</si>
  <si>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</si>
  <si>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</si>
  <si>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</si>
  <si>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</si>
  <si>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</si>
  <si>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</si>
  <si>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</si>
  <si>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</si>
  <si>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</si>
  <si>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</si>
  <si>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</si>
  <si>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</si>
  <si>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</si>
  <si>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</si>
  <si>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</si>
  <si>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</si>
  <si>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</si>
  <si>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</si>
  <si>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</si>
  <si>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</si>
  <si>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</si>
  <si>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</si>
  <si>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</si>
  <si>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</si>
  <si>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</si>
  <si>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</si>
  <si>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</si>
  <si>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</si>
  <si>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</si>
  <si>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</si>
  <si>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</si>
  <si>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</si>
  <si>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</si>
  <si>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</si>
  <si>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</si>
  <si>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</si>
  <si>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</si>
  <si>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</si>
  <si>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</si>
  <si>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</si>
  <si>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</si>
  <si>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</si>
  <si>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</si>
  <si>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</si>
  <si>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</si>
  <si>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</si>
  <si>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</si>
  <si>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</si>
  <si>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</si>
  <si>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</si>
  <si>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</si>
  <si>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</si>
  <si>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</si>
  <si>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</si>
  <si>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</si>
  <si>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</si>
  <si>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</si>
  <si>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</si>
  <si>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</si>
  <si>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</si>
  <si>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</si>
  <si>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</si>
  <si>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</si>
  <si>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</si>
  <si>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</si>
  <si>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</si>
  <si>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</si>
  <si>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</si>
  <si>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</si>
  <si>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</si>
  <si>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</si>
  <si>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</si>
  <si>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</si>
  <si>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</si>
  <si>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</si>
  <si>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</si>
  <si>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</si>
  <si>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</si>
  <si>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</si>
  <si>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</si>
  <si>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</si>
  <si>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</si>
  <si>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</si>
  <si>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</si>
  <si>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</si>
  <si>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</si>
  <si>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</si>
  <si>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</si>
  <si>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</si>
  <si>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</si>
  <si>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</si>
  <si>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</si>
  <si>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</si>
  <si>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</si>
  <si>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</si>
  <si>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</si>
  <si>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</si>
  <si>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</si>
  <si>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</si>
  <si>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</si>
  <si>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</si>
  <si>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</si>
  <si>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</si>
  <si>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</si>
  <si>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</si>
  <si>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</si>
  <si>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</si>
  <si>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</si>
  <si>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</si>
  <si>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</si>
  <si>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</si>
  <si>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</si>
  <si>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</si>
  <si>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</si>
  <si>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</si>
  <si>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</si>
  <si>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</si>
  <si>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</si>
  <si>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</si>
  <si>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</si>
  <si>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</si>
  <si>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</si>
  <si>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</si>
  <si>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</si>
  <si>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</si>
  <si>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</si>
  <si>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</si>
  <si>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</si>
  <si>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</si>
  <si>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</si>
  <si>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</si>
  <si>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</si>
  <si>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</si>
  <si>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</si>
  <si>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</si>
  <si>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</si>
  <si>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</si>
  <si>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</si>
  <si>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</si>
  <si>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</si>
  <si>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</si>
  <si>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</si>
  <si>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</si>
  <si>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</si>
  <si>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</si>
  <si>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</si>
  <si>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</si>
  <si>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</si>
  <si>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</si>
  <si>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</si>
  <si>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</si>
  <si>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</si>
  <si>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</si>
  <si>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</si>
  <si>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</si>
  <si>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</si>
  <si>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</si>
  <si>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</si>
  <si>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</si>
  <si>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</si>
  <si>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</si>
  <si>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</si>
  <si>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</si>
  <si>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</si>
  <si>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</si>
  <si>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</si>
  <si>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</si>
  <si>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</si>
  <si>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</si>
  <si>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</si>
  <si>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</si>
  <si>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</si>
  <si>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</si>
  <si>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</si>
  <si>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</si>
  <si>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</si>
  <si>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</si>
  <si>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</si>
  <si>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</si>
  <si>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</si>
  <si>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</si>
  <si>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</si>
  <si>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</si>
  <si>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</si>
  <si>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</si>
  <si>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</si>
  <si>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</si>
  <si>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</si>
  <si>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</si>
  <si>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</si>
  <si>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</si>
  <si>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</si>
  <si>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</si>
  <si>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</si>
  <si>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</si>
  <si>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</si>
  <si>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</si>
  <si>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</si>
  <si>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</si>
  <si>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</si>
  <si>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</si>
  <si>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</si>
  <si>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</si>
  <si>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</si>
  <si>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</si>
  <si>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</si>
  <si>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</si>
  <si>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</si>
  <si>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</si>
  <si>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</si>
  <si>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</si>
  <si>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</si>
  <si>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</si>
  <si>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</si>
  <si>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</si>
  <si>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</si>
  <si>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</si>
  <si>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</si>
  <si>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</si>
  <si>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</si>
  <si>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</si>
  <si>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</si>
  <si>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</si>
  <si>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</si>
  <si>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</si>
  <si>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</si>
  <si>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</si>
  <si>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</si>
  <si>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</si>
  <si>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</si>
  <si>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</si>
  <si>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</si>
  <si>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</si>
  <si>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</si>
  <si>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</si>
  <si>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</si>
  <si>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</si>
  <si>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</si>
  <si>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</si>
  <si>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</si>
  <si>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</si>
  <si>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</si>
  <si>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</si>
  <si>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</si>
  <si>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</si>
  <si>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</si>
  <si>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</si>
  <si>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</si>
  <si>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</si>
  <si>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</si>
  <si>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</si>
  <si>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</si>
  <si>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</si>
  <si>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</si>
  <si>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</si>
  <si>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</si>
  <si>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</si>
  <si>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</si>
  <si>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</si>
  <si>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</si>
  <si>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</si>
  <si>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</si>
  <si>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</si>
  <si>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</si>
  <si>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</si>
  <si>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</si>
  <si>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</si>
  <si>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</si>
  <si>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</si>
  <si>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</si>
  <si>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</si>
  <si>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</si>
  <si>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</si>
  <si>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</si>
  <si>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</si>
  <si>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</si>
  <si>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</si>
  <si>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</si>
  <si>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</si>
  <si>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</si>
  <si>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</si>
  <si>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</si>
  <si>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</si>
  <si>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</si>
  <si>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</si>
  <si>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</si>
  <si>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</si>
  <si>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</si>
  <si>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</si>
  <si>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</si>
  <si>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</si>
  <si>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</si>
  <si>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</si>
  <si>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</si>
  <si>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</si>
  <si>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</si>
  <si>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</si>
  <si>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</si>
  <si>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</si>
  <si>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</si>
  <si>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</si>
  <si>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</si>
  <si>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</si>
  <si>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</si>
  <si>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</si>
  <si>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</si>
  <si>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</si>
  <si>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</si>
  <si>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</si>
  <si>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</si>
  <si>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</si>
  <si>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</si>
  <si>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</si>
  <si>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</si>
  <si>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</si>
  <si>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</si>
  <si>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</si>
  <si>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</si>
  <si>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</si>
  <si>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</si>
  <si>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</si>
  <si>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</si>
  <si>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</si>
  <si>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</si>
  <si>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</si>
  <si>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</si>
  <si>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</si>
  <si>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</si>
  <si>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</si>
  <si>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</si>
  <si>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</si>
  <si>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</si>
  <si>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</si>
  <si>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</si>
  <si>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</si>
  <si>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</si>
  <si>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</si>
  <si>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</si>
  <si>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</si>
  <si>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</si>
  <si>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</si>
  <si>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</si>
  <si>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</si>
  <si>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</si>
  <si>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</si>
  <si>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</si>
  <si>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</si>
  <si>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</si>
  <si>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</si>
  <si>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</si>
  <si>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</si>
  <si>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</si>
  <si>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</si>
  <si>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</si>
  <si>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</si>
  <si>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</si>
  <si>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</si>
  <si>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</si>
  <si>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</si>
  <si>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</si>
  <si>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</si>
  <si>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</si>
  <si>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</si>
  <si>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</si>
  <si>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</si>
  <si>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</si>
  <si>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</si>
  <si>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</si>
  <si>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</si>
  <si>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</si>
  <si>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</si>
  <si>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</si>
  <si>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</si>
  <si>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</si>
  <si>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</si>
  <si>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</si>
  <si>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</si>
  <si>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</si>
  <si>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</si>
  <si>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</si>
  <si>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</si>
  <si>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</si>
  <si>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</si>
  <si>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</si>
  <si>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</si>
  <si>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</si>
  <si>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</si>
  <si>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</si>
  <si>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</si>
  <si>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</si>
  <si>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</si>
  <si>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</si>
  <si>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</si>
  <si>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</si>
  <si>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</si>
  <si>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</si>
  <si>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</si>
  <si>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</si>
  <si>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</si>
  <si>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</si>
  <si>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</si>
  <si>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</si>
  <si>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</si>
  <si>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</si>
  <si>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</si>
  <si>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</si>
  <si>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</si>
  <si>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</si>
  <si>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</si>
  <si>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</si>
  <si>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</si>
  <si>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</si>
  <si>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</si>
  <si>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</si>
  <si>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</si>
  <si>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</si>
  <si>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</si>
  <si>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</si>
  <si>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</si>
  <si>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</si>
  <si>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</si>
  <si>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</si>
  <si>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</si>
  <si>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</si>
  <si>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</si>
  <si>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</si>
  <si>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</si>
  <si>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</si>
  <si>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</si>
  <si>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</si>
  <si>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</si>
  <si>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</si>
  <si>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</si>
  <si>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</si>
  <si>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</si>
  <si>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</si>
  <si>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</si>
  <si>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</si>
  <si>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</si>
  <si>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</si>
  <si>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</si>
  <si>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</si>
  <si>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</si>
  <si>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</si>
  <si>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</si>
  <si>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</si>
  <si>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</si>
  <si>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</si>
  <si>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</si>
  <si>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</si>
  <si>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</si>
  <si>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</si>
  <si>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</si>
  <si>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</si>
  <si>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</si>
  <si>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</si>
  <si>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</si>
  <si>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</si>
  <si>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</si>
  <si>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</si>
  <si>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</si>
  <si>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</si>
  <si>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</si>
  <si>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</si>
  <si>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</si>
  <si>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</si>
  <si>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</si>
  <si>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</si>
  <si>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</si>
  <si>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</si>
  <si>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</si>
  <si>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</si>
  <si>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</si>
  <si>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</si>
  <si>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</si>
  <si>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</si>
  <si>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</si>
  <si>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</si>
  <si>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</si>
  <si>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</si>
  <si>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</si>
  <si>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</si>
  <si>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</si>
  <si>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</si>
  <si>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</si>
  <si>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</si>
  <si>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</si>
  <si>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</si>
  <si>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</si>
  <si>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</si>
  <si>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</si>
  <si>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</si>
  <si>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</si>
  <si>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</si>
  <si>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</si>
  <si>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</si>
  <si>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</si>
  <si>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</si>
  <si>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</si>
  <si>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</si>
  <si>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</si>
  <si>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</si>
  <si>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</si>
  <si>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</si>
  <si>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</si>
  <si>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</si>
  <si>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</si>
  <si>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</si>
  <si>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</si>
  <si>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</si>
  <si>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</si>
  <si>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</si>
  <si>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</si>
  <si>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</si>
  <si>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</si>
  <si>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</si>
  <si>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</si>
  <si>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</si>
  <si>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</si>
  <si>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</si>
  <si>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</si>
  <si>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</si>
  <si>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</si>
  <si>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</si>
  <si>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</si>
  <si>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</si>
  <si>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</si>
  <si>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</si>
  <si>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</si>
  <si>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</si>
  <si>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</si>
  <si>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</si>
  <si>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</si>
  <si>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</si>
  <si>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</si>
  <si>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</si>
  <si>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</si>
  <si>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</si>
  <si>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</si>
  <si>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</si>
  <si>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</si>
  <si>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</si>
  <si>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</si>
  <si>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</si>
  <si>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</si>
  <si>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</si>
  <si>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</si>
  <si>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</si>
  <si>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</si>
  <si>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</si>
  <si>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</si>
  <si>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</si>
  <si>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</si>
  <si>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</si>
  <si>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</si>
  <si>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</si>
  <si>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</si>
  <si>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</si>
  <si>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</si>
  <si>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</si>
  <si>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</si>
  <si>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</si>
  <si>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</si>
  <si>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</si>
  <si>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</si>
  <si>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</si>
  <si>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</si>
  <si>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</si>
  <si>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</si>
  <si>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</si>
  <si>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</si>
  <si>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</si>
  <si>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</si>
  <si>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</si>
  <si>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</si>
  <si>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</si>
  <si>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</si>
  <si>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</si>
  <si>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</si>
  <si>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</si>
  <si>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</si>
  <si>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</si>
  <si>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</si>
  <si>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</si>
  <si>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</si>
  <si>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</si>
  <si>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</si>
  <si>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</si>
  <si>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</si>
  <si>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</si>
  <si>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</si>
  <si>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</si>
  <si>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</si>
  <si>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</si>
  <si>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</si>
  <si>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</si>
  <si>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</si>
  <si>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</si>
  <si>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</si>
  <si>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</si>
  <si>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</si>
  <si>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</si>
  <si>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</si>
  <si>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</si>
  <si>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</si>
  <si>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</si>
  <si>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</si>
  <si>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</si>
  <si>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</si>
  <si>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</si>
  <si>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</si>
  <si>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</si>
  <si>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</si>
  <si>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</si>
  <si>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</si>
  <si>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</si>
  <si>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</si>
  <si>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</si>
  <si>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</si>
  <si>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</si>
  <si>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</si>
  <si>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</si>
  <si>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</si>
  <si>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</si>
  <si>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</si>
  <si>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</si>
  <si>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</si>
  <si>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</si>
  <si>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</si>
  <si>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</si>
  <si>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</si>
  <si>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</si>
  <si>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</si>
  <si>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</si>
  <si>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</si>
  <si>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</si>
  <si>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</si>
  <si>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</si>
  <si>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</si>
  <si>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</si>
  <si>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</si>
  <si>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</si>
  <si>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</si>
  <si>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</si>
  <si>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</si>
  <si>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</si>
  <si>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</si>
  <si>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</si>
  <si>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</si>
  <si>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</si>
  <si>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</si>
  <si>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</si>
  <si>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</si>
  <si>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</si>
  <si>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</si>
  <si>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</si>
  <si>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</si>
  <si>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</si>
  <si>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</si>
  <si>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</si>
  <si>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</si>
  <si>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</si>
  <si>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</si>
  <si>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</si>
  <si>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</si>
  <si>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</si>
  <si>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</si>
  <si>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</si>
  <si>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</si>
  <si>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</si>
  <si>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</si>
  <si>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</si>
  <si>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</si>
  <si>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</si>
  <si>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</si>
  <si>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</si>
  <si>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</si>
  <si>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</si>
  <si>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</si>
  <si>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</si>
  <si>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</si>
  <si>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</si>
  <si>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</si>
  <si>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</si>
  <si>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</si>
  <si>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</si>
  <si>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</si>
  <si>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</si>
  <si>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</si>
  <si>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</si>
  <si>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</si>
  <si>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</si>
  <si>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</si>
  <si>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</si>
  <si>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</si>
  <si>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</si>
  <si>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</si>
  <si>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</si>
  <si>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</si>
  <si>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</si>
  <si>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</si>
  <si>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</si>
  <si>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</si>
  <si>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</si>
  <si>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</si>
  <si>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</si>
  <si>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</si>
  <si>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</si>
  <si>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</si>
  <si>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</si>
  <si>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</si>
  <si>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</si>
  <si>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</si>
  <si>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</si>
  <si>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</si>
  <si>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</si>
  <si>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</si>
  <si>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</si>
  <si>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</si>
  <si>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</si>
  <si>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</si>
  <si>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</si>
  <si>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</si>
  <si>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</si>
  <si>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</si>
  <si>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</si>
  <si>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</si>
  <si>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</si>
  <si>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</si>
  <si>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</si>
  <si>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</si>
  <si>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</si>
  <si>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</si>
  <si>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</si>
  <si>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</si>
  <si>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</si>
  <si>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</si>
  <si>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</si>
  <si>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</si>
  <si>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</si>
  <si>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</si>
  <si>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</si>
  <si>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</si>
  <si>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</si>
  <si>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</si>
  <si>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</si>
  <si>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</si>
  <si>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</si>
  <si>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</si>
  <si>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</si>
  <si>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</si>
  <si>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</si>
  <si>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</si>
  <si>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</si>
  <si>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</si>
  <si>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</si>
  <si>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</si>
  <si>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</si>
  <si>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</si>
  <si>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</si>
  <si>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</si>
  <si>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</si>
  <si>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</si>
  <si>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</si>
  <si>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</si>
  <si>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</si>
  <si>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</si>
  <si>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</si>
  <si>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</si>
  <si>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</si>
  <si>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</si>
  <si>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</si>
  <si>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</si>
  <si>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</si>
  <si>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</si>
  <si>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</si>
  <si>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</si>
  <si>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</si>
  <si>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</si>
  <si>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</si>
  <si>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</si>
  <si>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</si>
  <si>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</si>
  <si>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</si>
  <si>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</si>
  <si>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</si>
  <si>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</si>
  <si>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</si>
  <si>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</si>
  <si>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</si>
  <si>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</si>
  <si>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</si>
  <si>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</si>
  <si>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</si>
  <si>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</si>
  <si>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</si>
  <si>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</si>
  <si>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</si>
  <si>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</si>
  <si>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</si>
  <si>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</si>
  <si>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</si>
  <si>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</si>
  <si>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</si>
  <si>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</si>
  <si>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</si>
  <si>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</si>
  <si>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</si>
  <si>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</si>
  <si>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</si>
  <si>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</si>
  <si>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</si>
  <si>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</si>
  <si>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</si>
  <si>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</si>
  <si>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</si>
  <si>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</si>
  <si>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</si>
  <si>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</si>
  <si>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</si>
  <si>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</si>
  <si>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</si>
  <si>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</si>
  <si>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</si>
  <si>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</si>
  <si>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</si>
  <si>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</si>
  <si>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</si>
  <si>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</si>
  <si>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</si>
  <si>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</si>
  <si>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</si>
  <si>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</si>
  <si>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</si>
  <si>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</si>
  <si>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</si>
  <si>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</si>
  <si>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</si>
  <si>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</si>
  <si>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</si>
  <si>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</si>
  <si>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</si>
  <si>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</si>
  <si>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</si>
  <si>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</si>
  <si>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</si>
  <si>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</si>
  <si>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</si>
  <si>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</si>
  <si>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</si>
  <si>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</si>
  <si>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</si>
  <si>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</si>
  <si>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</si>
  <si>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</si>
  <si>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</si>
  <si>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</si>
  <si>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</si>
  <si>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</si>
  <si>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</si>
  <si>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</si>
  <si>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</si>
  <si>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</si>
  <si>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</si>
  <si>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</si>
  <si>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</si>
  <si>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</si>
  <si>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</si>
  <si>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</si>
  <si>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</si>
  <si>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</si>
  <si>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</si>
  <si>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</si>
  <si>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</si>
  <si>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</si>
  <si>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</si>
  <si>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</si>
  <si>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</si>
  <si>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</si>
  <si>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</si>
  <si>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</si>
  <si>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</si>
  <si>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</si>
  <si>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</si>
  <si>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</si>
  <si>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</si>
  <si>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</si>
  <si>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</si>
  <si>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</si>
  <si>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</si>
  <si>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</si>
  <si>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</si>
  <si>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</si>
  <si>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</si>
  <si>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</si>
  <si>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</si>
  <si>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</si>
  <si>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</si>
  <si>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</si>
  <si>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</si>
  <si>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</si>
  <si>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</si>
  <si>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</si>
  <si>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</si>
  <si>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</si>
  <si>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</si>
  <si>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</si>
  <si>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</si>
  <si>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</si>
  <si>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</si>
  <si>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</si>
  <si>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</si>
  <si>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</si>
  <si>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</si>
  <si>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</si>
  <si>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</si>
  <si>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</si>
  <si>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</si>
  <si>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</si>
  <si>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</si>
  <si>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</si>
  <si>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</si>
  <si>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</si>
  <si>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</si>
  <si>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</si>
  <si>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</si>
  <si>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</si>
  <si>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</si>
  <si>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</si>
  <si>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</si>
  <si>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</si>
  <si>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</si>
  <si>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</si>
  <si>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</si>
  <si>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</si>
  <si>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</si>
  <si>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</si>
  <si>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</si>
  <si>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</si>
  <si>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</si>
  <si>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</si>
  <si>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</si>
  <si>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</si>
  <si>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</si>
  <si>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</si>
  <si>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</si>
  <si>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</si>
  <si>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</si>
  <si>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</si>
  <si>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</si>
  <si>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</si>
  <si>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</si>
  <si>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</si>
  <si>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</si>
  <si>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</si>
  <si>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</si>
  <si>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</si>
  <si>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</si>
  <si>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</si>
  <si>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</si>
  <si>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</si>
  <si>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</si>
  <si>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</si>
  <si>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</si>
  <si>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</si>
  <si>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</si>
  <si>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</si>
  <si>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</si>
  <si>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</si>
  <si>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</si>
  <si>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</si>
  <si>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</si>
  <si>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</si>
  <si>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</si>
  <si>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</si>
  <si>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</si>
  <si>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</si>
  <si>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</si>
  <si>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</si>
  <si>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</si>
  <si>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</si>
  <si>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</si>
  <si>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</si>
  <si>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</si>
  <si>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</si>
  <si>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</si>
  <si>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</si>
  <si>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</si>
  <si>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</si>
  <si>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</si>
  <si>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</si>
  <si>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</si>
  <si>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</si>
  <si>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</si>
  <si>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</si>
  <si>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</si>
  <si>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</si>
  <si>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</si>
  <si>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</si>
  <si>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</si>
  <si>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</si>
  <si>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</si>
  <si>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</si>
  <si>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</si>
  <si>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</si>
  <si>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</si>
  <si>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</si>
  <si>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</si>
  <si>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</si>
  <si>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</si>
  <si>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</si>
  <si>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</si>
  <si>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</si>
  <si>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</si>
  <si>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</si>
  <si>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</si>
  <si>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</si>
  <si>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</si>
  <si>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</si>
  <si>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</si>
  <si>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</si>
  <si>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</si>
  <si>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</si>
  <si>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</si>
  <si>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</si>
  <si>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</si>
  <si>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</si>
  <si>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</si>
  <si>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</si>
  <si>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</si>
  <si>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</si>
  <si>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</si>
  <si>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</si>
  <si>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</si>
  <si>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</si>
  <si>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</si>
  <si>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</si>
  <si>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</si>
  <si>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</si>
  <si>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</si>
  <si>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</si>
  <si>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</si>
  <si>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</si>
  <si>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</si>
  <si>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</si>
  <si>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</si>
  <si>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</si>
  <si>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</si>
  <si>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</si>
  <si>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</si>
  <si>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</si>
  <si>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</si>
  <si>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</si>
  <si>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</si>
  <si>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</si>
  <si>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</si>
  <si>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</si>
  <si>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</si>
  <si>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</si>
  <si>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</si>
  <si>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</si>
  <si>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</si>
  <si>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</si>
  <si>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</si>
  <si>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</si>
  <si>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</si>
  <si>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</si>
  <si>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</si>
  <si>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</si>
  <si>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</si>
  <si>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</si>
  <si>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</si>
  <si>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</si>
  <si>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</si>
  <si>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</si>
  <si>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</si>
  <si>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</si>
  <si>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</si>
  <si>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</si>
  <si>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</si>
  <si>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</si>
  <si>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</si>
  <si>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</si>
  <si>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</si>
  <si>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</si>
  <si>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</si>
  <si>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</si>
  <si>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</si>
  <si>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</si>
  <si>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</si>
  <si>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</si>
  <si>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</si>
  <si>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</si>
  <si>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</si>
  <si>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</si>
  <si>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</si>
  <si>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</si>
  <si>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</si>
  <si>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</si>
  <si>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</si>
  <si>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</si>
  <si>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</si>
  <si>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</si>
  <si>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</si>
  <si>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</si>
  <si>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</si>
  <si>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</si>
  <si>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</si>
  <si>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</si>
  <si>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</si>
  <si>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</si>
  <si>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</si>
  <si>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</si>
  <si>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</si>
  <si>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</si>
  <si>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</si>
  <si>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</si>
  <si>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</si>
  <si>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</si>
  <si>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</si>
  <si>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</si>
  <si>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</si>
  <si>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</si>
  <si>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</si>
  <si>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</si>
  <si>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</si>
  <si>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</si>
  <si>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</si>
  <si>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</si>
  <si>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</si>
  <si>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</si>
  <si>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</si>
  <si>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</si>
  <si>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</si>
  <si>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</si>
  <si>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</si>
  <si>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</si>
  <si>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</si>
  <si>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</si>
  <si>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</si>
  <si>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</si>
  <si>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</si>
  <si>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</si>
  <si>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</si>
  <si>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</si>
  <si>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</si>
  <si>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</si>
  <si>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</si>
  <si>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</si>
  <si>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</si>
  <si>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</si>
  <si>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</si>
  <si>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</si>
  <si>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</si>
  <si>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</si>
  <si>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</si>
  <si>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</si>
  <si>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</si>
  <si>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</si>
  <si>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</si>
  <si>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</si>
  <si>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</si>
  <si>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</si>
  <si>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</si>
  <si>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</si>
  <si>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</si>
  <si>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</si>
  <si>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</si>
  <si>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</si>
  <si>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</si>
  <si>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</si>
  <si>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</si>
  <si>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</si>
  <si>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</si>
  <si>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</si>
  <si>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</si>
  <si>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</si>
  <si>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</si>
  <si>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</si>
  <si>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</si>
  <si>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</si>
  <si>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</si>
  <si>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</si>
  <si>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</si>
  <si>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</si>
  <si>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</si>
  <si>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</si>
  <si>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</si>
  <si>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</si>
  <si>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</si>
  <si>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</si>
  <si>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</si>
  <si>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</si>
  <si>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</si>
  <si>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</si>
  <si>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</si>
  <si>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</si>
  <si>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</si>
  <si>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</si>
  <si>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</si>
  <si>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</si>
  <si>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</si>
  <si>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</si>
  <si>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</si>
  <si>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</si>
  <si>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</si>
  <si>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</si>
  <si>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</si>
  <si>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</si>
  <si>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</si>
  <si>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</si>
  <si>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</si>
  <si>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</si>
  <si>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</si>
  <si>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</si>
  <si>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</si>
  <si>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</si>
  <si>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</si>
  <si>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</si>
  <si>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</si>
  <si>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</si>
  <si>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</si>
  <si>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</si>
  <si>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</si>
  <si>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</si>
  <si>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</si>
  <si>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</si>
  <si>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</si>
  <si>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</si>
  <si>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</si>
  <si>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</si>
  <si>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</si>
  <si>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</si>
  <si>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</si>
  <si>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</si>
  <si>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</si>
  <si>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</si>
  <si>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</si>
  <si>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</si>
  <si>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</si>
  <si>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</si>
  <si>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</si>
  <si>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</si>
  <si>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</si>
  <si>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</si>
  <si>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</si>
  <si>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</si>
  <si>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</si>
  <si>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</si>
  <si>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</si>
  <si>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</si>
  <si>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</si>
  <si>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</si>
  <si>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</si>
  <si>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</si>
  <si>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</si>
  <si>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</si>
  <si>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</si>
  <si>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</si>
  <si>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</si>
  <si>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</si>
  <si>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</si>
  <si>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</si>
  <si>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</si>
  <si>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</si>
  <si>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</si>
  <si>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</si>
  <si>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</si>
  <si>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</si>
  <si>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</si>
  <si>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</si>
  <si>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</si>
  <si>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</si>
  <si>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</si>
  <si>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</si>
  <si>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</si>
  <si>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</si>
  <si>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</si>
  <si>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</si>
  <si>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</si>
  <si>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</si>
  <si>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</si>
  <si>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</si>
  <si>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</si>
  <si>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</si>
  <si>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</si>
  <si>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</si>
  <si>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</si>
  <si>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</si>
  <si>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</si>
  <si>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</si>
  <si>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</si>
  <si>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</si>
  <si>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</si>
  <si>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</si>
  <si>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</si>
  <si>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</si>
  <si>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</si>
  <si>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</si>
  <si>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</si>
  <si>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</si>
  <si>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</si>
  <si>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</si>
  <si>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</si>
  <si>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</si>
  <si>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</si>
  <si>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</si>
  <si>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</si>
  <si>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</si>
  <si>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</si>
  <si>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</si>
  <si>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</si>
  <si>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</si>
  <si>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</si>
  <si>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</si>
  <si>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</si>
  <si>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</si>
  <si>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</si>
  <si>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</si>
  <si>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</si>
  <si>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</si>
  <si>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</si>
  <si>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</si>
  <si>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</si>
  <si>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</si>
  <si>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</si>
  <si>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</si>
  <si>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</si>
  <si>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</si>
  <si>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</si>
  <si>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</si>
  <si>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</si>
  <si>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</si>
  <si>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</si>
  <si>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</si>
  <si>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</si>
  <si>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</si>
  <si>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</si>
  <si>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</si>
  <si>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</si>
  <si>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</si>
  <si>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</si>
  <si>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</si>
  <si>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</si>
  <si>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</si>
  <si>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</si>
  <si>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</si>
  <si>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</si>
  <si>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</si>
  <si>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</si>
  <si>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</si>
  <si>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</si>
  <si>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</si>
  <si>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</si>
  <si>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</si>
  <si>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</si>
  <si>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</si>
  <si>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</si>
  <si>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</si>
  <si>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</si>
  <si>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</si>
  <si>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</si>
  <si>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</si>
  <si>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</si>
  <si>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</si>
  <si>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</si>
  <si>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</si>
  <si>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</si>
  <si>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</si>
  <si>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</si>
  <si>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</si>
  <si>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</si>
  <si>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</si>
  <si>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</si>
  <si>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</si>
  <si>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</si>
  <si>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</si>
  <si>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</si>
  <si>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</si>
  <si>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</si>
  <si>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</si>
  <si>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</si>
  <si>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</si>
  <si>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</si>
  <si>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</si>
  <si>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</si>
  <si>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</si>
  <si>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</si>
  <si>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</si>
  <si>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</si>
  <si>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</si>
  <si>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</si>
  <si>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</si>
  <si>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</si>
  <si>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</si>
  <si>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</si>
  <si>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</si>
  <si>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</si>
  <si>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</si>
  <si>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</si>
  <si>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</si>
  <si>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</si>
  <si>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</si>
  <si>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</si>
  <si>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</si>
  <si>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</si>
  <si>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</si>
  <si>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</si>
  <si>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</si>
  <si>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</si>
  <si>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</si>
  <si>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</si>
  <si>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</si>
  <si>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</si>
  <si>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</si>
  <si>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</si>
  <si>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</si>
  <si>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</si>
  <si>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</si>
  <si>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</si>
  <si>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</si>
  <si>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</si>
  <si>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</si>
  <si>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</si>
  <si>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</si>
  <si>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</si>
  <si>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</si>
  <si>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</si>
  <si>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</si>
  <si>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</si>
  <si>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</si>
  <si>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</si>
  <si>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</si>
  <si>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</si>
  <si>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</si>
  <si>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</si>
  <si>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</si>
  <si>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</si>
  <si>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</si>
  <si>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</si>
  <si>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</si>
  <si>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</si>
  <si>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</si>
  <si>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</si>
  <si>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</si>
  <si>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</si>
  <si>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</si>
  <si>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</si>
  <si>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</si>
  <si>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</si>
  <si>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</si>
  <si>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</si>
  <si>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</si>
  <si>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</si>
  <si>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</si>
  <si>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</si>
  <si>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</si>
  <si>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</si>
  <si>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</si>
  <si>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</si>
  <si>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</si>
  <si>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</si>
  <si>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</si>
  <si>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</si>
  <si>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</si>
  <si>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</si>
  <si>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</si>
  <si>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</si>
  <si>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</si>
  <si>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</si>
  <si>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</si>
  <si>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</si>
  <si>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</si>
  <si>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</si>
  <si>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</si>
  <si>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</si>
  <si>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</si>
  <si>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</si>
  <si>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</si>
  <si>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</si>
  <si>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</si>
  <si>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</si>
  <si>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</si>
  <si>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</si>
  <si>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</si>
  <si>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</si>
  <si>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</si>
  <si>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</si>
  <si>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</si>
  <si>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</si>
  <si>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</si>
  <si>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</si>
  <si>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</si>
  <si>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</si>
  <si>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</si>
  <si>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</si>
  <si>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</si>
  <si>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</si>
  <si>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</si>
  <si>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</si>
  <si>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</si>
  <si>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</si>
  <si>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</si>
  <si>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</si>
  <si>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</si>
  <si>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</si>
  <si>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</si>
  <si>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</si>
  <si>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</si>
  <si>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</si>
  <si>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</si>
  <si>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</si>
  <si>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</si>
  <si>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</si>
  <si>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</si>
  <si>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</si>
  <si>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</si>
  <si>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</si>
  <si>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</si>
  <si>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</si>
  <si>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</si>
  <si>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</si>
  <si>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</si>
  <si>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</si>
  <si>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</si>
  <si>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</si>
  <si>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</si>
  <si>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</si>
  <si>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</si>
  <si>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</si>
  <si>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</si>
  <si>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</si>
  <si>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</si>
  <si>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</si>
  <si>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</si>
  <si>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</si>
  <si>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</si>
  <si>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</si>
  <si>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</si>
  <si>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</si>
  <si>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</si>
  <si>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</si>
  <si>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</si>
  <si>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</si>
  <si>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</si>
  <si>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</si>
  <si>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</si>
  <si>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</si>
  <si>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</si>
  <si>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</si>
  <si>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</si>
  <si>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</si>
  <si>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</si>
  <si>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</si>
  <si>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</si>
  <si>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</si>
  <si>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</si>
  <si>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</si>
  <si>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</si>
  <si>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</si>
  <si>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</si>
  <si>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</si>
  <si>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</si>
  <si>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</si>
  <si>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</si>
  <si>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</si>
  <si>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</si>
  <si>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</si>
  <si>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</si>
  <si>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</si>
  <si>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</si>
  <si>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</si>
  <si>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</si>
  <si>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</si>
  <si>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</si>
  <si>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</si>
  <si>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</si>
  <si>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</si>
  <si>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</si>
  <si>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</si>
  <si>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</si>
  <si>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</si>
  <si>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</si>
  <si>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</si>
  <si>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</si>
  <si>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</si>
  <si>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</si>
  <si>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</si>
  <si>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</si>
  <si>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</si>
  <si>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</si>
  <si>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</si>
  <si>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</si>
  <si>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</si>
  <si>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</si>
  <si>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</si>
  <si>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</si>
  <si>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</si>
  <si>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</si>
  <si>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</si>
  <si>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</si>
  <si>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</si>
  <si>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</si>
  <si>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</si>
  <si>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</si>
  <si>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</si>
  <si>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</si>
  <si>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</si>
  <si>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</si>
  <si>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</si>
  <si>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</si>
  <si>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</si>
  <si>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</si>
  <si>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</si>
  <si>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</si>
  <si>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</si>
  <si>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</si>
  <si>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</si>
  <si>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地下商业</t>
  </si>
  <si>
    <t>地下商业</t>
    <phoneticPr fontId="3" type="noConversion"/>
  </si>
  <si>
    <t>地下车库</t>
    <phoneticPr fontId="3" type="noConversion"/>
  </si>
  <si>
    <t>是</t>
  </si>
  <si>
    <t>地下</t>
  </si>
  <si>
    <t>独立商业</t>
  </si>
  <si>
    <t>车库—商业</t>
  </si>
  <si>
    <t>车库</t>
  </si>
  <si>
    <t>地下商业</t>
    <phoneticPr fontId="7" type="noConversion"/>
  </si>
  <si>
    <t>地下车库</t>
    <phoneticPr fontId="7" type="noConversion"/>
  </si>
  <si>
    <t>成新度</t>
  </si>
  <si>
    <t>收益法-车位</t>
  </si>
  <si>
    <t>收益法-车位</t>
    <phoneticPr fontId="16" type="noConversion"/>
  </si>
  <si>
    <t>自定义容积率</t>
  </si>
  <si>
    <t>不临58条商业街</t>
  </si>
  <si>
    <t>有</t>
  </si>
  <si>
    <t>无</t>
  </si>
  <si>
    <t>500-1000米</t>
  </si>
  <si>
    <t>六通一平</t>
  </si>
  <si>
    <t>缺少</t>
  </si>
  <si>
    <t>通热</t>
  </si>
  <si>
    <t>容积率修正</t>
  </si>
  <si>
    <t>通路</t>
  </si>
  <si>
    <t>通电</t>
  </si>
  <si>
    <t>通讯</t>
  </si>
  <si>
    <t>通上水</t>
  </si>
  <si>
    <t>通下水</t>
  </si>
  <si>
    <t>燃气</t>
  </si>
  <si>
    <t>未包含在土地购买价格中</t>
  </si>
  <si>
    <t>已包含在土地取得成本中</t>
  </si>
  <si>
    <t>全部缴纳</t>
  </si>
  <si>
    <t>押一</t>
  </si>
  <si>
    <t>钢混</t>
  </si>
  <si>
    <t>非生产用房</t>
  </si>
  <si>
    <t>收益法</t>
  </si>
  <si>
    <t>现房</t>
  </si>
  <si>
    <t>项目局部</t>
  </si>
  <si>
    <t>成本法</t>
  </si>
  <si>
    <t>比较法-车位</t>
  </si>
  <si>
    <t>售价</t>
  </si>
  <si>
    <t>正常</t>
    <phoneticPr fontId="32" type="noConversion"/>
  </si>
  <si>
    <t>车库</t>
    <phoneticPr fontId="32" type="noConversion"/>
  </si>
  <si>
    <t>30-40（含）</t>
  </si>
  <si>
    <t>较好</t>
  </si>
  <si>
    <t>好</t>
  </si>
  <si>
    <t>七通</t>
  </si>
  <si>
    <t>较好</t>
    <phoneticPr fontId="32" type="noConversion"/>
  </si>
  <si>
    <t>好</t>
    <phoneticPr fontId="32" type="noConversion"/>
  </si>
  <si>
    <t>七通</t>
    <phoneticPr fontId="32" type="noConversion"/>
  </si>
  <si>
    <t>精装</t>
    <phoneticPr fontId="32" type="noConversion"/>
  </si>
  <si>
    <t>专业</t>
    <phoneticPr fontId="32" type="noConversion"/>
  </si>
  <si>
    <t>商业</t>
    <phoneticPr fontId="32" type="noConversion"/>
  </si>
  <si>
    <t>办公</t>
    <phoneticPr fontId="32" type="noConversion"/>
  </si>
  <si>
    <t>住宅</t>
    <phoneticPr fontId="32" type="noConversion"/>
  </si>
  <si>
    <t>商业</t>
    <phoneticPr fontId="32" type="noConversion"/>
  </si>
  <si>
    <t>办公</t>
    <phoneticPr fontId="32" type="noConversion"/>
  </si>
  <si>
    <t>批发零售用地</t>
  </si>
  <si>
    <t>一般</t>
  </si>
  <si>
    <t>较好</t>
    <phoneticPr fontId="79" type="noConversion"/>
  </si>
  <si>
    <t>地下商业（未出租）</t>
  </si>
  <si>
    <t>地下商业（未出租）</t>
    <phoneticPr fontId="3" type="noConversion"/>
  </si>
  <si>
    <t>地下商业（未出租）</t>
    <phoneticPr fontId="7" type="noConversion"/>
  </si>
  <si>
    <t>成本法-未出租</t>
  </si>
  <si>
    <t>成本法-未出租</t>
    <phoneticPr fontId="16" type="noConversion"/>
  </si>
  <si>
    <t>收益法-未出租</t>
  </si>
  <si>
    <t>收益法-未出租</t>
    <phoneticPr fontId="16" type="noConversion"/>
  </si>
  <si>
    <t>基准地价修正-未出租</t>
    <phoneticPr fontId="16"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</si>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</sst>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30" fillId="5" borderId="1" xfId="0" applyFont="1" applyFill="1" applyBorder="1" applyAlignment="1" applyProtection="1">
      <alignment horizontal="center" vertical="center" wrapText="1"/>
      <protection locked="0"/>
    </xf>
    <xf numFmtId="176" fontId="50" fillId="14"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85;&#22363;&#20013;&#24515;&#19968;&#23457;-&#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Sheet4"/>
      <sheetName val="系统读取表"/>
      <sheetName val="结果表-酒店配套"/>
      <sheetName val="结果表-办公"/>
      <sheetName val="结果表-车库"/>
      <sheetName val="结果表-地下商业"/>
      <sheetName val="成本法 (元)"/>
      <sheetName val="假设开发法"/>
      <sheetName val="成本法-酒店配套"/>
      <sheetName val="基准地价修正-酒店配套"/>
      <sheetName val="收益法-酒店配套"/>
      <sheetName val="收益法 (元)"/>
      <sheetName val="收益法（汇总）"/>
      <sheetName val="酒店收入计算"/>
      <sheetName val="比较法-住宅"/>
      <sheetName val="成本法-办公"/>
      <sheetName val="比较法-办公"/>
      <sheetName val="比较法-工业"/>
      <sheetName val="基准地价修正-办公"/>
      <sheetName val="收益法-办公"/>
      <sheetName val="比较法-车位"/>
      <sheetName val="比较法-仓储"/>
      <sheetName val="土地比较法-住宅、综合"/>
      <sheetName val="土地比较法-工业"/>
      <sheetName val="收益法-车位"/>
      <sheetName val="比较法-商业"/>
      <sheetName val="成本法-地下商业"/>
      <sheetName val="收益法-地下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C7">
            <v>1028.45</v>
          </cell>
          <cell r="D7">
            <v>4093.9</v>
          </cell>
        </row>
        <row r="21">
          <cell r="G21">
            <v>4699.41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估价对象为北京市房地产，为所有。根据《国有土地使用证》[]，估价对象（分摊）出让国有建设用地使用权面积为9821.76平方米，建筑面积为26071.75平方米。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估价对象为北京市房地产,属开发建设的，该项目尚在开发建设中。根据《国有土地使用证》[]，估价对象（分摊）出让国有建设用地使用权面积为9821.76平方米，规划建筑面积为26071.75平方米。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2018年2月26日（评估专业人员实地查勘之日）</v>
      </c>
    </row>
    <row r="13" spans="1:2" s="1596" customFormat="1">
      <c r="A13" s="1594" t="s">
        <v>1227</v>
      </c>
      <c r="B13" s="1595" t="str">
        <f>'预评函-1'!A18</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32487</v>
      </c>
    </row>
    <row r="21" spans="1:2" s="1596" customFormat="1">
      <c r="A21" s="1594" t="s">
        <v>1235</v>
      </c>
      <c r="B21" s="1595">
        <f ca="1">'预评函-2'!D7</f>
        <v>29895</v>
      </c>
    </row>
    <row r="22" spans="1:2" s="1596" customFormat="1">
      <c r="A22" s="1594" t="s">
        <v>1236</v>
      </c>
      <c r="B22" s="1595" t="str">
        <f ca="1">'预评函-2'!D6</f>
        <v>叁亿贰仟肆佰捌拾柒万元整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32487</v>
      </c>
    </row>
    <row r="31" spans="1:2" s="1596" customFormat="1">
      <c r="A31" s="1594" t="s">
        <v>1274</v>
      </c>
      <c r="B31" s="1595">
        <f ca="1">'预评函-2'!D15</f>
        <v>12461</v>
      </c>
    </row>
    <row r="32" spans="1:2" s="1596" customFormat="1">
      <c r="A32" s="1594" t="s">
        <v>1241</v>
      </c>
      <c r="B32" s="1595" t="str">
        <f ca="1">'预评函-2'!D14</f>
        <v>叁亿贰仟肆佰捌拾柒万元整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26071.75</v>
      </c>
    </row>
    <row r="44" spans="1:2" s="1596" customFormat="1">
      <c r="A44" s="1594" t="s">
        <v>1273</v>
      </c>
      <c r="B44" s="1595" t="str">
        <f>'预评函-3'!C2</f>
        <v>(分摊)土地面积</v>
      </c>
    </row>
    <row r="45" spans="1:2" s="1596" customFormat="1">
      <c r="A45" s="1594" t="s">
        <v>1245</v>
      </c>
      <c r="B45" s="1595">
        <f>'预评函-3'!C4</f>
        <v>9821.76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3069</v>
      </c>
      <c r="C17" s="2018"/>
    </row>
    <row r="18" spans="1:3">
      <c r="A18" s="2017" t="s">
        <v>1768</v>
      </c>
      <c r="B18" s="2017" t="s">
        <v>3120</v>
      </c>
      <c r="C18" s="2018"/>
    </row>
    <row r="19" spans="1:3">
      <c r="A19" s="2017" t="s">
        <v>1769</v>
      </c>
      <c r="B19" s="2017" t="s">
        <v>3122</v>
      </c>
      <c r="C19" s="2018"/>
    </row>
    <row r="20" spans="1:3">
      <c r="A20" s="2017" t="s">
        <v>1770</v>
      </c>
      <c r="B20" s="2017" t="s">
        <v>3123</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5" t="s">
        <v>864</v>
      </c>
      <c r="C54" s="2022" t="s">
        <v>1281</v>
      </c>
    </row>
    <row r="55" spans="1:4">
      <c r="A55" s="3050"/>
      <c r="B55" s="2025" t="s">
        <v>865</v>
      </c>
      <c r="C55" s="2022" t="s">
        <v>1282</v>
      </c>
    </row>
    <row r="56" spans="1:4">
      <c r="A56" s="3050"/>
      <c r="B56" s="2025" t="s">
        <v>866</v>
      </c>
      <c r="C56" s="2022" t="s">
        <v>1286</v>
      </c>
    </row>
    <row r="57" spans="1:4">
      <c r="A57" s="305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A27" sqref="A27:A3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1779</v>
      </c>
      <c r="B3" s="2039">
        <v>43157</v>
      </c>
      <c r="C3" s="2040" t="s">
        <v>1780</v>
      </c>
      <c r="D3" s="2039">
        <v>43157</v>
      </c>
      <c r="E3" s="2029"/>
      <c r="F3" s="2029"/>
      <c r="G3" s="2029"/>
      <c r="H3" s="2029"/>
      <c r="I3" s="2029"/>
      <c r="J3" s="2029"/>
      <c r="K3" s="2030"/>
      <c r="L3" s="2031"/>
      <c r="M3" s="2031"/>
      <c r="N3" s="2032"/>
      <c r="O3" s="2033"/>
      <c r="P3" s="2032"/>
      <c r="Q3" s="2032"/>
      <c r="R3" s="2032"/>
      <c r="S3" s="2034"/>
    </row>
    <row r="4" spans="1:19" ht="18" customHeight="1" thickBot="1">
      <c r="A4" s="2041" t="s">
        <v>1781</v>
      </c>
      <c r="B4" s="2042" t="s">
        <v>3050</v>
      </c>
      <c r="C4" s="1040">
        <f ca="1">SUMIF(注册房地产估价师,B4,估价师及机构信息!B3:B24)</f>
        <v>1120140022</v>
      </c>
      <c r="D4" s="2042" t="s">
        <v>3051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3052</v>
      </c>
      <c r="C8" s="2059"/>
      <c r="D8" s="3062" t="s">
        <v>1786</v>
      </c>
      <c r="E8" s="2060" t="s">
        <v>3053</v>
      </c>
      <c r="F8" s="2061"/>
      <c r="G8" s="2029"/>
      <c r="H8" s="2029"/>
      <c r="I8" s="2029"/>
      <c r="J8" s="2045"/>
      <c r="K8" s="2046"/>
      <c r="L8" s="2031"/>
      <c r="M8" s="2031"/>
      <c r="N8" s="2032"/>
      <c r="O8" s="2033"/>
      <c r="P8" s="2032"/>
      <c r="Q8" s="2032"/>
      <c r="R8" s="2032"/>
    </row>
    <row r="9" spans="1:19" ht="18" customHeight="1" thickBot="1">
      <c r="A9" s="2043" t="s">
        <v>1787</v>
      </c>
      <c r="B9" s="2062" t="s">
        <v>3053</v>
      </c>
      <c r="C9" s="2063"/>
      <c r="D9" s="3063"/>
      <c r="E9" s="2062"/>
      <c r="F9" s="2064"/>
      <c r="G9" s="2065"/>
      <c r="H9" s="2065"/>
      <c r="I9" s="2065"/>
      <c r="J9" s="2045"/>
      <c r="K9" s="2057"/>
      <c r="L9" s="2031"/>
      <c r="M9" s="2031"/>
      <c r="N9" s="2032"/>
      <c r="O9" s="2033"/>
      <c r="P9" s="2032"/>
      <c r="Q9" s="2032"/>
      <c r="R9" s="2032"/>
    </row>
    <row r="10" spans="1:19" ht="18" customHeight="1" thickTop="1">
      <c r="A10" s="2066" t="s">
        <v>1788</v>
      </c>
      <c r="B10" s="2067" t="s">
        <v>3054</v>
      </c>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3056</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v>51810</v>
      </c>
      <c r="F13" s="2083"/>
      <c r="G13" s="2083">
        <v>55462</v>
      </c>
      <c r="H13" s="2083"/>
      <c r="I13" s="1050"/>
      <c r="J13" s="2045"/>
      <c r="K13" s="2057"/>
      <c r="L13" s="2031"/>
      <c r="M13" s="2031"/>
      <c r="N13" s="2032"/>
      <c r="O13" s="2033"/>
      <c r="P13" s="2032"/>
      <c r="Q13" s="2032"/>
      <c r="R13" s="2032"/>
    </row>
    <row r="14" spans="1:19" ht="18" customHeight="1">
      <c r="A14" s="2080"/>
      <c r="B14" s="2081"/>
      <c r="C14" s="2082" t="s">
        <v>1800</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f>IF(B12="出让",IF(E13="","",ROUNDDOWN(MIN((E13-$D$3)/365,E14),2)),E14)</f>
        <v>23.7</v>
      </c>
      <c r="F15" s="1052" t="str">
        <f>IF(B12="出让",IF(F13="","",ROUNDDOWN(MIN((F13-$D$3)/365,F14),2)),F14)</f>
        <v/>
      </c>
      <c r="G15" s="1052">
        <f>IF(B12="出让",IF(G13="","",ROUNDDOWN(MIN((G13-$D$3)/365,G14),2)),G14)</f>
        <v>33.71</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69"/>
      <c r="C16" s="3070"/>
      <c r="D16" s="3071"/>
      <c r="E16" s="2089" t="s">
        <v>1803</v>
      </c>
      <c r="F16" s="3072"/>
      <c r="G16" s="3073"/>
      <c r="H16" s="3073"/>
      <c r="I16" s="3074"/>
      <c r="J16" s="2032"/>
      <c r="K16" s="2086"/>
      <c r="L16" s="2087"/>
      <c r="M16" s="2087"/>
      <c r="N16" s="2088"/>
      <c r="O16" s="2087"/>
      <c r="P16" s="2088"/>
      <c r="Q16" s="2032"/>
      <c r="R16" s="2032"/>
    </row>
    <row r="17" spans="1:22" ht="18" customHeight="1">
      <c r="A17" s="2090" t="s">
        <v>1804</v>
      </c>
      <c r="B17" s="2038" t="s">
        <v>1805</v>
      </c>
      <c r="C17" s="1057">
        <f>'数据-汇总表'!E3</f>
        <v>26071.75</v>
      </c>
      <c r="D17" s="2091" t="s">
        <v>1806</v>
      </c>
      <c r="E17" s="3075" t="s">
        <v>1807</v>
      </c>
      <c r="F17" s="3076"/>
      <c r="G17" s="3076"/>
      <c r="H17" s="3076"/>
      <c r="I17" s="3077"/>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9821.76</v>
      </c>
      <c r="D18" s="2094" t="s">
        <v>1806</v>
      </c>
      <c r="E18" s="3078" t="s">
        <v>1810</v>
      </c>
      <c r="F18" s="3079"/>
      <c r="G18" s="3079"/>
      <c r="H18" s="3079"/>
      <c r="I18" s="3080"/>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65" t="s">
        <v>1815</v>
      </c>
      <c r="C20" s="3066"/>
      <c r="D20" s="3067" t="s">
        <v>1816</v>
      </c>
      <c r="E20" s="3068"/>
      <c r="F20" s="2101" t="s">
        <v>1817</v>
      </c>
      <c r="G20" s="2045"/>
      <c r="H20" s="2045"/>
      <c r="I20" s="2045"/>
      <c r="J20" s="2045"/>
      <c r="K20" s="3064"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2"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2"/>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2"/>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3"/>
      <c r="B30" s="2038" t="s">
        <v>1834</v>
      </c>
      <c r="C30" s="3054"/>
      <c r="D30" s="305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6"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t="s">
        <v>3079</v>
      </c>
      <c r="C34" s="2137" t="s">
        <v>3080</v>
      </c>
      <c r="D34" s="2137" t="s">
        <v>3081</v>
      </c>
      <c r="E34" s="2137" t="s">
        <v>3082</v>
      </c>
      <c r="F34" s="2137" t="s">
        <v>3083</v>
      </c>
      <c r="G34" s="2137" t="s">
        <v>3084</v>
      </c>
      <c r="H34" s="2137" t="s">
        <v>70</v>
      </c>
      <c r="I34" s="2045"/>
      <c r="J34" s="2045"/>
      <c r="K34" s="1798">
        <f>COUNTIF(B34:H34,"——")</f>
        <v>1</v>
      </c>
      <c r="L34" s="2078" t="s">
        <v>1837</v>
      </c>
      <c r="M34" s="2078" t="s">
        <v>1838</v>
      </c>
      <c r="N34" s="2078" t="s">
        <v>1839</v>
      </c>
      <c r="O34" s="2078" t="s">
        <v>1840</v>
      </c>
      <c r="P34" s="2078" t="s">
        <v>1841</v>
      </c>
      <c r="Q34" s="2078" t="s">
        <v>1842</v>
      </c>
      <c r="R34" s="2078" t="s">
        <v>1843</v>
      </c>
      <c r="S34" s="3051" t="s">
        <v>1844</v>
      </c>
      <c r="T34" s="2138" t="str">
        <f>NUMBERSTRING(7-K34,1)&amp;"通"</f>
        <v>六通</v>
      </c>
      <c r="U34" s="2032"/>
      <c r="V34" s="2032"/>
    </row>
    <row r="35" spans="1:22" ht="18" customHeight="1">
      <c r="A35" s="2139"/>
      <c r="B35" s="3058" t="s">
        <v>1845</v>
      </c>
      <c r="C35" s="3058"/>
      <c r="D35" s="3058"/>
      <c r="E35" s="305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1"/>
      <c r="T35" s="48" t="str">
        <f>IF(T34="一通",L35,IF(T34="二通",M35,IF(T34="三通",N35,IF(T34="四通",O35,IF(T34="五通",P35,IF(T34="六通",Q35,R35))))))</f>
        <v>通路、通电、通讯、通上水、通下水、燃气</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t="s">
        <v>212</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t="s">
        <v>213</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9821.76</v>
      </c>
      <c r="B3" s="14">
        <f>IF(C3="否",G5-AT5,G5)</f>
        <v>26071.75</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26071.75</v>
      </c>
      <c r="H5" s="16">
        <f t="shared" ref="H5:AT5" si="0">SUM(H13:H656)</f>
        <v>26071.75</v>
      </c>
      <c r="I5" s="16">
        <f t="shared" si="0"/>
        <v>13597.08</v>
      </c>
      <c r="J5" s="16">
        <f t="shared" si="0"/>
        <v>0</v>
      </c>
      <c r="K5" s="16">
        <f t="shared" si="0"/>
        <v>12474.67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26071.75</v>
      </c>
      <c r="BA5" s="18">
        <f t="shared" si="1"/>
        <v>26071.75</v>
      </c>
      <c r="BB5" s="18">
        <f t="shared" si="1"/>
        <v>13597.08</v>
      </c>
      <c r="BC5" s="18">
        <f t="shared" si="1"/>
        <v>12474.67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9821.76</v>
      </c>
      <c r="F6" s="16" t="s">
        <v>1</v>
      </c>
      <c r="G6" s="16" t="s">
        <v>2</v>
      </c>
      <c r="H6" s="20">
        <f>SUMIF(I$12:AB$12,"总值",I6:AB6)</f>
        <v>9821.76</v>
      </c>
      <c r="I6" s="16">
        <f t="shared" ref="I6:AB6" si="2">ROUND($A$3*I5/$B$3,2)</f>
        <v>5122.3</v>
      </c>
      <c r="J6" s="16">
        <f t="shared" si="2"/>
        <v>0</v>
      </c>
      <c r="K6" s="16">
        <f t="shared" si="2"/>
        <v>4699.46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9821.76</v>
      </c>
      <c r="AZ6" s="16" t="s">
        <v>3</v>
      </c>
      <c r="BA6" s="16">
        <f>ROUND($AY$6*BA5/$AZ$5,2)</f>
        <v>9821.76</v>
      </c>
      <c r="BB6" s="16">
        <f>ROUND($AY$6*BB5/$AZ$5,2)</f>
        <v>5122.3</v>
      </c>
      <c r="BC6" s="16">
        <f t="shared" ref="BC6:BH6" si="4">ROUND($AY$6*BC5/$AZ$5,2)</f>
        <v>4699.46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3061</v>
      </c>
      <c r="J9" s="984"/>
      <c r="K9" s="2195" t="s">
        <v>3061</v>
      </c>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3063</v>
      </c>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地下</v>
      </c>
      <c r="BC10" s="29" t="str">
        <f>K9</f>
        <v>地下</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3064</v>
      </c>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独立商业</v>
      </c>
      <c r="BC12" s="2216" t="str">
        <f>K11</f>
        <v>车库</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65" t="s">
        <v>3058</v>
      </c>
      <c r="D13" s="2217" t="s">
        <v>3060</v>
      </c>
      <c r="E13" s="3006">
        <f>[1]Sheet1!$D$7</f>
        <v>4093.9</v>
      </c>
      <c r="F13" s="32"/>
      <c r="G13" s="33">
        <f>H13+AC13+AT13</f>
        <v>10867.1</v>
      </c>
      <c r="H13" s="20">
        <f>SUMIF(I$12:AB$12,"总值",I13:AB13)</f>
        <v>10867.1</v>
      </c>
      <c r="I13" s="2218">
        <v>10867.1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地下商业</v>
      </c>
      <c r="AY13" s="1809">
        <f>ROUND($AY$6*AZ13/$AZ$5,2)</f>
        <v>4093.86</v>
      </c>
      <c r="AZ13" s="16">
        <f>BA13+BL13</f>
        <v>10867.1</v>
      </c>
      <c r="BA13" s="16">
        <f>SUM(BB13:BK13)</f>
        <v>10867.1</v>
      </c>
      <c r="BB13" s="16">
        <f>IF($D13="是",I13-J13,0)</f>
        <v>10867.1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66" t="s">
        <v>3059</v>
      </c>
      <c r="D14" s="2217" t="s">
        <v>3060</v>
      </c>
      <c r="E14" s="3006">
        <f>[1]Sheet1!$G$21</f>
        <v>4699.41</v>
      </c>
      <c r="F14" s="32"/>
      <c r="G14" s="33">
        <f>H14+AC14+AT14</f>
        <v>12474.67</v>
      </c>
      <c r="H14" s="20">
        <f>SUMIF(I$12:AB$12,"总值",I14:AB14)</f>
        <v>12474.67</v>
      </c>
      <c r="I14" s="2218"/>
      <c r="J14" s="2218"/>
      <c r="K14" s="2218">
        <v>12474.67</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地下车库</v>
      </c>
      <c r="AY14" s="1809">
        <f>ROUND($AY$6*AZ14/$AZ$5,2)</f>
        <v>4699.46</v>
      </c>
      <c r="AZ14" s="16">
        <f>BA14+BL14</f>
        <v>12474.67</v>
      </c>
      <c r="BA14" s="16">
        <f>SUM(BB14:BK14)</f>
        <v>12474.67</v>
      </c>
      <c r="BB14" s="16">
        <f>IF($D14="是",I14-J14,0)</f>
        <v>0</v>
      </c>
      <c r="BC14" s="16">
        <f>IF($D14="是",K14-L14,0)</f>
        <v>12474.67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25.5">
      <c r="A15" s="1275"/>
      <c r="B15" s="1275"/>
      <c r="C15" s="2966" t="s">
        <v>3117</v>
      </c>
      <c r="D15" s="2217" t="s">
        <v>3060</v>
      </c>
      <c r="E15" s="3006">
        <f>[1]Sheet1!$C$7</f>
        <v>1028.45</v>
      </c>
      <c r="F15" s="32"/>
      <c r="G15" s="33">
        <f>H15+AC15+AT15</f>
        <v>2729.98</v>
      </c>
      <c r="H15" s="20">
        <f>SUMIF(I$12:AB$12,"总值",I15:AB15)</f>
        <v>2729.98</v>
      </c>
      <c r="I15" s="2218">
        <v>2729.98</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地下商业（未出租）</v>
      </c>
      <c r="AY15" s="1809">
        <f>ROUND($AY$6*AZ15/$AZ$5,2)</f>
        <v>1028.44</v>
      </c>
      <c r="AZ15" s="16">
        <f>BA15+BL15</f>
        <v>2729.98</v>
      </c>
      <c r="BA15" s="16">
        <f>SUM(BB15:BK15)</f>
        <v>2729.98</v>
      </c>
      <c r="BB15" s="16">
        <f>IF($D15="是",I15-J15,0)</f>
        <v>2729.98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C4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92" t="s">
        <v>1941</v>
      </c>
      <c r="B2" s="3092"/>
      <c r="C2" s="3092"/>
      <c r="D2" s="970" t="s">
        <v>1917</v>
      </c>
      <c r="E2" s="2231" t="s">
        <v>1918</v>
      </c>
      <c r="F2" s="1395"/>
      <c r="G2" s="2232"/>
      <c r="H2" s="2233"/>
      <c r="I2" s="2234" t="s">
        <v>1942</v>
      </c>
      <c r="J2" s="1395"/>
      <c r="K2" s="1395"/>
      <c r="L2" s="1395"/>
      <c r="M2" s="1395"/>
      <c r="N2" s="1430"/>
      <c r="O2" s="1395"/>
      <c r="P2" s="1395"/>
    </row>
    <row r="3" spans="1:16" ht="15.75" thickBot="1">
      <c r="A3" s="3093" t="s">
        <v>1915</v>
      </c>
      <c r="B3" s="3093"/>
      <c r="C3" s="3093"/>
      <c r="D3" s="46">
        <f>'数据-基础表'!AY6</f>
        <v>9821.76</v>
      </c>
      <c r="E3" s="46">
        <f>'数据-基础表'!AZ5</f>
        <v>26071.75</v>
      </c>
      <c r="F3" s="1395"/>
      <c r="G3" s="1402"/>
      <c r="H3" s="1250" t="s">
        <v>1916</v>
      </c>
      <c r="I3" s="55">
        <f>ROUND('数据-基础表'!B3/'数据-基础表'!A3,2)</f>
        <v>2.65</v>
      </c>
      <c r="J3" s="1395"/>
      <c r="K3" s="1395"/>
      <c r="L3" s="1395"/>
      <c r="M3" s="1395"/>
      <c r="N3" s="1430"/>
      <c r="O3" s="1395"/>
      <c r="P3" s="1395"/>
    </row>
    <row r="4" spans="1:16" ht="15">
      <c r="A4" s="3094"/>
      <c r="B4" s="3095"/>
      <c r="C4" s="3096"/>
      <c r="D4" s="2235" t="s">
        <v>1917</v>
      </c>
      <c r="E4" s="2236" t="s">
        <v>1918</v>
      </c>
      <c r="F4" s="1395"/>
      <c r="G4" s="2237" t="s">
        <v>1943</v>
      </c>
      <c r="H4" s="1250" t="s">
        <v>1923</v>
      </c>
      <c r="I4" s="55">
        <f>ROUND(SUMIF('数据-基础表'!I9:AS9,"地上",'数据-基础表'!I5:AS5)/'数据-基础表'!A3,2)</f>
        <v>0</v>
      </c>
      <c r="J4" s="1395"/>
      <c r="K4" s="1395"/>
      <c r="L4" s="1395"/>
      <c r="M4" s="1395"/>
      <c r="N4" s="1430"/>
      <c r="O4" s="1395"/>
      <c r="P4" s="1395"/>
    </row>
    <row r="5" spans="1:16">
      <c r="A5" s="47" t="s">
        <v>1919</v>
      </c>
      <c r="B5" s="3097" t="s">
        <v>1920</v>
      </c>
      <c r="C5" s="3097"/>
      <c r="D5" s="48">
        <f>ROUND($D$3*E5/$E$3,2)</f>
        <v>0</v>
      </c>
      <c r="E5" s="49">
        <f>SUMIF('数据-基础表'!$11:$11,"住宅",'数据-基础表'!$5:$5)</f>
        <v>0</v>
      </c>
      <c r="F5" s="1395"/>
      <c r="G5" s="1402"/>
      <c r="H5" s="1250" t="s">
        <v>1916</v>
      </c>
      <c r="I5" s="55">
        <f>ROUND(E31/D31,2)</f>
        <v>2.65</v>
      </c>
      <c r="J5" s="1395"/>
      <c r="K5" s="1395"/>
      <c r="L5" s="1395"/>
      <c r="M5" s="1395"/>
      <c r="N5" s="1395"/>
      <c r="O5" s="1395"/>
      <c r="P5" s="1395"/>
    </row>
    <row r="6" spans="1:16" ht="15" thickBot="1">
      <c r="A6" s="2238"/>
      <c r="B6" s="3097" t="s">
        <v>1921</v>
      </c>
      <c r="C6" s="3097"/>
      <c r="D6" s="48">
        <f>ROUND($D$3*E6/$E$3,2)</f>
        <v>9821.76</v>
      </c>
      <c r="E6" s="49">
        <f>E3-E5</f>
        <v>26071.75</v>
      </c>
      <c r="F6" s="1395"/>
      <c r="G6" s="2239" t="s">
        <v>1922</v>
      </c>
      <c r="H6" s="1402" t="s">
        <v>1923</v>
      </c>
      <c r="I6" s="942">
        <f>ROUND(F31/D31,2)</f>
        <v>0</v>
      </c>
      <c r="J6" s="1395"/>
      <c r="K6" s="1395"/>
      <c r="L6" s="1395"/>
      <c r="M6" s="1395"/>
      <c r="N6" s="1395"/>
      <c r="O6" s="1395"/>
      <c r="P6" s="1395"/>
    </row>
    <row r="7" spans="1:16" ht="15">
      <c r="A7" s="3089"/>
      <c r="B7" s="3090"/>
      <c r="C7" s="3091"/>
      <c r="D7" s="2235" t="s">
        <v>1917</v>
      </c>
      <c r="E7" s="2240" t="s">
        <v>1924</v>
      </c>
      <c r="F7" s="1395"/>
      <c r="G7" s="2232" t="s">
        <v>1925</v>
      </c>
      <c r="H7" s="64"/>
      <c r="I7" s="420">
        <v>2.65</v>
      </c>
      <c r="J7" s="1395"/>
      <c r="K7" s="1395"/>
      <c r="L7" s="1395"/>
      <c r="M7" s="1395"/>
      <c r="N7" s="1395"/>
      <c r="O7" s="1395"/>
      <c r="P7" s="1395"/>
    </row>
    <row r="8" spans="1:16">
      <c r="A8" s="47" t="s">
        <v>1926</v>
      </c>
      <c r="B8" s="50" t="s">
        <v>1927</v>
      </c>
      <c r="C8" s="48" t="s">
        <v>1928</v>
      </c>
      <c r="D8" s="48">
        <f t="shared" ref="D8:D15" si="0">ROUND($D$3*E8/$E$3,2)</f>
        <v>0</v>
      </c>
      <c r="E8" s="51">
        <f>SUMIF('数据-基础表'!BB10:BK10,"地上",'数据-基础表'!BB5:BK5)</f>
        <v>0</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5122.3</v>
      </c>
      <c r="E10" s="51">
        <f>SUMPRODUCT(('数据-基础表'!BB10:BK10="地下")*('数据-基础表'!BB11:BK11="商业")*('数据-基础表'!BB5:BK5))</f>
        <v>13597.08</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1944</v>
      </c>
      <c r="D14" s="48">
        <f t="shared" si="0"/>
        <v>4699.46</v>
      </c>
      <c r="E14" s="51">
        <f>SUMPRODUCT(('数据-基础表'!BB10:BK10="地下")*('数据-基础表'!BB11:BK11="车库—商业")*('数据-基础表'!BB5:BK5))</f>
        <v>12474.67</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9821.76</v>
      </c>
      <c r="E16" s="53">
        <f>SUM(E8:E15)</f>
        <v>26071.75</v>
      </c>
      <c r="F16" s="1395"/>
      <c r="G16" s="2241"/>
      <c r="H16" s="2244" t="s">
        <v>1945</v>
      </c>
      <c r="I16" s="2245"/>
      <c r="J16" s="1395"/>
      <c r="K16" s="3086" t="s">
        <v>1945</v>
      </c>
      <c r="L16" s="3087"/>
      <c r="M16" s="3087"/>
      <c r="N16" s="3087"/>
      <c r="O16" s="3087"/>
      <c r="P16" s="3088"/>
    </row>
    <row r="17" spans="1:19" ht="15">
      <c r="A17" s="2246" t="s">
        <v>1946</v>
      </c>
      <c r="B17" s="2247" t="s">
        <v>1947</v>
      </c>
      <c r="C17" s="2248" t="s">
        <v>1948</v>
      </c>
      <c r="D17" s="2249" t="s">
        <v>1936</v>
      </c>
      <c r="E17" s="2250" t="s">
        <v>1937</v>
      </c>
      <c r="F17" s="2251"/>
      <c r="G17" s="2252"/>
      <c r="H17" s="2253" t="s">
        <v>1949</v>
      </c>
      <c r="I17" s="2254" t="s">
        <v>1934</v>
      </c>
      <c r="J17" s="1395"/>
      <c r="K17" s="3083" t="s">
        <v>1950</v>
      </c>
      <c r="L17" s="3084"/>
      <c r="M17" s="3085"/>
      <c r="N17" s="3083" t="s">
        <v>1951</v>
      </c>
      <c r="O17" s="3084"/>
      <c r="P17" s="3085"/>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67" t="s">
        <v>3065</v>
      </c>
      <c r="D19" s="48">
        <f>ROUND($D$3*E19/$E$3,2)</f>
        <v>4093.86</v>
      </c>
      <c r="E19" s="56">
        <f t="shared" ref="E19:E26" si="1">SUM(F19:G19)</f>
        <v>10867.1</v>
      </c>
      <c r="F19" s="57"/>
      <c r="G19" s="58">
        <f>'数据-基础表'!I13</f>
        <v>10867.1</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4093.86</v>
      </c>
      <c r="S19" s="1251">
        <f t="shared" si="5"/>
        <v>10867.1</v>
      </c>
    </row>
    <row r="20" spans="1:19">
      <c r="A20" s="2266"/>
      <c r="B20" s="50" t="s">
        <v>1963</v>
      </c>
      <c r="C20" s="2967" t="s">
        <v>3066</v>
      </c>
      <c r="D20" s="48">
        <f t="shared" ref="D20:D26" si="6">ROUND($D$3*E20/$E$3,2)</f>
        <v>4699.46</v>
      </c>
      <c r="E20" s="56">
        <f t="shared" si="1"/>
        <v>12474.67</v>
      </c>
      <c r="F20" s="57"/>
      <c r="G20" s="58">
        <f>'数据-基础表'!K14</f>
        <v>12474.67</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4699.46</v>
      </c>
      <c r="S20" s="1251">
        <f t="shared" si="5"/>
        <v>12474.67</v>
      </c>
    </row>
    <row r="21" spans="1:19">
      <c r="A21" s="2266"/>
      <c r="B21" s="50" t="s">
        <v>1963</v>
      </c>
      <c r="C21" s="2967" t="s">
        <v>3118</v>
      </c>
      <c r="D21" s="48">
        <f t="shared" si="6"/>
        <v>1028.44</v>
      </c>
      <c r="E21" s="56">
        <f t="shared" si="1"/>
        <v>2729.98</v>
      </c>
      <c r="F21" s="57"/>
      <c r="G21" s="58">
        <f>'数据-基础表'!I15</f>
        <v>2729.98</v>
      </c>
      <c r="H21" s="723">
        <f t="shared" si="7"/>
        <v>0</v>
      </c>
      <c r="I21" s="51">
        <f t="shared" si="2"/>
        <v>0</v>
      </c>
      <c r="J21" s="1395"/>
      <c r="K21" s="1394">
        <f t="shared" si="3"/>
        <v>0</v>
      </c>
      <c r="L21" s="1250">
        <f t="shared" si="4"/>
        <v>0</v>
      </c>
      <c r="M21" s="1406">
        <f t="shared" si="8"/>
        <v>0</v>
      </c>
      <c r="N21" s="2264"/>
      <c r="O21" s="2265"/>
      <c r="P21" s="1406">
        <f t="shared" si="9"/>
        <v>0</v>
      </c>
      <c r="R21" s="1250">
        <f t="shared" si="5"/>
        <v>1028.44</v>
      </c>
      <c r="S21" s="1251">
        <f t="shared" si="5"/>
        <v>2729.98</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9821.76</v>
      </c>
      <c r="E27" s="1397">
        <f>IF(SUM(E19:E26)='数据-基础表'!BA5,SUM(E19:E26),IF(F27="地上面积有误","面积有误","地下面积有误"))</f>
        <v>26071.75</v>
      </c>
      <c r="F27" s="1396">
        <f>IF(SUM(F19:F26)=E8,SUM(F19:F26),"地上面积有误")</f>
        <v>0</v>
      </c>
      <c r="G27" s="1398">
        <f>SUM(G19:G26)</f>
        <v>26071.75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9821.76</v>
      </c>
      <c r="S27" s="1250">
        <f>IF(SUM(S19:S26)=$E$3,SUM(S19:S26),SUM(S19:S26)&amp;"误差"&amp;ROUND(SUM(S19:S26)-E3,2))</f>
        <v>26071.75</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9821.76</v>
      </c>
      <c r="E31" s="729">
        <f>E27+E30</f>
        <v>26071.75</v>
      </c>
      <c r="F31" s="730">
        <f>F27+F30</f>
        <v>0</v>
      </c>
      <c r="G31" s="731">
        <f>G27+G30</f>
        <v>26071.75</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F22" sqref="AF2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43157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8" t="s">
        <v>1976</v>
      </c>
      <c r="AA4" s="2248"/>
      <c r="AB4" s="2248"/>
      <c r="AC4" s="2248"/>
      <c r="AD4" s="2248"/>
      <c r="AE4" s="2246" t="s">
        <v>1977</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3067</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8" t="s">
        <v>2011</v>
      </c>
      <c r="AP5" s="1252" t="s">
        <v>2012</v>
      </c>
      <c r="AQ5" s="2308" t="s">
        <v>2013</v>
      </c>
      <c r="AR5" s="2308"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地下商业</v>
      </c>
      <c r="B6" s="2310" t="str">
        <f>IF(A6=0,"","经营性")</f>
        <v>经营性</v>
      </c>
      <c r="C6" s="2311" t="s">
        <v>1377</v>
      </c>
      <c r="D6" s="1054">
        <f>SUMIF(项目基本情况!D$12:I$12,C6,项目基本情况!D$14:I$14)</f>
        <v>40</v>
      </c>
      <c r="E6" s="1051">
        <f>IF(B6="","",SUMIF(项目基本情况!D$12:I$12,C6,项目基本情况!D$13:I$13))</f>
        <v>51810</v>
      </c>
      <c r="F6" s="72">
        <f>SUMIF(项目基本情况!D$12:I$12,C6,项目基本情况!D$15:I$15)</f>
        <v>23.7</v>
      </c>
      <c r="G6" s="73">
        <f>IF(ISERROR(ROUND(POWER(1+H6,D6-F6)*(POWER(1+H6,F6)-1)/(POWER(1+H6,D6)-1),3)),0,ROUND(POWER(1+H6,D6-F6)*(POWER(1+H6,F6)-1)/(POWER(1+H6,D6)-1),3))</f>
        <v>0.79900000000000004</v>
      </c>
      <c r="H6" s="802">
        <v>0.05</v>
      </c>
      <c r="I6" s="802">
        <v>5.5E-2</v>
      </c>
      <c r="J6" s="74">
        <v>0.08</v>
      </c>
      <c r="K6" s="1254">
        <f>SUMIF('数据-汇总表'!C$19:C$33,A6,'数据-汇总表'!E$19:E$33)</f>
        <v>10867.1</v>
      </c>
      <c r="L6" s="803">
        <v>3000</v>
      </c>
      <c r="M6" s="75">
        <f t="shared" ref="M6:M14" si="0">ROUND(K6*L6/10000,0)</f>
        <v>3260</v>
      </c>
      <c r="N6" s="801">
        <f>ROUND(1-(2018-2007)/60,2)</f>
        <v>0.82</v>
      </c>
      <c r="O6" s="75" t="str">
        <f>IF($N$5="成新度","——",ROUND(M6*N6,0))</f>
        <v>——</v>
      </c>
      <c r="P6" s="76" t="str">
        <f>IF($N$5="成新度","——",M6-O6)</f>
        <v>——</v>
      </c>
      <c r="Q6" s="804">
        <v>0.2</v>
      </c>
      <c r="R6" s="77">
        <f ca="1">SUMIF('数据-汇总表'!C$19:C$33,A6,'数据-汇总表'!R$19:R$27)</f>
        <v>4093.86</v>
      </c>
      <c r="S6" s="54">
        <f>IF('数据-汇总表'!$I$17="按面积比例",SUMIF('数据-汇总表'!C$19:C$33,A6,'数据-汇总表'!K$19:K$33),SUMIF('数据-汇总表'!C$19:C$33,A6,'数据-汇总表'!N$19:N$33))</f>
        <v>0</v>
      </c>
      <c r="T6" s="1446">
        <f>ROUND($L$14*S6/10000,0)</f>
        <v>0</v>
      </c>
      <c r="U6" s="78">
        <v>5</v>
      </c>
      <c r="V6" s="79">
        <v>0.02</v>
      </c>
      <c r="W6" s="79">
        <v>0.1</v>
      </c>
      <c r="X6" s="1264"/>
      <c r="Y6" s="80">
        <f>N6</f>
        <v>0.82</v>
      </c>
      <c r="Z6" s="81">
        <f>ROUND(U6*(1+V6)^AF6,2)</f>
        <v>5.37</v>
      </c>
      <c r="AA6" s="74">
        <v>0.02</v>
      </c>
      <c r="AB6" s="74">
        <v>0.1</v>
      </c>
      <c r="AC6" s="1264"/>
      <c r="AD6" s="82">
        <f>ROUND(1-(2021-2007)/60,2)</f>
        <v>0.77</v>
      </c>
      <c r="AE6" s="1265">
        <f ca="1">IF(AN6="",0,SUMIF(INDIRECT("'"&amp;AN6&amp;"'"&amp;"!E:E"),$AE$5,INDIRECT("'"&amp;AN6&amp;"'"&amp;"!F:F")))</f>
        <v>23.7</v>
      </c>
      <c r="AF6" s="1807">
        <v>3.6</v>
      </c>
      <c r="AG6" s="147">
        <f ca="1">IF(AF6="",0,AE6-AF6)</f>
        <v>20.099999999999998</v>
      </c>
      <c r="AH6" s="83"/>
      <c r="AI6" s="85">
        <v>365</v>
      </c>
      <c r="AJ6" s="86"/>
      <c r="AK6" s="87">
        <v>1.4999999999999999E-2</v>
      </c>
      <c r="AL6" s="88">
        <v>1.5E-3</v>
      </c>
      <c r="AM6" s="89">
        <v>0.02</v>
      </c>
      <c r="AN6" s="2312" t="s">
        <v>3091</v>
      </c>
      <c r="AO6" s="55">
        <f ca="1">SUMIF(INDIRECT("'"&amp;AN6&amp;"'"&amp;"!A:A"),"总价",INDIRECT("'"&amp;AN6&amp;"'"&amp;"!B:B"))</f>
        <v>24082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3064</v>
      </c>
      <c r="D7" s="1054">
        <f>SUMIF(项目基本情况!D$12:I$12,C7,项目基本情况!D$14:I$14)</f>
        <v>50</v>
      </c>
      <c r="E7" s="1051">
        <f>IF(B7="","",SUMIF(项目基本情况!D$12:I$12,C7,项目基本情况!D$13:I$13))</f>
        <v>55462</v>
      </c>
      <c r="F7" s="72">
        <f>SUMIF(项目基本情况!D$12:I$12,C7,项目基本情况!D$15:I$15)</f>
        <v>33.71</v>
      </c>
      <c r="G7" s="73">
        <f t="shared" ref="G7:G11" si="2">IF(ISERROR(ROUND(POWER(1+H7,D7-F7)*(POWER(1+H7,F7)-1)/(POWER(1+H7,D7)-1),3)),0,ROUND(POWER(1+H7,D7-F7)*(POWER(1+H7,F7)-1)/(POWER(1+H7,D7)-1),3))</f>
        <v>0.85399999999999998</v>
      </c>
      <c r="H7" s="802">
        <v>0.04</v>
      </c>
      <c r="I7" s="802">
        <v>4.4999999999999998E-2</v>
      </c>
      <c r="J7" s="74">
        <v>0.08</v>
      </c>
      <c r="K7" s="1254">
        <f>SUMIF('数据-汇总表'!C$19:C$33,A7,'数据-汇总表'!E$19:E$33)</f>
        <v>12474.67</v>
      </c>
      <c r="L7" s="803">
        <v>2500</v>
      </c>
      <c r="M7" s="75">
        <f t="shared" si="0"/>
        <v>3119</v>
      </c>
      <c r="N7" s="801">
        <f>N6</f>
        <v>0.82</v>
      </c>
      <c r="O7" s="75" t="str">
        <f t="shared" ref="O7:O14" si="3">IF($N$5="成新度","——",ROUND(M7*N7,0))</f>
        <v>——</v>
      </c>
      <c r="P7" s="76" t="str">
        <f t="shared" ref="P7:P14" si="4">IF($N$5="成新度","——",M7-O7)</f>
        <v>——</v>
      </c>
      <c r="Q7" s="804">
        <v>0.05</v>
      </c>
      <c r="R7" s="77">
        <f ca="1">SUMIF('数据-汇总表'!C$19:C$33,A7,'数据-汇总表'!R$19:R$27)</f>
        <v>4699.46</v>
      </c>
      <c r="S7" s="54">
        <f>IF('数据-汇总表'!$I$17="按面积比例",SUMIF('数据-汇总表'!C$19:C$33,A7,'数据-汇总表'!K$19:K$33),SUMIF('数据-汇总表'!C$19:C$33,A7,'数据-汇总表'!N$19:N$33))</f>
        <v>0</v>
      </c>
      <c r="T7" s="1446">
        <f t="shared" ref="T7:T13" si="5">ROUND($L$14*S7/10000,0)</f>
        <v>0</v>
      </c>
      <c r="U7" s="78">
        <v>1400</v>
      </c>
      <c r="V7" s="79">
        <v>0.01</v>
      </c>
      <c r="W7" s="79">
        <v>0.1</v>
      </c>
      <c r="X7" s="1264"/>
      <c r="Y7" s="80">
        <f>N6</f>
        <v>0.82</v>
      </c>
      <c r="Z7" s="81"/>
      <c r="AA7" s="74"/>
      <c r="AB7" s="74"/>
      <c r="AC7" s="1264"/>
      <c r="AD7" s="82"/>
      <c r="AE7" s="1265">
        <f t="shared" ref="AE7:AE13" ca="1" si="6">IF(AN7="",0,SUMIF(INDIRECT("'"&amp;AN7&amp;"'"&amp;"!E:E"),$AE$5,INDIRECT("'"&amp;AN7&amp;"'"&amp;"!F:F")))</f>
        <v>33.71</v>
      </c>
      <c r="AF7" s="1807"/>
      <c r="AG7" s="147">
        <f t="shared" ref="AG7:AG13" si="7">IF(AF7="",0,AE7-AF7)</f>
        <v>0</v>
      </c>
      <c r="AH7" s="83">
        <v>292</v>
      </c>
      <c r="AI7" s="85">
        <v>12</v>
      </c>
      <c r="AJ7" s="86"/>
      <c r="AK7" s="87">
        <v>1.4999999999999999E-2</v>
      </c>
      <c r="AL7" s="88">
        <v>1.5E-3</v>
      </c>
      <c r="AM7" s="89">
        <v>0.02</v>
      </c>
      <c r="AN7" s="2312" t="s">
        <v>3068</v>
      </c>
      <c r="AO7" s="55">
        <f t="shared" ref="AO7:AO13" ca="1" si="8">SUMIF(INDIRECT("'"&amp;AN7&amp;"'"&amp;"!A:A"),"总价",INDIRECT("'"&amp;AN7&amp;"'"&amp;"!B:B"))</f>
        <v>5697</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地下商业（未出租）</v>
      </c>
      <c r="B8" s="2310" t="str">
        <f t="shared" si="1"/>
        <v>经营性</v>
      </c>
      <c r="C8" s="2311" t="s">
        <v>1377</v>
      </c>
      <c r="D8" s="1054">
        <f>SUMIF(项目基本情况!D$12:I$12,C8,项目基本情况!D$14:I$14)</f>
        <v>40</v>
      </c>
      <c r="E8" s="1051">
        <f>IF(B8="","",SUMIF(项目基本情况!D$12:I$12,C8,项目基本情况!D$13:I$13))</f>
        <v>51810</v>
      </c>
      <c r="F8" s="72">
        <f>SUMIF(项目基本情况!D$12:I$12,C8,项目基本情况!D$15:I$15)</f>
        <v>23.7</v>
      </c>
      <c r="G8" s="73">
        <f t="shared" si="2"/>
        <v>0.79900000000000004</v>
      </c>
      <c r="H8" s="802">
        <v>0.05</v>
      </c>
      <c r="I8" s="802">
        <v>5.5E-2</v>
      </c>
      <c r="J8" s="74">
        <v>0.08</v>
      </c>
      <c r="K8" s="1254">
        <f>SUMIF('数据-汇总表'!C$19:C$33,A8,'数据-汇总表'!E$19:E$33)</f>
        <v>2729.98</v>
      </c>
      <c r="L8" s="803">
        <v>3000</v>
      </c>
      <c r="M8" s="75">
        <f>ROUND(K8*L8/10000,0)</f>
        <v>819</v>
      </c>
      <c r="N8" s="801">
        <v>0.82</v>
      </c>
      <c r="O8" s="75" t="str">
        <f t="shared" si="3"/>
        <v>——</v>
      </c>
      <c r="P8" s="76" t="str">
        <f t="shared" si="4"/>
        <v>——</v>
      </c>
      <c r="Q8" s="804">
        <v>0.2</v>
      </c>
      <c r="R8" s="77">
        <f ca="1">SUMIF('数据-汇总表'!C$19:C$33,A8,'数据-汇总表'!R$19:R$27)</f>
        <v>1028.44</v>
      </c>
      <c r="S8" s="54">
        <f>IF('数据-汇总表'!$I$17="按面积比例",SUMIF('数据-汇总表'!C$19:C$33,A8,'数据-汇总表'!K$19:K$33),SUMIF('数据-汇总表'!C$19:C$33,A8,'数据-汇总表'!N$19:N$33))</f>
        <v>0</v>
      </c>
      <c r="T8" s="1446">
        <f t="shared" si="5"/>
        <v>0</v>
      </c>
      <c r="U8" s="805">
        <v>5</v>
      </c>
      <c r="V8" s="806">
        <v>0.02</v>
      </c>
      <c r="W8" s="806">
        <v>0.1</v>
      </c>
      <c r="X8" s="1264"/>
      <c r="Y8" s="807">
        <v>0.82</v>
      </c>
      <c r="Z8" s="81"/>
      <c r="AA8" s="74"/>
      <c r="AB8" s="74"/>
      <c r="AC8" s="1264"/>
      <c r="AD8" s="82"/>
      <c r="AE8" s="1265">
        <f t="shared" ca="1" si="6"/>
        <v>23.7</v>
      </c>
      <c r="AF8" s="1807"/>
      <c r="AG8" s="147">
        <f t="shared" si="7"/>
        <v>0</v>
      </c>
      <c r="AH8" s="808"/>
      <c r="AI8" s="85">
        <v>365</v>
      </c>
      <c r="AJ8" s="86"/>
      <c r="AK8" s="809">
        <v>1.4999999999999999E-2</v>
      </c>
      <c r="AL8" s="810">
        <v>1.5E-3</v>
      </c>
      <c r="AM8" s="811">
        <v>0.02</v>
      </c>
      <c r="AN8" s="2312" t="s">
        <v>3121</v>
      </c>
      <c r="AO8" s="55">
        <f t="shared" ca="1" si="8"/>
        <v>6008</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0.82499999999999996</v>
      </c>
      <c r="H16" s="99">
        <f>ROUND(SUMPRODUCT(H6:H13,K6:K13)/SUMPRODUCT((H6:H13&gt;0)*(K6:K13)),3)</f>
        <v>4.4999999999999998E-2</v>
      </c>
      <c r="I16" s="100"/>
      <c r="J16" s="100"/>
      <c r="K16" s="101">
        <f>SUM(K6:K15)</f>
        <v>26071.75</v>
      </c>
      <c r="L16" s="102">
        <f>ROUND(M16*10000/SUM(K6:K14),0)</f>
        <v>2761</v>
      </c>
      <c r="M16" s="102">
        <f>SUM(M6:M14)</f>
        <v>7198</v>
      </c>
      <c r="N16" s="103">
        <f>ROUND(SUMPRODUCT(M6:M14,N6:N14)/M16,3)</f>
        <v>0.82</v>
      </c>
      <c r="O16" s="102">
        <f>SUM(O6:O14)</f>
        <v>0</v>
      </c>
      <c r="P16" s="102">
        <f>SUM(P6:P14)</f>
        <v>0</v>
      </c>
      <c r="Q16" s="104">
        <f>ROUND(SUMPRODUCT(Q6:Q13,K6:K13)/SUMPRODUCT((Q6:Q13&gt;0)*(K6:K13)),2)</f>
        <v>0.13</v>
      </c>
      <c r="R16" s="1258">
        <f ca="1">SUM(R6:R13)</f>
        <v>9821.76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1</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0.04</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0.05</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4.3499999999999997E-2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8" t="s">
        <v>2086</v>
      </c>
      <c r="B1" s="3099"/>
      <c r="C1" s="3099"/>
      <c r="D1" s="3099"/>
      <c r="E1" s="3099"/>
      <c r="F1" s="3099"/>
      <c r="G1" s="309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8"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8" t="s">
        <v>2098</v>
      </c>
      <c r="C5" s="2377" t="s">
        <v>2099</v>
      </c>
      <c r="D5" s="2374"/>
      <c r="E5" s="2378"/>
      <c r="F5" s="1798" t="s">
        <v>2100</v>
      </c>
      <c r="G5" s="2379" t="s">
        <v>2101</v>
      </c>
      <c r="H5" s="2371"/>
      <c r="I5" s="2371"/>
      <c r="J5" s="2371"/>
      <c r="K5" s="2371"/>
      <c r="L5" s="2371"/>
      <c r="M5" s="2371"/>
      <c r="N5" s="2371"/>
      <c r="O5" s="2371"/>
      <c r="P5" s="2371"/>
      <c r="Q5" s="2371"/>
      <c r="R5" s="2371"/>
    </row>
    <row r="6" spans="1:29" ht="54">
      <c r="A6" s="431"/>
      <c r="B6" s="1798" t="s">
        <v>2102</v>
      </c>
      <c r="C6" s="2379" t="s">
        <v>2097</v>
      </c>
      <c r="D6" s="2374"/>
      <c r="E6" s="2378"/>
      <c r="F6" s="1798" t="s">
        <v>2103</v>
      </c>
      <c r="G6" s="2379" t="s">
        <v>2104</v>
      </c>
      <c r="H6" s="2371"/>
      <c r="I6" s="2371"/>
      <c r="J6" s="2371"/>
      <c r="K6" s="2371"/>
      <c r="L6" s="2371"/>
      <c r="M6" s="2371"/>
      <c r="N6" s="2371"/>
      <c r="O6" s="2371"/>
      <c r="P6" s="2371"/>
      <c r="Q6" s="2371"/>
      <c r="R6" s="2371"/>
    </row>
    <row r="7" spans="1:29" ht="41.25" thickBot="1">
      <c r="A7" s="431"/>
      <c r="B7" s="1798"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8" t="s">
        <v>2103</v>
      </c>
      <c r="C8" s="2379" t="s">
        <v>2104</v>
      </c>
      <c r="D8" s="2380"/>
      <c r="E8" s="2380"/>
      <c r="F8" s="1136"/>
      <c r="G8" s="1136"/>
      <c r="H8" s="2371"/>
      <c r="I8" s="2371"/>
      <c r="J8" s="2371"/>
      <c r="K8" s="2371"/>
      <c r="L8" s="2371"/>
      <c r="M8" s="2371"/>
      <c r="N8" s="2371"/>
      <c r="O8" s="2371"/>
      <c r="P8" s="2371"/>
      <c r="Q8" s="2371"/>
      <c r="R8" s="2371"/>
    </row>
    <row r="9" spans="1:29" ht="27">
      <c r="A9" s="431"/>
      <c r="B9" s="1798"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8"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8" t="s">
        <v>2119</v>
      </c>
      <c r="G20" s="136" t="str">
        <f>G6</f>
        <v>估价对象所在区域基础设施水平</v>
      </c>
    </row>
    <row r="21" spans="1:18" ht="28.5">
      <c r="A21" s="645"/>
      <c r="B21" s="1798" t="s">
        <v>2100</v>
      </c>
      <c r="C21" s="136" t="str">
        <f>C7</f>
        <v>估价对象所在区域公共配套设施齐备情况</v>
      </c>
      <c r="D21" s="2374"/>
      <c r="E21" s="2410"/>
      <c r="F21" s="2411" t="s">
        <v>2120</v>
      </c>
      <c r="G21" s="2412"/>
    </row>
    <row r="22" spans="1:18" ht="13.5" customHeight="1">
      <c r="A22" s="645"/>
      <c r="B22" s="1798"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6" sqref="E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26071.75</v>
      </c>
      <c r="C1" s="1745"/>
      <c r="D1" s="1745"/>
      <c r="E1" s="1745"/>
      <c r="F1" s="1745"/>
      <c r="G1" s="1743"/>
    </row>
    <row r="2" spans="1:10" ht="16.5">
      <c r="A2" s="1746" t="s">
        <v>1353</v>
      </c>
      <c r="B2" s="1746">
        <f>SUM(C14:C23)</f>
        <v>9821.76</v>
      </c>
      <c r="C2" s="1745"/>
      <c r="D2" s="1745"/>
      <c r="E2" s="1745"/>
      <c r="F2" s="1745"/>
      <c r="G2" s="1743"/>
    </row>
    <row r="3" spans="1:10" ht="16.5">
      <c r="A3" s="1746" t="s">
        <v>1362</v>
      </c>
      <c r="B3" s="1747">
        <f>项目基本情况!D3</f>
        <v>43157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51211</v>
      </c>
      <c r="C5" s="1746">
        <f ca="1">ROUND(B5*10000/$B$1,0)</f>
        <v>19642</v>
      </c>
      <c r="D5" s="1746">
        <f ca="1">ROUND(B5*10000/$B$2,0)</f>
        <v>52140</v>
      </c>
      <c r="E5" s="1745"/>
      <c r="F5" s="1743"/>
      <c r="G5" s="1743"/>
    </row>
    <row r="6" spans="1:10" ht="16.5">
      <c r="A6" s="1746" t="s">
        <v>1356</v>
      </c>
      <c r="B6" s="1746">
        <f ca="1">SUM(G14:G23)</f>
        <v>51211</v>
      </c>
      <c r="C6" s="1746">
        <f ca="1">ROUND(B6*10000/$B$1,0)</f>
        <v>19642</v>
      </c>
      <c r="D6" s="1746">
        <f ca="1">ROUND(B6*10000/$B$2,0)</f>
        <v>52140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10867.1</v>
      </c>
      <c r="C14" s="1744">
        <f>结果表!C118</f>
        <v>4093.86</v>
      </c>
      <c r="D14" s="1744">
        <f ca="1">结果表!H118</f>
        <v>32487</v>
      </c>
      <c r="E14" s="1744">
        <f ca="1">ROUND(D14*10000/B14,0)</f>
        <v>29895</v>
      </c>
      <c r="F14" s="1744">
        <f ca="1">ROUND(D14*10000/C14,0)</f>
        <v>79355</v>
      </c>
      <c r="G14" s="1744">
        <f ca="1">结果表!D122</f>
        <v>32487</v>
      </c>
      <c r="H14" s="1744" t="str">
        <f>结果表!D124</f>
        <v>——</v>
      </c>
      <c r="I14" s="1744" t="str">
        <f>结果表!D126</f>
        <v>——</v>
      </c>
      <c r="J14" s="1743"/>
    </row>
    <row r="15" spans="1:10" ht="16.5">
      <c r="A15" s="1742" t="s">
        <v>1349</v>
      </c>
      <c r="B15" s="1749">
        <f>'结果表-未出租'!L18</f>
        <v>2729.98</v>
      </c>
      <c r="C15" s="1749">
        <f>'结果表-未出租'!L19</f>
        <v>1028.44</v>
      </c>
      <c r="D15" s="1749">
        <f ca="1">'结果表-未出租'!G19</f>
        <v>8136</v>
      </c>
      <c r="E15" s="1744">
        <f t="shared" ref="E15:E23" ca="1" si="0">ROUND(D15*10000/B15,0)</f>
        <v>29802</v>
      </c>
      <c r="F15" s="1744">
        <f t="shared" ref="F15:F23" ca="1" si="1">ROUND(D15*10000/C15,0)</f>
        <v>79110</v>
      </c>
      <c r="G15" s="1750">
        <f ca="1">D15</f>
        <v>8136</v>
      </c>
      <c r="H15" s="1750"/>
      <c r="I15" s="1749"/>
      <c r="J15" s="1743"/>
    </row>
    <row r="16" spans="1:10" ht="16.5">
      <c r="A16" s="1742" t="s">
        <v>1348</v>
      </c>
      <c r="B16" s="1749">
        <f>'结果表-车位'!L18</f>
        <v>12474.67</v>
      </c>
      <c r="C16" s="1749">
        <f>'结果表-车位'!L19</f>
        <v>4699.46</v>
      </c>
      <c r="D16" s="1749">
        <f ca="1">'结果表-车位'!G19</f>
        <v>10588</v>
      </c>
      <c r="E16" s="1744">
        <f t="shared" ca="1" si="0"/>
        <v>8488</v>
      </c>
      <c r="F16" s="1744">
        <f t="shared" ca="1" si="1"/>
        <v>22530</v>
      </c>
      <c r="G16" s="1750">
        <f ca="1">D16</f>
        <v>10588</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3057</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3094</v>
      </c>
      <c r="D4" s="2431" t="s">
        <v>3091</v>
      </c>
      <c r="E4" s="3130" t="s">
        <v>2128</v>
      </c>
      <c r="F4" s="3131"/>
      <c r="G4" s="3131"/>
      <c r="H4" s="3131"/>
      <c r="I4" s="313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4</v>
      </c>
      <c r="D14" s="3136">
        <v>6</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10867.1</v>
      </c>
      <c r="M18" s="2432">
        <f>IF(C1="",'数据-汇总表'!E3,SUMIF(项目类型,C1,'数据-汇总表'!E17:E26))</f>
        <v>10867.1</v>
      </c>
    </row>
    <row r="19" spans="1:35" ht="15">
      <c r="A19" s="2438" t="s">
        <v>2151</v>
      </c>
      <c r="B19" s="2439" t="s">
        <v>2152</v>
      </c>
      <c r="C19" s="143">
        <f ca="1">SUMIF(INDIRECT("'"&amp;C4&amp;"'"&amp;"!A:A"),结果表!B19,INDIRECT("'"&amp;C4&amp;"'"&amp;"!B:B"))</f>
        <v>45095</v>
      </c>
      <c r="D19" s="144">
        <f ca="1">SUMIF(INDIRECT("'"&amp;D4&amp;"'"&amp;"!A:A"),结果表!B19,INDIRECT("'"&amp;D4&amp;"'"&amp;"!B:B"))</f>
        <v>24082</v>
      </c>
      <c r="E19" s="2438" t="s">
        <v>2153</v>
      </c>
      <c r="F19" s="2439" t="s">
        <v>2152</v>
      </c>
      <c r="G19" s="145">
        <f ca="1">ROUND(C19*$C$18+D19*$D$18,0)</f>
        <v>32487</v>
      </c>
      <c r="H19" s="2440" t="s">
        <v>2154</v>
      </c>
      <c r="I19" s="138"/>
      <c r="K19" s="2432" t="s">
        <v>2155</v>
      </c>
      <c r="L19" s="2432">
        <f>IF(C1="",'数据-汇总表'!D3,SUMIF(项目类型,C1,'数据-汇总表'!D17:D26)+SUMIF(项目类型,C1,'数据-汇总表'!H17:H27))</f>
        <v>4093.86</v>
      </c>
      <c r="M19" s="2432">
        <f>IF(C1="",'数据-汇总表'!D3,SUMIF(项目类型,C1,'数据-汇总表'!D17:D26))</f>
        <v>4093.86</v>
      </c>
    </row>
    <row r="20" spans="1:35" ht="15">
      <c r="A20" s="2441"/>
      <c r="B20" s="1250" t="s">
        <v>2156</v>
      </c>
      <c r="C20" s="146">
        <f ca="1">SUMIF(INDIRECT("'"&amp;C4&amp;"'"&amp;"!A:A"),结果表!B20,INDIRECT("'"&amp;C4&amp;"'"&amp;"!B:B"))</f>
        <v>41497</v>
      </c>
      <c r="D20" s="147">
        <f ca="1">SUMIF(INDIRECT("'"&amp;D4&amp;"'"&amp;"!A:A"),结果表!B20,INDIRECT("'"&amp;D4&amp;"'"&amp;"!B:B"))</f>
        <v>22160</v>
      </c>
      <c r="E20" s="2441"/>
      <c r="F20" s="1250" t="s">
        <v>2156</v>
      </c>
      <c r="G20" s="148">
        <f ca="1">ROUND(C20*$C$18+D20*$D$18,0)</f>
        <v>29895</v>
      </c>
      <c r="H20" s="983" t="s">
        <v>2157</v>
      </c>
      <c r="I20" s="138"/>
    </row>
    <row r="21" spans="1:35" ht="15" customHeight="1" thickBot="1">
      <c r="A21" s="1003"/>
      <c r="B21" s="2442" t="s">
        <v>2158</v>
      </c>
      <c r="C21" s="789">
        <f ca="1">ROUND(C19*10000/L19,0)</f>
        <v>110153</v>
      </c>
      <c r="D21" s="790">
        <f ca="1">ROUND(D19*10000/L19,0)</f>
        <v>58825</v>
      </c>
      <c r="E21" s="1003"/>
      <c r="F21" s="2442" t="s">
        <v>2158</v>
      </c>
      <c r="G21" s="149">
        <f ca="1">ROUND(G19*10000/L19,0)</f>
        <v>79355</v>
      </c>
      <c r="H21" s="2443" t="s">
        <v>2157</v>
      </c>
      <c r="I21" s="138"/>
    </row>
    <row r="22" spans="1:35" ht="15" thickBot="1">
      <c r="A22" s="2284" t="s">
        <v>2159</v>
      </c>
      <c r="B22" s="2444"/>
      <c r="C22" s="2445"/>
      <c r="D22" s="791">
        <f ca="1">IF(C19&lt;D19,D19/C19-1,C19/D19-1)</f>
        <v>0.87256041856988631</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32487</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32487</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1812">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1812">
        <v>2</v>
      </c>
      <c r="K47" s="3164" t="s">
        <v>2199</v>
      </c>
      <c r="L47" s="3164"/>
      <c r="M47" s="3185">
        <f>'数据-取费表'!B2</f>
        <v>43157</v>
      </c>
      <c r="N47" s="3185"/>
      <c r="O47" s="3185"/>
    </row>
    <row r="48" spans="1:15" ht="25.5">
      <c r="A48" s="3132" t="s">
        <v>2200</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64" t="s">
        <v>2203</v>
      </c>
      <c r="L48" s="3164"/>
      <c r="M48" s="3186">
        <f ca="1">H101</f>
        <v>32487</v>
      </c>
      <c r="N48" s="3186"/>
      <c r="O48" s="3186"/>
    </row>
    <row r="49" spans="1:35" ht="25.5" customHeight="1">
      <c r="A49" s="176" t="s">
        <v>2204</v>
      </c>
      <c r="B49" s="3100" t="s">
        <v>2205</v>
      </c>
      <c r="C49" s="3100"/>
      <c r="D49" s="177">
        <v>0</v>
      </c>
      <c r="E49" s="23" t="s">
        <v>2206</v>
      </c>
      <c r="F49" s="28" t="s">
        <v>34</v>
      </c>
      <c r="G49" s="3170"/>
      <c r="H49" s="138"/>
      <c r="I49" s="2487"/>
      <c r="J49" s="1812">
        <v>4</v>
      </c>
      <c r="K49" s="3164" t="str">
        <f>IF(项目基本情况!E8="房地产抵押价值","房地产抵押价值","抵押担保权已注销时的房地产抵押价值")</f>
        <v>房地产抵押价值</v>
      </c>
      <c r="L49" s="3164"/>
      <c r="M49" s="3186">
        <f ca="1">IF(项目基本情况!E8="房地产抵押价值",H107,H109)</f>
        <v>32487</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488" t="s">
        <v>2210</v>
      </c>
      <c r="K51" s="3164" t="s">
        <v>2211</v>
      </c>
      <c r="L51" s="3164"/>
      <c r="M51" s="2488" t="s">
        <v>2212</v>
      </c>
      <c r="N51" s="2488" t="s">
        <v>2213</v>
      </c>
      <c r="O51" s="2488" t="s">
        <v>2214</v>
      </c>
    </row>
    <row r="52" spans="1:35" ht="24" customHeight="1">
      <c r="A52" s="183" t="s">
        <v>2215</v>
      </c>
      <c r="B52" s="3100" t="s">
        <v>2216</v>
      </c>
      <c r="C52" s="3100"/>
      <c r="D52" s="182">
        <f ca="1">ROUND(D45*'数据-取费表'!B41/(1+'数据-取费表'!C42),0)</f>
        <v>1733</v>
      </c>
      <c r="E52" s="11" t="s">
        <v>2217</v>
      </c>
      <c r="F52" s="184">
        <f>'数据-取费表'!B41</f>
        <v>5.6000000000000001E-2</v>
      </c>
      <c r="G52" s="2489"/>
      <c r="H52" s="138"/>
      <c r="I52" s="2487"/>
      <c r="J52" s="1812">
        <v>1</v>
      </c>
      <c r="K52" s="3165" t="s">
        <v>2218</v>
      </c>
      <c r="L52" s="3165"/>
      <c r="M52" s="1754">
        <f>D48</f>
        <v>0</v>
      </c>
      <c r="N52" s="1812" t="str">
        <f>E48</f>
        <v>销售额×税（费）率</v>
      </c>
      <c r="O52" s="1755" t="str">
        <f>F48</f>
        <v>免征</v>
      </c>
    </row>
    <row r="53" spans="1:35" ht="12" customHeight="1">
      <c r="A53" s="183" t="s">
        <v>2219</v>
      </c>
      <c r="B53" s="3123" t="s">
        <v>2220</v>
      </c>
      <c r="C53" s="3124"/>
      <c r="D53" s="182">
        <f ca="1">ROUND(D45*'数据-取费表'!B41/(1+'数据-取费表'!C42),0)</f>
        <v>1733</v>
      </c>
      <c r="E53" s="11" t="s">
        <v>2217</v>
      </c>
      <c r="F53" s="184">
        <f>'数据-取费表'!B41</f>
        <v>5.6000000000000001E-2</v>
      </c>
      <c r="G53" s="2489"/>
      <c r="H53" s="138"/>
      <c r="I53" s="2487"/>
      <c r="J53" s="1812">
        <v>2</v>
      </c>
      <c r="K53" s="3165" t="s">
        <v>2221</v>
      </c>
      <c r="L53" s="3165"/>
      <c r="M53" s="1754">
        <f t="shared" ref="M53:O54" ca="1" si="0">D55</f>
        <v>16</v>
      </c>
      <c r="N53" s="1812" t="str">
        <f t="shared" si="0"/>
        <v>销售额×税（费）率</v>
      </c>
      <c r="O53" s="1755">
        <f t="shared" si="0"/>
        <v>5.0000000000000001E-4</v>
      </c>
    </row>
    <row r="54" spans="1:35" ht="12" customHeight="1">
      <c r="A54" s="183" t="s">
        <v>2222</v>
      </c>
      <c r="B54" s="3123" t="s">
        <v>2223</v>
      </c>
      <c r="C54" s="3124"/>
      <c r="D54" s="182">
        <f ca="1">C68</f>
        <v>1733</v>
      </c>
      <c r="E54" s="30" t="s">
        <v>2224</v>
      </c>
      <c r="F54" s="184">
        <f>'数据-取费表'!B41</f>
        <v>5.6000000000000001E-2</v>
      </c>
      <c r="G54" s="2489"/>
      <c r="H54" s="2490"/>
      <c r="I54" s="2487"/>
      <c r="J54" s="1812">
        <v>3</v>
      </c>
      <c r="K54" s="3165" t="s">
        <v>2225</v>
      </c>
      <c r="L54" s="3165"/>
      <c r="M54" s="1754">
        <f t="shared" ca="1" si="0"/>
        <v>18387</v>
      </c>
      <c r="N54" s="1812" t="str">
        <f t="shared" si="0"/>
        <v>增值额×税（费）率</v>
      </c>
      <c r="O54" s="1756" t="str">
        <f t="shared" si="0"/>
        <v>——</v>
      </c>
    </row>
    <row r="55" spans="1:35" ht="24" customHeight="1">
      <c r="A55" s="3114" t="s">
        <v>2226</v>
      </c>
      <c r="B55" s="3115"/>
      <c r="C55" s="3115"/>
      <c r="D55" s="185">
        <f ca="1">IF(H55="个人住宅",0,ROUND(D45*I55,0))</f>
        <v>16</v>
      </c>
      <c r="E55" s="11" t="s">
        <v>2227</v>
      </c>
      <c r="F55" s="184">
        <f>IF(H55="正常",I55,"免征")</f>
        <v>5.0000000000000001E-4</v>
      </c>
      <c r="G55" s="2489"/>
      <c r="H55" s="2486" t="s">
        <v>2228</v>
      </c>
      <c r="I55" s="186">
        <f>'数据-取费表'!B49</f>
        <v>5.0000000000000001E-4</v>
      </c>
      <c r="J55" s="1812" t="str">
        <f>IF(H59="非个人房产","",4)</f>
        <v/>
      </c>
      <c r="K55" s="3165" t="str">
        <f>IF(H59="非个人房产","——","个人所得税")</f>
        <v>——</v>
      </c>
      <c r="L55" s="3165"/>
      <c r="M55" s="1757" t="str">
        <f>D59</f>
        <v>——</v>
      </c>
      <c r="N55" s="1810" t="str">
        <f>E59</f>
        <v>——</v>
      </c>
      <c r="O55" s="1758" t="str">
        <f>F59</f>
        <v>——</v>
      </c>
    </row>
    <row r="56" spans="1:35" ht="24.75">
      <c r="A56" s="3114" t="s">
        <v>2229</v>
      </c>
      <c r="B56" s="3115"/>
      <c r="C56" s="3115"/>
      <c r="D56" s="185">
        <f ca="1">IF(H56="个人住宅",D57,D58)</f>
        <v>18387</v>
      </c>
      <c r="E56" s="11" t="s">
        <v>2230</v>
      </c>
      <c r="F56" s="184" t="str">
        <f>IF(H56="正常",F58,"免征")</f>
        <v>——</v>
      </c>
      <c r="G56" s="2491" t="s">
        <v>2231</v>
      </c>
      <c r="H56" s="2492" t="s">
        <v>2228</v>
      </c>
      <c r="I56" s="2493"/>
      <c r="J56" s="1812"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IF(AND(J55="",J56=""),4,IF(项目基本情况!K6="上海银行",结果表!J56+1,结果表!J55+1))</f>
        <v>4</v>
      </c>
      <c r="K57" s="3165" t="s">
        <v>2233</v>
      </c>
      <c r="L57" s="2494" t="s">
        <v>2234</v>
      </c>
      <c r="M57" s="1759"/>
      <c r="N57" s="1760">
        <f ca="1">SUMIF(M52:M56,"&lt;9e307")</f>
        <v>18403</v>
      </c>
      <c r="O57" s="2495"/>
      <c r="P57" s="1753">
        <f ca="1">N57/M49</f>
        <v>0.56647274294333116</v>
      </c>
    </row>
    <row r="58" spans="1:35" ht="24.75">
      <c r="A58" s="183" t="s">
        <v>2215</v>
      </c>
      <c r="B58" s="3130" t="s">
        <v>2235</v>
      </c>
      <c r="C58" s="3131"/>
      <c r="D58" s="185">
        <f ca="1">IF(H58="转让取得",C81,C97)</f>
        <v>18387</v>
      </c>
      <c r="E58" s="11" t="s">
        <v>2230</v>
      </c>
      <c r="F58" s="24" t="s">
        <v>34</v>
      </c>
      <c r="G58" s="2489"/>
      <c r="H58" s="2492" t="s">
        <v>2236</v>
      </c>
      <c r="I58" s="2493"/>
      <c r="J58" s="3165"/>
      <c r="K58" s="3165"/>
      <c r="L58" s="2494" t="s">
        <v>2237</v>
      </c>
      <c r="M58" s="1761"/>
      <c r="N58" s="2496" t="str">
        <f ca="1">NUMBERSTRING(INT(N57*10000),2)&amp;"元整"</f>
        <v>壹亿捌仟肆佰零叁万元整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1812" t="s">
        <v>2234</v>
      </c>
      <c r="M59" s="1762"/>
      <c r="N59" s="1763">
        <f ca="1">M49-N57</f>
        <v>14084</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壹亿肆仟零捌拾肆万元整</v>
      </c>
      <c r="O60" s="2497"/>
    </row>
    <row r="61" spans="1:35" ht="13.5" thickBot="1">
      <c r="A61" s="3112" t="s">
        <v>2241</v>
      </c>
      <c r="B61" s="3112"/>
      <c r="C61" s="3112"/>
      <c r="D61" s="3112"/>
      <c r="E61" s="3112"/>
      <c r="F61" s="2493"/>
      <c r="G61" s="2493"/>
      <c r="H61" s="2501"/>
      <c r="I61" s="138"/>
      <c r="J61" s="1812">
        <f>J59+1</f>
        <v>6</v>
      </c>
      <c r="K61" s="3165" t="s">
        <v>2242</v>
      </c>
      <c r="L61" s="3165"/>
      <c r="M61" s="1764"/>
      <c r="N61" s="1765">
        <f ca="1">ROUND(N59*10000/'数据-汇总表'!E3,0)</f>
        <v>5402</v>
      </c>
      <c r="O61" s="2502"/>
    </row>
    <row r="62" spans="1:35" ht="12.75">
      <c r="A62" s="3128" t="s">
        <v>2243</v>
      </c>
      <c r="B62" s="3129"/>
      <c r="C62" s="1804"/>
      <c r="D62" s="1804" t="s">
        <v>2244</v>
      </c>
      <c r="E62" s="192" t="s">
        <v>2245</v>
      </c>
      <c r="F62" s="2493"/>
      <c r="G62" s="2493"/>
      <c r="H62" s="2501"/>
      <c r="I62" s="138"/>
    </row>
    <row r="63" spans="1:35" ht="12.75">
      <c r="A63" s="203" t="s">
        <v>775</v>
      </c>
      <c r="B63" s="193" t="s">
        <v>2246</v>
      </c>
      <c r="C63" s="194">
        <f ca="1">ROUND((C64+C65)/(1+'数据-取费表'!C42),0)</f>
        <v>30940</v>
      </c>
      <c r="D63" s="195"/>
      <c r="E63" s="196"/>
      <c r="F63" s="2493"/>
      <c r="G63" s="2493"/>
      <c r="H63" s="2501"/>
      <c r="I63" s="138"/>
      <c r="J63" s="3190" t="s">
        <v>2247</v>
      </c>
      <c r="K63" s="2503" t="s">
        <v>2248</v>
      </c>
      <c r="L63" s="1752">
        <f ca="1">IF(M49&gt;10000,M49*0.5%,IF(AND(M49&gt;1000,M49&lt;=10000),M49*1%,IF(AND(M49&gt;100,M49&lt;=1000),M49*3%,IF(AND(M49&gt;10,M49&lt;=100),M49*5%,M49*8%))))</f>
        <v>162.435</v>
      </c>
      <c r="M63" s="24">
        <f ca="1">ROUND(L63,1)</f>
        <v>162.4</v>
      </c>
      <c r="Z63" s="2427"/>
      <c r="AI63" s="2428"/>
    </row>
    <row r="64" spans="1:35" ht="14.25" customHeight="1">
      <c r="A64" s="197" t="s">
        <v>770</v>
      </c>
      <c r="B64" s="198" t="s">
        <v>2249</v>
      </c>
      <c r="C64" s="199">
        <f ca="1">D45</f>
        <v>32487</v>
      </c>
      <c r="D64" s="200" t="s">
        <v>32</v>
      </c>
      <c r="E64" s="201"/>
      <c r="F64" s="2493"/>
      <c r="G64" s="2493"/>
      <c r="H64" s="2501"/>
      <c r="I64" s="138"/>
      <c r="J64" s="3190"/>
      <c r="K64" s="2503" t="s">
        <v>2250</v>
      </c>
      <c r="L64" s="1752">
        <f ca="1">IF(M49&gt;2000,M49*0.5%,IF(AND(M49&gt;1000,M49&lt;=2000),M49*0.6%,IF(AND(M49&gt;500,M49&lt;=1000),M49*0.7%,IF(AND(M49&gt;200,M49&lt;=500),M49*0.8%,IF(AND(M49&gt;100,M49&lt;=200),M49*0.9%,IF(AND(M49&gt;50,M49&lt;=100),M49*1%,IF(AND(M49&gt;20,M49&lt;=50),M49*1.5%,IF(AND(M49&gt;10,M49&lt;=20),M49*2%,IF(AND(M49&gt;1,M49&lt;=10),M49*2.5%)))))))))</f>
        <v>162.435</v>
      </c>
      <c r="M64" s="24">
        <f t="shared" ref="M64:M65" ca="1" si="1">ROUND(L64,1)</f>
        <v>162.4</v>
      </c>
      <c r="N64" s="138" t="s">
        <v>2251</v>
      </c>
      <c r="Z64" s="2427"/>
      <c r="AI64" s="2428"/>
    </row>
    <row r="65" spans="1:35" ht="14.25" customHeight="1">
      <c r="A65" s="197" t="s">
        <v>771</v>
      </c>
      <c r="B65" s="198" t="s">
        <v>2252</v>
      </c>
      <c r="C65" s="202"/>
      <c r="D65" s="200"/>
      <c r="E65" s="201"/>
      <c r="F65" s="2493"/>
      <c r="G65" s="2493"/>
      <c r="H65" s="2501"/>
      <c r="I65" s="138"/>
      <c r="J65" s="3190"/>
      <c r="K65" s="2503" t="s">
        <v>2253</v>
      </c>
      <c r="L65" s="1752">
        <f ca="1">IF(M49&gt;1000,M49*0.1%,IF(AND(M49&gt;500,M49&lt;=1000),M49*0.5%,IF(AND(M49&gt;50,M49&lt;=500),M49*1%,IF(AND(M49&gt;1,M49&lt;=50),M49*1.5%))))</f>
        <v>32.487000000000002</v>
      </c>
      <c r="M65" s="24">
        <f t="shared" ca="1" si="1"/>
        <v>32.5</v>
      </c>
      <c r="N65" s="138" t="s">
        <v>2251</v>
      </c>
      <c r="Z65" s="2427"/>
      <c r="AI65" s="2428"/>
    </row>
    <row r="66" spans="1:35" ht="14.25" customHeight="1">
      <c r="A66" s="203" t="s">
        <v>772</v>
      </c>
      <c r="B66" s="204" t="s">
        <v>2254</v>
      </c>
      <c r="C66" s="205"/>
      <c r="D66" s="206" t="s">
        <v>32</v>
      </c>
      <c r="E66" s="1776" t="s">
        <v>1371</v>
      </c>
      <c r="F66" s="2493"/>
      <c r="G66" s="2493"/>
      <c r="H66" s="2501"/>
      <c r="I66" s="138"/>
      <c r="J66" s="3190"/>
      <c r="K66" s="2503" t="s">
        <v>2255</v>
      </c>
      <c r="L66" s="1752">
        <f ca="1">M49*0.5%</f>
        <v>162.435</v>
      </c>
      <c r="M66" s="24">
        <f ca="1">IF(L66&gt;0.5,0.5,ROUND(L66,0))</f>
        <v>0.5</v>
      </c>
      <c r="N66" s="138" t="s">
        <v>2256</v>
      </c>
      <c r="Z66" s="2427"/>
      <c r="AI66" s="2428"/>
    </row>
    <row r="67" spans="1:35" ht="14.25" customHeight="1">
      <c r="A67" s="203" t="s">
        <v>773</v>
      </c>
      <c r="B67" s="204" t="s">
        <v>2257</v>
      </c>
      <c r="C67" s="207">
        <f ca="1">C63-C66</f>
        <v>30940</v>
      </c>
      <c r="D67" s="200" t="s">
        <v>32</v>
      </c>
      <c r="E67" s="201"/>
      <c r="F67" s="2493"/>
      <c r="G67" s="2493"/>
      <c r="H67" s="2501"/>
      <c r="I67" s="138"/>
      <c r="J67" s="3190"/>
      <c r="K67" s="2503" t="s">
        <v>2258</v>
      </c>
      <c r="L67" s="1752">
        <f ca="1">IF(M49&gt;=10000,(8.25+(M49-10000)*0.01%),IF(AND(M49&gt;=8000,M49&lt;10000),(7.85+(M49-8000)*0.02%),IF(AND(M49&gt;=5000,M49&lt;8000),(6.65+(M49-5000)*0.04%),IF(AND(M49&gt;=2000,M49&lt;5000),(4.25+(PM49-2000)*0.08%),IF(AND(M49&gt;=1000,M49&lt;2000),(2.75+(M49-1000)*0.15%),IF(AND(M49&gt;=100,M49&lt;1000),(0.5+(M49-100)*0.25%),IF(AND(M49&gt;0,M49&lt;100),M49*0.5%)))))))</f>
        <v>10.498699999999999</v>
      </c>
      <c r="M67" s="24">
        <f ca="1">ROUND(L67*0.9,1)</f>
        <v>9.4</v>
      </c>
      <c r="Z67" s="2427"/>
      <c r="AI67" s="2428"/>
    </row>
    <row r="68" spans="1:35" ht="14.25" customHeight="1" thickBot="1">
      <c r="A68" s="208" t="s">
        <v>774</v>
      </c>
      <c r="B68" s="209" t="s">
        <v>2259</v>
      </c>
      <c r="C68" s="210">
        <f ca="1">IF(C67&lt;=0,0,ROUND(C67*D68,0))</f>
        <v>1733</v>
      </c>
      <c r="D68" s="211">
        <f>'数据-取费表'!B41</f>
        <v>5.6000000000000001E-2</v>
      </c>
      <c r="E68" s="212"/>
      <c r="F68" s="2493"/>
      <c r="G68" s="2493"/>
      <c r="H68" s="2501"/>
      <c r="I68" s="138"/>
      <c r="J68" s="3190"/>
      <c r="K68" s="2503" t="s">
        <v>2260</v>
      </c>
      <c r="L68" s="1752">
        <f ca="1">IF(M49&gt;10000,M49*0.5%,IF(AND(M49&gt;5000,M49&lt;=10000),M49*1%,IF(AND(M49&gt;1000,M49&lt;=5000),M49*2%,IF(AND(M49&gt;200,M49&lt;=1000),M49*3%,M49*5%))))</f>
        <v>162.435</v>
      </c>
      <c r="M68" s="24">
        <f ca="1">ROUND(L68,1)</f>
        <v>162.4</v>
      </c>
      <c r="Z68" s="2427"/>
      <c r="AI68" s="2428"/>
    </row>
    <row r="69" spans="1:35" s="2450" customFormat="1" ht="16.5" customHeight="1">
      <c r="A69" s="2504"/>
      <c r="B69" s="2505"/>
      <c r="C69" s="2506"/>
      <c r="D69" s="2507"/>
      <c r="E69" s="2508"/>
      <c r="F69" s="2170"/>
      <c r="G69" s="2170"/>
      <c r="H69" s="2169"/>
      <c r="I69" s="2422"/>
      <c r="J69" s="3190"/>
      <c r="K69" s="2503" t="s">
        <v>2261</v>
      </c>
      <c r="L69" s="2509"/>
      <c r="M69" s="24">
        <f ca="1">ROUND(SUM(M63:M68),0)</f>
        <v>530</v>
      </c>
      <c r="N69" s="1753">
        <f ca="1">M69/M49</f>
        <v>1.6314217994890263E-2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30940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186</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186</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30754</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165.34408602150538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18387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30940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186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186</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30754</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165.34408602150538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18387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成本法</v>
      </c>
      <c r="D101" s="737" t="str">
        <f>D4</f>
        <v>收益法</v>
      </c>
      <c r="E101" s="3187" t="s">
        <v>2302</v>
      </c>
      <c r="F101" s="3141"/>
      <c r="G101" s="2524" t="s">
        <v>2303</v>
      </c>
      <c r="H101" s="1048">
        <f ca="1">H118</f>
        <v>32487</v>
      </c>
      <c r="I101" s="138"/>
    </row>
    <row r="102" spans="1:35" ht="18.75" customHeight="1">
      <c r="A102" s="3143" t="s">
        <v>2304</v>
      </c>
      <c r="B102" s="2524" t="s">
        <v>2303</v>
      </c>
      <c r="C102" s="736">
        <f ca="1">C19</f>
        <v>45095</v>
      </c>
      <c r="D102" s="737">
        <f ca="1">D19</f>
        <v>24082</v>
      </c>
      <c r="E102" s="3187"/>
      <c r="F102" s="3141"/>
      <c r="G102" s="2524" t="s">
        <v>2305</v>
      </c>
      <c r="H102" s="371">
        <f ca="1">I118</f>
        <v>29895</v>
      </c>
      <c r="I102" s="138"/>
    </row>
    <row r="103" spans="1:35" ht="42.75" customHeight="1">
      <c r="A103" s="3143"/>
      <c r="B103" s="2524" t="s">
        <v>2305</v>
      </c>
      <c r="C103" s="738">
        <f ca="1">C20</f>
        <v>41497</v>
      </c>
      <c r="D103" s="739">
        <f ca="1">D20</f>
        <v>22160</v>
      </c>
      <c r="E103" s="3182" t="s">
        <v>2306</v>
      </c>
      <c r="F103" s="3183"/>
      <c r="G103" s="2525" t="s">
        <v>2307</v>
      </c>
      <c r="H103" s="1048">
        <f>IF(D36="正常操作",H104+H105+H106,H105+H106)</f>
        <v>0</v>
      </c>
      <c r="I103" s="138"/>
    </row>
    <row r="104" spans="1:35" ht="18.75" customHeight="1">
      <c r="A104" s="3143" t="s">
        <v>2308</v>
      </c>
      <c r="B104" s="2526" t="s">
        <v>2303</v>
      </c>
      <c r="C104" s="740">
        <f ca="1">H118</f>
        <v>32487</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29895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32487</v>
      </c>
      <c r="I107" s="138"/>
    </row>
    <row r="108" spans="1:35" ht="18.75" customHeight="1">
      <c r="A108" s="138"/>
      <c r="B108" s="138"/>
      <c r="C108" s="138"/>
      <c r="D108" s="138"/>
      <c r="E108" s="3140"/>
      <c r="F108" s="3141"/>
      <c r="G108" s="2524" t="s">
        <v>2305</v>
      </c>
      <c r="H108" s="371">
        <f ca="1">ROUND(H107*10000/'数据-汇总表'!E3,0)</f>
        <v>12461</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1798" t="s">
        <v>2320</v>
      </c>
      <c r="E117" s="1798" t="s">
        <v>2321</v>
      </c>
      <c r="F117" s="1798" t="s">
        <v>2320</v>
      </c>
      <c r="G117" s="1798" t="s">
        <v>2322</v>
      </c>
      <c r="H117" s="1798" t="s">
        <v>2320</v>
      </c>
      <c r="I117" s="1798" t="s">
        <v>2322</v>
      </c>
    </row>
    <row r="118" spans="1:11" ht="24.75" customHeight="1">
      <c r="A118" s="2530" t="str">
        <f>项目基本情况!S2</f>
        <v>北京市房地产</v>
      </c>
      <c r="B118" s="1798">
        <f>M18</f>
        <v>10867.1</v>
      </c>
      <c r="C118" s="1798">
        <f>M19</f>
        <v>4093.86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32487</v>
      </c>
      <c r="I118" s="1798">
        <f ca="1">ROUND(IF(D32="楼面单价",C32,H118*10000/B118),0)</f>
        <v>29895</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叁亿贰仟肆佰捌拾柒万元整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32487</v>
      </c>
      <c r="E122" s="3180"/>
      <c r="F122" s="3180"/>
      <c r="G122" s="3180"/>
      <c r="H122" s="3180"/>
      <c r="I122" s="3181"/>
    </row>
    <row r="123" spans="1:11" ht="18.75" customHeight="1">
      <c r="A123" s="3051" t="s">
        <v>2323</v>
      </c>
      <c r="B123" s="3051"/>
      <c r="C123" s="3051"/>
      <c r="D123" s="3151" t="str">
        <f ca="1">NUMBERSTRING(INT(D122*10000),2)&amp;"元整"</f>
        <v>叁亿贰仟肆佰捌拾柒万元整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5" sqref="G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3116</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3119</v>
      </c>
      <c r="D4" s="2431" t="s">
        <v>3121</v>
      </c>
      <c r="E4" s="3130" t="s">
        <v>2128</v>
      </c>
      <c r="F4" s="3131"/>
      <c r="G4" s="3131"/>
      <c r="H4" s="3131"/>
      <c r="I4" s="3139"/>
      <c r="K4" s="2432" t="str">
        <f>IF(ISNUMBER(FIND("比较法",'结果表-未出租'!C4)),"比较法",IF(ISNUMBER(FIND("成本法",'结果表-未出租'!C4)),"成本法",IF(ISNUMBER(FIND("假设开发法",'结果表-未出租'!C4)),"假设开发法",IF(ISNUMBER(FIND("收益法",'结果表-未出租'!C4)),"收益法","基准地价系数修正法"))))</f>
        <v>成本法</v>
      </c>
      <c r="L4" s="2432"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4</v>
      </c>
      <c r="D14" s="3136">
        <v>6</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2729.98</v>
      </c>
      <c r="M18" s="2432">
        <f>IF(C1="",'数据-汇总表'!E3,SUMIF(项目类型,C1,'数据-汇总表'!E17:E26))</f>
        <v>2729.98</v>
      </c>
    </row>
    <row r="19" spans="1:35" ht="15">
      <c r="A19" s="2438" t="s">
        <v>2151</v>
      </c>
      <c r="B19" s="2439" t="s">
        <v>2152</v>
      </c>
      <c r="C19" s="143">
        <f ca="1">SUMIF(INDIRECT("'"&amp;C4&amp;"'"&amp;"!A:A"),'结果表-未出租'!B19,INDIRECT("'"&amp;C4&amp;"'"&amp;"!B:B"))</f>
        <v>11327</v>
      </c>
      <c r="D19" s="144">
        <f ca="1">SUMIF(INDIRECT("'"&amp;D4&amp;"'"&amp;"!A:A"),'结果表-未出租'!B19,INDIRECT("'"&amp;D4&amp;"'"&amp;"!B:B"))</f>
        <v>6008</v>
      </c>
      <c r="E19" s="2438" t="s">
        <v>2153</v>
      </c>
      <c r="F19" s="2439" t="s">
        <v>2152</v>
      </c>
      <c r="G19" s="145">
        <f ca="1">ROUND(C19*$C$18+D19*$D$18,0)</f>
        <v>8136</v>
      </c>
      <c r="H19" s="2440" t="s">
        <v>2154</v>
      </c>
      <c r="I19" s="138"/>
      <c r="K19" s="2432" t="s">
        <v>2155</v>
      </c>
      <c r="L19" s="2432">
        <f>IF(C1="",'数据-汇总表'!D3,SUMIF(项目类型,C1,'数据-汇总表'!D17:D26)+SUMIF(项目类型,C1,'数据-汇总表'!H17:H27))</f>
        <v>1028.44</v>
      </c>
      <c r="M19" s="2432">
        <f>IF(C1="",'数据-汇总表'!D3,SUMIF(项目类型,C1,'数据-汇总表'!D17:D26))</f>
        <v>1028.44</v>
      </c>
    </row>
    <row r="20" spans="1:35" ht="15">
      <c r="A20" s="2441"/>
      <c r="B20" s="1250" t="s">
        <v>2156</v>
      </c>
      <c r="C20" s="146">
        <f ca="1">SUMIF(INDIRECT("'"&amp;C4&amp;"'"&amp;"!A:A"),'结果表-未出租'!B20,INDIRECT("'"&amp;C4&amp;"'"&amp;"!B:B"))</f>
        <v>41491</v>
      </c>
      <c r="D20" s="147">
        <f ca="1">SUMIF(INDIRECT("'"&amp;D4&amp;"'"&amp;"!A:A"),'结果表-未出租'!B20,INDIRECT("'"&amp;D4&amp;"'"&amp;"!B:B"))</f>
        <v>22007</v>
      </c>
      <c r="E20" s="2441"/>
      <c r="F20" s="1250" t="s">
        <v>2156</v>
      </c>
      <c r="G20" s="148">
        <f ca="1">ROUND(C20*$C$18+D20*$D$18,0)</f>
        <v>29801</v>
      </c>
      <c r="H20" s="983" t="s">
        <v>2157</v>
      </c>
      <c r="I20" s="138"/>
    </row>
    <row r="21" spans="1:35" ht="15" customHeight="1" thickBot="1">
      <c r="A21" s="1003"/>
      <c r="B21" s="2442" t="s">
        <v>2158</v>
      </c>
      <c r="C21" s="789">
        <f ca="1">ROUND(C19*10000/L19,0)</f>
        <v>110138</v>
      </c>
      <c r="D21" s="790">
        <f ca="1">ROUND(D19*10000/L19,0)</f>
        <v>58419</v>
      </c>
      <c r="E21" s="1003"/>
      <c r="F21" s="2442" t="s">
        <v>2158</v>
      </c>
      <c r="G21" s="149">
        <f ca="1">ROUND(G19*10000/L19,0)</f>
        <v>79110</v>
      </c>
      <c r="H21" s="2443" t="s">
        <v>2157</v>
      </c>
      <c r="I21" s="138"/>
    </row>
    <row r="22" spans="1:35" ht="15" thickBot="1">
      <c r="A22" s="2284" t="s">
        <v>2159</v>
      </c>
      <c r="B22" s="2444"/>
      <c r="C22" s="2445"/>
      <c r="D22" s="791">
        <f ca="1">IF(C19&lt;D19,D19/C19-1,C19/D19-1)</f>
        <v>0.88531957390146476</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8136</v>
      </c>
      <c r="D32" s="2453" t="s">
        <v>2167</v>
      </c>
      <c r="E32" s="138"/>
      <c r="F32" s="138"/>
      <c r="G32" s="138"/>
      <c r="H32" s="138"/>
      <c r="I32" s="138"/>
    </row>
    <row r="33" spans="1:15" ht="15">
      <c r="A33" s="960" t="s">
        <v>2168</v>
      </c>
      <c r="B33" s="2454"/>
      <c r="C33" s="2455"/>
      <c r="D33" s="2456"/>
      <c r="E33" s="2457" t="s">
        <v>2169</v>
      </c>
      <c r="F33" s="297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8136</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2987">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2987">
        <v>2</v>
      </c>
      <c r="K47" s="3164" t="s">
        <v>2199</v>
      </c>
      <c r="L47" s="3164"/>
      <c r="M47" s="3185">
        <f>'数据-取费表'!B2</f>
        <v>43157</v>
      </c>
      <c r="N47" s="3185"/>
      <c r="O47" s="3185"/>
    </row>
    <row r="48" spans="1:15" ht="25.5">
      <c r="A48" s="3132" t="s">
        <v>2200</v>
      </c>
      <c r="B48" s="3115"/>
      <c r="C48" s="3115"/>
      <c r="D48" s="140">
        <f>IF(H48="情况1",0,IF(H48="情况2",D52,IF(H48="情况3",D53,IF(H48="情况4",D54))))</f>
        <v>0</v>
      </c>
      <c r="E48" s="2997" t="str">
        <f>IF(H48="情况4","(销售额-原购置价)×税（费）率","销售额×税（费）率")</f>
        <v>销售额×税（费）率</v>
      </c>
      <c r="F48" s="175" t="str">
        <f>IF(H48="情况1","免征",'数据-取费表'!B41)</f>
        <v>免征</v>
      </c>
      <c r="G48" s="2485" t="s">
        <v>2201</v>
      </c>
      <c r="H48" s="2486" t="s">
        <v>2202</v>
      </c>
      <c r="I48" s="2484"/>
      <c r="J48" s="2987">
        <v>3</v>
      </c>
      <c r="K48" s="3164" t="s">
        <v>2203</v>
      </c>
      <c r="L48" s="3164"/>
      <c r="M48" s="3186">
        <f ca="1">H101</f>
        <v>8136</v>
      </c>
      <c r="N48" s="3186"/>
      <c r="O48" s="3186"/>
    </row>
    <row r="49" spans="1:35" ht="25.5" customHeight="1">
      <c r="A49" s="176" t="s">
        <v>2204</v>
      </c>
      <c r="B49" s="3100" t="s">
        <v>2205</v>
      </c>
      <c r="C49" s="3100"/>
      <c r="D49" s="177">
        <v>0</v>
      </c>
      <c r="E49" s="23" t="s">
        <v>2206</v>
      </c>
      <c r="F49" s="28" t="s">
        <v>34</v>
      </c>
      <c r="G49" s="3170"/>
      <c r="H49" s="138"/>
      <c r="I49" s="2487"/>
      <c r="J49" s="2987">
        <v>4</v>
      </c>
      <c r="K49" s="3164" t="str">
        <f>IF(项目基本情况!E8="房地产抵押价值","房地产抵押价值","抵押担保权已注销时的房地产抵押价值")</f>
        <v>房地产抵押价值</v>
      </c>
      <c r="L49" s="3164"/>
      <c r="M49" s="3186">
        <f ca="1">IF(项目基本情况!E8="房地产抵押价值",H107,H109)</f>
        <v>8136</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980" t="s">
        <v>2210</v>
      </c>
      <c r="K51" s="3164" t="s">
        <v>2211</v>
      </c>
      <c r="L51" s="3164"/>
      <c r="M51" s="2980" t="s">
        <v>2212</v>
      </c>
      <c r="N51" s="2980" t="s">
        <v>2213</v>
      </c>
      <c r="O51" s="2980" t="s">
        <v>2214</v>
      </c>
    </row>
    <row r="52" spans="1:35" ht="24" customHeight="1">
      <c r="A52" s="183" t="s">
        <v>2215</v>
      </c>
      <c r="B52" s="3100" t="s">
        <v>2216</v>
      </c>
      <c r="C52" s="3100"/>
      <c r="D52" s="182">
        <f ca="1">ROUND(D45*'数据-取费表'!B41/(1+'数据-取费表'!C42),0)</f>
        <v>434</v>
      </c>
      <c r="E52" s="11" t="s">
        <v>2217</v>
      </c>
      <c r="F52" s="184">
        <f>'数据-取费表'!B41</f>
        <v>5.6000000000000001E-2</v>
      </c>
      <c r="G52" s="2489"/>
      <c r="H52" s="138"/>
      <c r="I52" s="2487"/>
      <c r="J52" s="2987">
        <v>1</v>
      </c>
      <c r="K52" s="3165" t="s">
        <v>2218</v>
      </c>
      <c r="L52" s="3165"/>
      <c r="M52" s="1754">
        <f>D48</f>
        <v>0</v>
      </c>
      <c r="N52" s="2987" t="str">
        <f>E48</f>
        <v>销售额×税（费）率</v>
      </c>
      <c r="O52" s="1755" t="str">
        <f>F48</f>
        <v>免征</v>
      </c>
    </row>
    <row r="53" spans="1:35" ht="12" customHeight="1">
      <c r="A53" s="183" t="s">
        <v>2219</v>
      </c>
      <c r="B53" s="3123" t="s">
        <v>2220</v>
      </c>
      <c r="C53" s="3124"/>
      <c r="D53" s="182">
        <f ca="1">ROUND(D45*'数据-取费表'!B41/(1+'数据-取费表'!C42),0)</f>
        <v>434</v>
      </c>
      <c r="E53" s="11" t="s">
        <v>2217</v>
      </c>
      <c r="F53" s="184">
        <f>'数据-取费表'!B41</f>
        <v>5.6000000000000001E-2</v>
      </c>
      <c r="G53" s="2489"/>
      <c r="H53" s="138"/>
      <c r="I53" s="2487"/>
      <c r="J53" s="2987">
        <v>2</v>
      </c>
      <c r="K53" s="3165" t="s">
        <v>2221</v>
      </c>
      <c r="L53" s="3165"/>
      <c r="M53" s="1754">
        <f t="shared" ref="M53:O54" ca="1" si="0">D55</f>
        <v>4</v>
      </c>
      <c r="N53" s="2987" t="str">
        <f t="shared" si="0"/>
        <v>销售额×税（费）率</v>
      </c>
      <c r="O53" s="1755">
        <f t="shared" si="0"/>
        <v>5.0000000000000001E-4</v>
      </c>
    </row>
    <row r="54" spans="1:35" ht="12" customHeight="1">
      <c r="A54" s="183" t="s">
        <v>2222</v>
      </c>
      <c r="B54" s="3123" t="s">
        <v>2223</v>
      </c>
      <c r="C54" s="3124"/>
      <c r="D54" s="182">
        <f ca="1">C68</f>
        <v>434</v>
      </c>
      <c r="E54" s="30" t="s">
        <v>2224</v>
      </c>
      <c r="F54" s="184">
        <f>'数据-取费表'!B41</f>
        <v>5.6000000000000001E-2</v>
      </c>
      <c r="G54" s="2489"/>
      <c r="H54" s="2490"/>
      <c r="I54" s="2487"/>
      <c r="J54" s="2987">
        <v>3</v>
      </c>
      <c r="K54" s="3165" t="s">
        <v>2225</v>
      </c>
      <c r="L54" s="3165"/>
      <c r="M54" s="1754">
        <f t="shared" ca="1" si="0"/>
        <v>4606</v>
      </c>
      <c r="N54" s="2987" t="str">
        <f t="shared" si="0"/>
        <v>增值额×税（费）率</v>
      </c>
      <c r="O54" s="1756" t="str">
        <f t="shared" si="0"/>
        <v>——</v>
      </c>
    </row>
    <row r="55" spans="1:35" ht="24" customHeight="1">
      <c r="A55" s="3114" t="s">
        <v>2226</v>
      </c>
      <c r="B55" s="3115"/>
      <c r="C55" s="3115"/>
      <c r="D55" s="185">
        <f ca="1">IF(H55="个人住宅",0,ROUND(D45*I55,0))</f>
        <v>4</v>
      </c>
      <c r="E55" s="11" t="s">
        <v>2227</v>
      </c>
      <c r="F55" s="184">
        <f>IF(H55="正常",I55,"免征")</f>
        <v>5.0000000000000001E-4</v>
      </c>
      <c r="G55" s="2489"/>
      <c r="H55" s="2486" t="s">
        <v>2228</v>
      </c>
      <c r="I55" s="186">
        <f>'数据-取费表'!B49</f>
        <v>5.0000000000000001E-4</v>
      </c>
      <c r="J55" s="2987" t="str">
        <f>IF(H59="非个人房产","",4)</f>
        <v/>
      </c>
      <c r="K55" s="3165" t="str">
        <f>IF(H59="非个人房产","——","个人所得税")</f>
        <v>——</v>
      </c>
      <c r="L55" s="3165"/>
      <c r="M55" s="1757" t="str">
        <f>D59</f>
        <v>——</v>
      </c>
      <c r="N55" s="2988" t="str">
        <f>E59</f>
        <v>——</v>
      </c>
      <c r="O55" s="1758" t="str">
        <f>F59</f>
        <v>——</v>
      </c>
    </row>
    <row r="56" spans="1:35" ht="24.75">
      <c r="A56" s="3114" t="s">
        <v>2229</v>
      </c>
      <c r="B56" s="3115"/>
      <c r="C56" s="3115"/>
      <c r="D56" s="185">
        <f ca="1">IF(H56="个人住宅",D57,D58)</f>
        <v>4606</v>
      </c>
      <c r="E56" s="11" t="s">
        <v>2230</v>
      </c>
      <c r="F56" s="184" t="str">
        <f>IF(H56="正常",F58,"免征")</f>
        <v>——</v>
      </c>
      <c r="G56" s="2491" t="s">
        <v>2231</v>
      </c>
      <c r="H56" s="2492" t="s">
        <v>2228</v>
      </c>
      <c r="I56" s="2493"/>
      <c r="J56" s="2987"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IF(AND(J55="",J56=""),4,IF(项目基本情况!K6="上海银行",'结果表-未出租'!J56+1,'结果表-未出租'!J55+1))</f>
        <v>4</v>
      </c>
      <c r="K57" s="3165" t="s">
        <v>2233</v>
      </c>
      <c r="L57" s="2494" t="s">
        <v>2234</v>
      </c>
      <c r="M57" s="1759"/>
      <c r="N57" s="1760">
        <f ca="1">SUMIF(M52:M56,"&lt;9e307")</f>
        <v>4610</v>
      </c>
      <c r="O57" s="2495"/>
      <c r="P57" s="1753">
        <f ca="1">N57/M49</f>
        <v>0.56661750245821041</v>
      </c>
    </row>
    <row r="58" spans="1:35" ht="24.75">
      <c r="A58" s="183" t="s">
        <v>2215</v>
      </c>
      <c r="B58" s="3130" t="s">
        <v>2235</v>
      </c>
      <c r="C58" s="3131"/>
      <c r="D58" s="185">
        <f ca="1">IF(H58="转让取得",C81,C97)</f>
        <v>4606</v>
      </c>
      <c r="E58" s="11" t="s">
        <v>2230</v>
      </c>
      <c r="F58" s="24" t="s">
        <v>34</v>
      </c>
      <c r="G58" s="2489"/>
      <c r="H58" s="2492" t="s">
        <v>2236</v>
      </c>
      <c r="I58" s="2493"/>
      <c r="J58" s="3165"/>
      <c r="K58" s="3165"/>
      <c r="L58" s="2494" t="s">
        <v>2237</v>
      </c>
      <c r="M58" s="1761"/>
      <c r="N58" s="2496" t="str">
        <f ca="1">NUMBERSTRING(INT(N57*10000),2)&amp;"元整"</f>
        <v>肆仟陆佰壹拾万元整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2987" t="s">
        <v>2234</v>
      </c>
      <c r="M59" s="1762"/>
      <c r="N59" s="1763">
        <f ca="1">M49-N57</f>
        <v>3526</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叁仟伍佰贰拾陆万元整</v>
      </c>
      <c r="O60" s="2497"/>
    </row>
    <row r="61" spans="1:35" ht="13.5" thickBot="1">
      <c r="A61" s="3112" t="s">
        <v>2241</v>
      </c>
      <c r="B61" s="3112"/>
      <c r="C61" s="3112"/>
      <c r="D61" s="3112"/>
      <c r="E61" s="3112"/>
      <c r="F61" s="2493"/>
      <c r="G61" s="2493"/>
      <c r="H61" s="2501"/>
      <c r="I61" s="138"/>
      <c r="J61" s="2987">
        <f>J59+1</f>
        <v>6</v>
      </c>
      <c r="K61" s="3165" t="s">
        <v>2242</v>
      </c>
      <c r="L61" s="3165"/>
      <c r="M61" s="1764"/>
      <c r="N61" s="1765">
        <f ca="1">ROUND(N59*10000/'数据-汇总表'!E3,0)</f>
        <v>1352</v>
      </c>
      <c r="O61" s="2502"/>
    </row>
    <row r="62" spans="1:35" ht="12.75">
      <c r="A62" s="3128" t="s">
        <v>2243</v>
      </c>
      <c r="B62" s="3129"/>
      <c r="C62" s="2993"/>
      <c r="D62" s="2993" t="s">
        <v>2244</v>
      </c>
      <c r="E62" s="192" t="s">
        <v>2245</v>
      </c>
      <c r="F62" s="2493"/>
      <c r="G62" s="2493"/>
      <c r="H62" s="2501"/>
      <c r="I62" s="138"/>
    </row>
    <row r="63" spans="1:35" ht="12.75">
      <c r="A63" s="203" t="s">
        <v>775</v>
      </c>
      <c r="B63" s="193" t="s">
        <v>2246</v>
      </c>
      <c r="C63" s="194">
        <f ca="1">ROUND((C64+C65)/(1+'数据-取费表'!C42),0)</f>
        <v>7749</v>
      </c>
      <c r="D63" s="195"/>
      <c r="E63" s="196"/>
      <c r="F63" s="2493"/>
      <c r="G63" s="2493"/>
      <c r="H63" s="2501"/>
      <c r="I63" s="138"/>
      <c r="J63" s="3190" t="s">
        <v>2247</v>
      </c>
      <c r="K63" s="2983" t="s">
        <v>2248</v>
      </c>
      <c r="L63" s="1752">
        <f ca="1">IF(M49&gt;10000,M49*0.5%,IF(AND(M49&gt;1000,M49&lt;=10000),M49*1%,IF(AND(M49&gt;100,M49&lt;=1000),M49*3%,IF(AND(M49&gt;10,M49&lt;=100),M49*5%,M49*8%))))</f>
        <v>81.36</v>
      </c>
      <c r="M63" s="24">
        <f ca="1">ROUND(L63,1)</f>
        <v>81.400000000000006</v>
      </c>
      <c r="Z63" s="2427"/>
      <c r="AI63" s="2428"/>
    </row>
    <row r="64" spans="1:35" ht="14.25" customHeight="1">
      <c r="A64" s="197" t="s">
        <v>770</v>
      </c>
      <c r="B64" s="198" t="s">
        <v>2249</v>
      </c>
      <c r="C64" s="199">
        <f ca="1">D45</f>
        <v>8136</v>
      </c>
      <c r="D64" s="200" t="s">
        <v>32</v>
      </c>
      <c r="E64" s="201"/>
      <c r="F64" s="2493"/>
      <c r="G64" s="2493"/>
      <c r="H64" s="2501"/>
      <c r="I64" s="138"/>
      <c r="J64" s="3190"/>
      <c r="K64" s="2983" t="s">
        <v>2250</v>
      </c>
      <c r="L64" s="1752">
        <f ca="1">IF(M49&gt;2000,M49*0.5%,IF(AND(M49&gt;1000,M49&lt;=2000),M49*0.6%,IF(AND(M49&gt;500,M49&lt;=1000),M49*0.7%,IF(AND(M49&gt;200,M49&lt;=500),M49*0.8%,IF(AND(M49&gt;100,M49&lt;=200),M49*0.9%,IF(AND(M49&gt;50,M49&lt;=100),M49*1%,IF(AND(M49&gt;20,M49&lt;=50),M49*1.5%,IF(AND(M49&gt;10,M49&lt;=20),M49*2%,IF(AND(M49&gt;1,M49&lt;=10),M49*2.5%)))))))))</f>
        <v>40.68</v>
      </c>
      <c r="M64" s="24">
        <f t="shared" ref="M64:M65" ca="1" si="1">ROUND(L64,1)</f>
        <v>40.700000000000003</v>
      </c>
      <c r="N64" s="138" t="s">
        <v>2251</v>
      </c>
      <c r="Z64" s="2427"/>
      <c r="AI64" s="2428"/>
    </row>
    <row r="65" spans="1:35" ht="14.25" customHeight="1">
      <c r="A65" s="197" t="s">
        <v>771</v>
      </c>
      <c r="B65" s="198" t="s">
        <v>2252</v>
      </c>
      <c r="C65" s="202"/>
      <c r="D65" s="200"/>
      <c r="E65" s="201"/>
      <c r="F65" s="2493"/>
      <c r="G65" s="2493"/>
      <c r="H65" s="2501"/>
      <c r="I65" s="138"/>
      <c r="J65" s="3190"/>
      <c r="K65" s="2983" t="s">
        <v>2253</v>
      </c>
      <c r="L65" s="1752">
        <f ca="1">IF(M49&gt;1000,M49*0.1%,IF(AND(M49&gt;500,M49&lt;=1000),M49*0.5%,IF(AND(M49&gt;50,M49&lt;=500),M49*1%,IF(AND(M49&gt;1,M49&lt;=50),M49*1.5%))))</f>
        <v>8.136000000000001</v>
      </c>
      <c r="M65" s="24">
        <f t="shared" ca="1" si="1"/>
        <v>8.1</v>
      </c>
      <c r="N65" s="138" t="s">
        <v>2251</v>
      </c>
      <c r="Z65" s="2427"/>
      <c r="AI65" s="2428"/>
    </row>
    <row r="66" spans="1:35" ht="14.25" customHeight="1">
      <c r="A66" s="203" t="s">
        <v>772</v>
      </c>
      <c r="B66" s="204" t="s">
        <v>2254</v>
      </c>
      <c r="C66" s="205"/>
      <c r="D66" s="206" t="s">
        <v>32</v>
      </c>
      <c r="E66" s="1776" t="s">
        <v>1371</v>
      </c>
      <c r="F66" s="2493"/>
      <c r="G66" s="2493"/>
      <c r="H66" s="2501"/>
      <c r="I66" s="138"/>
      <c r="J66" s="3190"/>
      <c r="K66" s="2983" t="s">
        <v>2255</v>
      </c>
      <c r="L66" s="1752">
        <f ca="1">M49*0.5%</f>
        <v>40.68</v>
      </c>
      <c r="M66" s="24">
        <f ca="1">IF(L66&gt;0.5,0.5,ROUND(L66,0))</f>
        <v>0.5</v>
      </c>
      <c r="N66" s="138" t="s">
        <v>2256</v>
      </c>
      <c r="Z66" s="2427"/>
      <c r="AI66" s="2428"/>
    </row>
    <row r="67" spans="1:35" ht="14.25" customHeight="1">
      <c r="A67" s="203" t="s">
        <v>773</v>
      </c>
      <c r="B67" s="204" t="s">
        <v>2257</v>
      </c>
      <c r="C67" s="207">
        <f ca="1">C63-C66</f>
        <v>7749</v>
      </c>
      <c r="D67" s="200" t="s">
        <v>32</v>
      </c>
      <c r="E67" s="201"/>
      <c r="F67" s="2493"/>
      <c r="G67" s="2493"/>
      <c r="H67" s="2501"/>
      <c r="I67" s="138"/>
      <c r="J67" s="3190"/>
      <c r="K67" s="2983" t="s">
        <v>2258</v>
      </c>
      <c r="L67" s="1752">
        <f ca="1">IF(M49&gt;=10000,(8.25+(M49-10000)*0.01%),IF(AND(M49&gt;=8000,M49&lt;10000),(7.85+(M49-8000)*0.02%),IF(AND(M49&gt;=5000,M49&lt;8000),(6.65+(M49-5000)*0.04%),IF(AND(M49&gt;=2000,M49&lt;5000),(4.25+(PM49-2000)*0.08%),IF(AND(M49&gt;=1000,M49&lt;2000),(2.75+(M49-1000)*0.15%),IF(AND(M49&gt;=100,M49&lt;1000),(0.5+(M49-100)*0.25%),IF(AND(M49&gt;0,M49&lt;100),M49*0.5%)))))))</f>
        <v>7.8771999999999993</v>
      </c>
      <c r="M67" s="24">
        <f ca="1">ROUND(L67*0.9,1)</f>
        <v>7.1</v>
      </c>
      <c r="Z67" s="2427"/>
      <c r="AI67" s="2428"/>
    </row>
    <row r="68" spans="1:35" ht="14.25" customHeight="1" thickBot="1">
      <c r="A68" s="208" t="s">
        <v>774</v>
      </c>
      <c r="B68" s="209" t="s">
        <v>2259</v>
      </c>
      <c r="C68" s="210">
        <f ca="1">IF(C67&lt;=0,0,ROUND(C67*D68,0))</f>
        <v>434</v>
      </c>
      <c r="D68" s="211">
        <f>'数据-取费表'!B41</f>
        <v>5.6000000000000001E-2</v>
      </c>
      <c r="E68" s="212"/>
      <c r="F68" s="2493"/>
      <c r="G68" s="2493"/>
      <c r="H68" s="2501"/>
      <c r="I68" s="138"/>
      <c r="J68" s="3190"/>
      <c r="K68" s="2983" t="s">
        <v>2260</v>
      </c>
      <c r="L68" s="1752">
        <f ca="1">IF(M49&gt;10000,M49*0.5%,IF(AND(M49&gt;5000,M49&lt;=10000),M49*1%,IF(AND(M49&gt;1000,M49&lt;=5000),M49*2%,IF(AND(M49&gt;200,M49&lt;=1000),M49*3%,M49*5%))))</f>
        <v>81.36</v>
      </c>
      <c r="M68" s="24">
        <f ca="1">ROUND(L68,1)</f>
        <v>81.400000000000006</v>
      </c>
      <c r="Z68" s="2427"/>
      <c r="AI68" s="2428"/>
    </row>
    <row r="69" spans="1:35" s="2450" customFormat="1" ht="16.5" customHeight="1">
      <c r="A69" s="2504"/>
      <c r="B69" s="2505"/>
      <c r="C69" s="2506"/>
      <c r="D69" s="2507"/>
      <c r="E69" s="2508"/>
      <c r="F69" s="2170"/>
      <c r="G69" s="2170"/>
      <c r="H69" s="2169"/>
      <c r="I69" s="2422"/>
      <c r="J69" s="3190"/>
      <c r="K69" s="2983" t="s">
        <v>2261</v>
      </c>
      <c r="L69" s="2509"/>
      <c r="M69" s="24">
        <f ca="1">ROUND(SUM(M63:M68),0)</f>
        <v>219</v>
      </c>
      <c r="N69" s="1753">
        <f ca="1">M69/M49</f>
        <v>2.6917404129793512E-2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2993"/>
      <c r="D71" s="299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7749</v>
      </c>
      <c r="D72" s="200" t="s">
        <v>32</v>
      </c>
      <c r="E72" s="2995"/>
      <c r="F72" s="2994"/>
      <c r="G72" s="2994"/>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46</v>
      </c>
      <c r="D73" s="200" t="s">
        <v>32</v>
      </c>
      <c r="E73" s="2995"/>
      <c r="F73" s="2994"/>
      <c r="G73" s="2994"/>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95"/>
      <c r="F74" s="2994"/>
      <c r="G74" s="2994"/>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84" t="s">
        <v>2273</v>
      </c>
      <c r="F77" s="224"/>
      <c r="G77" s="2517" t="s">
        <v>2274</v>
      </c>
      <c r="H77" s="2996"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46</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7703</v>
      </c>
      <c r="D79" s="200" t="s">
        <v>32</v>
      </c>
      <c r="E79" s="2995"/>
      <c r="F79" s="2994"/>
      <c r="G79" s="2994"/>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167.45652173913044</v>
      </c>
      <c r="D80" s="200"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94"/>
      <c r="G80" s="2994"/>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4606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2993"/>
      <c r="D84" s="299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7749</v>
      </c>
      <c r="D85" s="200" t="s">
        <v>32</v>
      </c>
      <c r="E85" s="2995"/>
      <c r="F85" s="2994"/>
      <c r="G85" s="2994"/>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46</v>
      </c>
      <c r="D86" s="235"/>
      <c r="E86" s="2995"/>
      <c r="F86" s="2994"/>
      <c r="G86" s="2994"/>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90"/>
      <c r="F87" s="2991"/>
      <c r="G87" s="2991"/>
      <c r="H87" s="299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91"/>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91"/>
      <c r="G89" s="2991"/>
      <c r="H89" s="299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91"/>
      <c r="G90" s="2991"/>
      <c r="H90" s="299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46</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7703</v>
      </c>
      <c r="D95" s="200" t="s">
        <v>32</v>
      </c>
      <c r="E95" s="2995"/>
      <c r="F95" s="2994"/>
      <c r="G95" s="2994"/>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167.45652173913044</v>
      </c>
      <c r="D96" s="200"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94"/>
      <c r="G96" s="2994"/>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4606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成本法-未出租</v>
      </c>
      <c r="D101" s="737" t="str">
        <f>D4</f>
        <v>收益法-未出租</v>
      </c>
      <c r="E101" s="3187" t="s">
        <v>2302</v>
      </c>
      <c r="F101" s="3141"/>
      <c r="G101" s="2524" t="s">
        <v>2303</v>
      </c>
      <c r="H101" s="1048">
        <f ca="1">H118</f>
        <v>8136</v>
      </c>
      <c r="I101" s="138"/>
    </row>
    <row r="102" spans="1:35" ht="18.75" customHeight="1">
      <c r="A102" s="3143" t="s">
        <v>2304</v>
      </c>
      <c r="B102" s="2524" t="s">
        <v>2303</v>
      </c>
      <c r="C102" s="736">
        <f ca="1">C19</f>
        <v>11327</v>
      </c>
      <c r="D102" s="737">
        <f ca="1">D19</f>
        <v>6008</v>
      </c>
      <c r="E102" s="3187"/>
      <c r="F102" s="3141"/>
      <c r="G102" s="2524" t="s">
        <v>2305</v>
      </c>
      <c r="H102" s="371">
        <f ca="1">I118</f>
        <v>29802</v>
      </c>
      <c r="I102" s="138"/>
    </row>
    <row r="103" spans="1:35" ht="42.75" customHeight="1">
      <c r="A103" s="3143"/>
      <c r="B103" s="2524" t="s">
        <v>2305</v>
      </c>
      <c r="C103" s="738">
        <f ca="1">C20</f>
        <v>41491</v>
      </c>
      <c r="D103" s="739">
        <f ca="1">D20</f>
        <v>22007</v>
      </c>
      <c r="E103" s="3182" t="s">
        <v>2306</v>
      </c>
      <c r="F103" s="3183"/>
      <c r="G103" s="2525" t="s">
        <v>2307</v>
      </c>
      <c r="H103" s="1048">
        <f>IF(D36="正常操作",H104+H105+H106,H105+H106)</f>
        <v>0</v>
      </c>
      <c r="I103" s="138"/>
    </row>
    <row r="104" spans="1:35" ht="18.75" customHeight="1">
      <c r="A104" s="3143" t="s">
        <v>2308</v>
      </c>
      <c r="B104" s="2526" t="s">
        <v>2303</v>
      </c>
      <c r="C104" s="740">
        <f ca="1">H118</f>
        <v>8136</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29802</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8136</v>
      </c>
      <c r="I107" s="138"/>
    </row>
    <row r="108" spans="1:35" ht="18.75" customHeight="1">
      <c r="A108" s="138"/>
      <c r="B108" s="138"/>
      <c r="C108" s="138"/>
      <c r="D108" s="138"/>
      <c r="E108" s="3140"/>
      <c r="F108" s="3141"/>
      <c r="G108" s="2524" t="s">
        <v>2305</v>
      </c>
      <c r="H108" s="371">
        <f ca="1">ROUND(H107*10000/'数据-汇总表'!E3,0)</f>
        <v>3121</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2979" t="s">
        <v>2320</v>
      </c>
      <c r="E117" s="2979" t="s">
        <v>2321</v>
      </c>
      <c r="F117" s="2979" t="s">
        <v>2320</v>
      </c>
      <c r="G117" s="2979" t="s">
        <v>2322</v>
      </c>
      <c r="H117" s="2979" t="s">
        <v>2320</v>
      </c>
      <c r="I117" s="2979" t="s">
        <v>2322</v>
      </c>
    </row>
    <row r="118" spans="1:11" ht="24.75" customHeight="1">
      <c r="A118" s="2530" t="str">
        <f>项目基本情况!S2</f>
        <v>北京市房地产</v>
      </c>
      <c r="B118" s="2979">
        <f>M18</f>
        <v>2729.98</v>
      </c>
      <c r="C118" s="2979">
        <f>M19</f>
        <v>1028.44</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8136</v>
      </c>
      <c r="I118" s="2979">
        <f ca="1">ROUND(IF(D32="楼面单价",C32,H118*10000/B118),0)</f>
        <v>29802</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捌仟壹佰叁拾陆万元整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8136</v>
      </c>
      <c r="E122" s="3180"/>
      <c r="F122" s="3180"/>
      <c r="G122" s="3180"/>
      <c r="H122" s="3180"/>
      <c r="I122" s="3181"/>
    </row>
    <row r="123" spans="1:11" ht="18.75" customHeight="1">
      <c r="A123" s="3051" t="s">
        <v>2323</v>
      </c>
      <c r="B123" s="3051"/>
      <c r="C123" s="3051"/>
      <c r="D123" s="3151" t="str">
        <f ca="1">NUMBERSTRING(INT(D122*10000),2)&amp;"元整"</f>
        <v>捌仟壹佰叁拾陆万元整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7" t="str">
        <f>项目基本情况!B1</f>
        <v>北京市房地产抵押价值预评估</v>
      </c>
      <c r="C37" s="3007"/>
      <c r="D37" s="3007"/>
      <c r="E37" s="3007"/>
      <c r="F37" s="3007"/>
      <c r="G37" s="3007"/>
      <c r="H37" s="3007"/>
      <c r="I37" s="300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48</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3095</v>
      </c>
      <c r="D4" s="2431" t="s">
        <v>3068</v>
      </c>
      <c r="E4" s="3130" t="s">
        <v>2128</v>
      </c>
      <c r="F4" s="3131"/>
      <c r="G4" s="3131"/>
      <c r="H4" s="3131"/>
      <c r="I4" s="3139"/>
      <c r="K4" s="2432" t="str">
        <f>IF(ISNUMBER(FIND("比较法",'结果表-车位'!C4)),"比较法",IF(ISNUMBER(FIND("成本法",'结果表-车位'!C4)),"成本法",IF(ISNUMBER(FIND("假设开发法",'结果表-车位'!C4)),"假设开发法",IF(ISNUMBER(FIND("收益法",'结果表-车位'!C4)),"收益法","基准地价系数修正法"))))</f>
        <v>比较法</v>
      </c>
      <c r="L4" s="24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6</v>
      </c>
      <c r="D14" s="3136">
        <v>4</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6</v>
      </c>
      <c r="D17" s="141">
        <f>SUM(D5:D16)</f>
        <v>4</v>
      </c>
      <c r="E17" s="138"/>
      <c r="F17" s="138"/>
      <c r="G17" s="138"/>
      <c r="H17" s="138"/>
      <c r="I17" s="138"/>
      <c r="K17" s="2432"/>
      <c r="L17" s="2435" t="s">
        <v>2147</v>
      </c>
      <c r="M17" s="2435" t="s">
        <v>2148</v>
      </c>
    </row>
    <row r="18" spans="1:35" ht="15.75" thickBot="1">
      <c r="A18" s="2436" t="s">
        <v>2149</v>
      </c>
      <c r="B18" s="2437"/>
      <c r="C18" s="142">
        <f>ROUND(C17/SUM(C17:D17),2)</f>
        <v>0.6</v>
      </c>
      <c r="D18" s="142">
        <f>1-C18</f>
        <v>0.4</v>
      </c>
      <c r="E18" s="138"/>
      <c r="F18" s="138"/>
      <c r="G18" s="138"/>
      <c r="H18" s="138"/>
      <c r="I18" s="138"/>
      <c r="K18" s="2432" t="s">
        <v>2150</v>
      </c>
      <c r="L18" s="2432">
        <f>IF(C1="",'数据-汇总表'!E3,SUMIF(项目类型,C1,'数据-汇总表'!E17:E26)+SUMIF(项目类型,C1,'数据-汇总表'!I17:I26))</f>
        <v>12474.67</v>
      </c>
      <c r="M18" s="2432">
        <f>IF(C1="",'数据-汇总表'!E3,SUMIF(项目类型,C1,'数据-汇总表'!E17:E26))</f>
        <v>12474.67</v>
      </c>
    </row>
    <row r="19" spans="1:35" ht="15">
      <c r="A19" s="2438" t="s">
        <v>2151</v>
      </c>
      <c r="B19" s="2439" t="s">
        <v>2152</v>
      </c>
      <c r="C19" s="143">
        <f ca="1">SUMIF(INDIRECT("'"&amp;C4&amp;"'"&amp;"!A:A"),'结果表-车位'!B19,INDIRECT("'"&amp;C4&amp;"'"&amp;"!B:B"))</f>
        <v>13849</v>
      </c>
      <c r="D19" s="144">
        <f ca="1">SUMIF(INDIRECT("'"&amp;D4&amp;"'"&amp;"!A:A"),'结果表-车位'!B19,INDIRECT("'"&amp;D4&amp;"'"&amp;"!B:B"))</f>
        <v>5697</v>
      </c>
      <c r="E19" s="2438" t="s">
        <v>2153</v>
      </c>
      <c r="F19" s="2439" t="s">
        <v>2152</v>
      </c>
      <c r="G19" s="145">
        <f ca="1">ROUND(C19*$C$18+D19*$D$18,0)</f>
        <v>10588</v>
      </c>
      <c r="H19" s="2440" t="s">
        <v>2154</v>
      </c>
      <c r="I19" s="138"/>
      <c r="K19" s="2432" t="s">
        <v>2155</v>
      </c>
      <c r="L19" s="2432">
        <f>IF(C1="",'数据-汇总表'!D3,SUMIF(项目类型,C1,'数据-汇总表'!D17:D26)+SUMIF(项目类型,C1,'数据-汇总表'!H17:H27))</f>
        <v>4699.46</v>
      </c>
      <c r="M19" s="2432">
        <f>IF(C1="",'数据-汇总表'!D3,SUMIF(项目类型,C1,'数据-汇总表'!D17:D26))</f>
        <v>4699.46</v>
      </c>
    </row>
    <row r="20" spans="1:35" ht="15">
      <c r="A20" s="2441"/>
      <c r="B20" s="1250" t="s">
        <v>2156</v>
      </c>
      <c r="C20" s="146">
        <f ca="1">SUMIF(INDIRECT("'"&amp;C4&amp;"'"&amp;"!A:A"),'结果表-车位'!B20,INDIRECT("'"&amp;C4&amp;"'"&amp;"!B:B"))</f>
        <v>11102</v>
      </c>
      <c r="D20" s="147">
        <f ca="1">SUMIF(INDIRECT("'"&amp;D4&amp;"'"&amp;"!A:A"),'结果表-车位'!B20,INDIRECT("'"&amp;D4&amp;"'"&amp;"!B:B"))</f>
        <v>4567</v>
      </c>
      <c r="E20" s="2441"/>
      <c r="F20" s="1250" t="s">
        <v>2156</v>
      </c>
      <c r="G20" s="148">
        <f ca="1">ROUND(C20*$C$18+D20*$D$18,0)</f>
        <v>8488</v>
      </c>
      <c r="H20" s="983" t="s">
        <v>2157</v>
      </c>
      <c r="I20" s="138"/>
    </row>
    <row r="21" spans="1:35" ht="15" customHeight="1" thickBot="1">
      <c r="A21" s="1003"/>
      <c r="B21" s="2442" t="s">
        <v>2158</v>
      </c>
      <c r="C21" s="789">
        <f ca="1">ROUND(C19*10000/L19,0)</f>
        <v>29469</v>
      </c>
      <c r="D21" s="790">
        <f ca="1">ROUND(D19*10000/L19,0)</f>
        <v>12123</v>
      </c>
      <c r="E21" s="1003"/>
      <c r="F21" s="2442" t="s">
        <v>2158</v>
      </c>
      <c r="G21" s="149">
        <f ca="1">ROUND(G19*10000/L19,0)</f>
        <v>22530</v>
      </c>
      <c r="H21" s="2443" t="s">
        <v>2157</v>
      </c>
      <c r="I21" s="138"/>
    </row>
    <row r="22" spans="1:35" ht="15" thickBot="1">
      <c r="A22" s="2284" t="s">
        <v>2159</v>
      </c>
      <c r="B22" s="2444"/>
      <c r="C22" s="2445"/>
      <c r="D22" s="791">
        <f ca="1">IF(C19&lt;D19,D19/C19-1,C19/D19-1)</f>
        <v>1.4309285588906442</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10588</v>
      </c>
      <c r="D32" s="2453" t="s">
        <v>2167</v>
      </c>
      <c r="E32" s="138"/>
      <c r="F32" s="138"/>
      <c r="G32" s="138"/>
      <c r="H32" s="138"/>
      <c r="I32" s="138"/>
    </row>
    <row r="33" spans="1:15" ht="15">
      <c r="A33" s="960" t="s">
        <v>2168</v>
      </c>
      <c r="B33" s="2454"/>
      <c r="C33" s="2455"/>
      <c r="D33" s="2456"/>
      <c r="E33" s="2457" t="s">
        <v>2169</v>
      </c>
      <c r="F33" s="2933"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10588</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2942">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2942">
        <v>2</v>
      </c>
      <c r="K47" s="3164" t="s">
        <v>2199</v>
      </c>
      <c r="L47" s="3164"/>
      <c r="M47" s="3185">
        <f>'数据-取费表'!B2</f>
        <v>43157</v>
      </c>
      <c r="N47" s="3185"/>
      <c r="O47" s="3185"/>
    </row>
    <row r="48" spans="1:15" ht="25.5">
      <c r="A48" s="3132" t="s">
        <v>2200</v>
      </c>
      <c r="B48" s="3115"/>
      <c r="C48" s="3115"/>
      <c r="D48" s="140">
        <f>IF(H48="情况1",0,IF(H48="情况2",D52,IF(H48="情况3",D53,IF(H48="情况4",D54))))</f>
        <v>0</v>
      </c>
      <c r="E48" s="2951" t="str">
        <f>IF(H48="情况4","(销售额-原购置价)×税（费）率","销售额×税（费）率")</f>
        <v>销售额×税（费）率</v>
      </c>
      <c r="F48" s="175" t="str">
        <f>IF(H48="情况1","免征",'数据-取费表'!B41)</f>
        <v>免征</v>
      </c>
      <c r="G48" s="2485" t="s">
        <v>2201</v>
      </c>
      <c r="H48" s="2486" t="s">
        <v>2202</v>
      </c>
      <c r="I48" s="2484"/>
      <c r="J48" s="2942">
        <v>3</v>
      </c>
      <c r="K48" s="3164" t="s">
        <v>2203</v>
      </c>
      <c r="L48" s="3164"/>
      <c r="M48" s="3186">
        <f ca="1">H101</f>
        <v>10588</v>
      </c>
      <c r="N48" s="3186"/>
      <c r="O48" s="3186"/>
    </row>
    <row r="49" spans="1:35" ht="25.5" customHeight="1">
      <c r="A49" s="176" t="s">
        <v>2204</v>
      </c>
      <c r="B49" s="3100" t="s">
        <v>2205</v>
      </c>
      <c r="C49" s="3100"/>
      <c r="D49" s="177">
        <v>0</v>
      </c>
      <c r="E49" s="23" t="s">
        <v>2206</v>
      </c>
      <c r="F49" s="28" t="s">
        <v>34</v>
      </c>
      <c r="G49" s="3170"/>
      <c r="H49" s="138"/>
      <c r="I49" s="2487"/>
      <c r="J49" s="2942">
        <v>4</v>
      </c>
      <c r="K49" s="3164" t="str">
        <f>IF(项目基本情况!E8="房地产抵押价值","房地产抵押价值","抵押担保权已注销时的房地产抵押价值")</f>
        <v>房地产抵押价值</v>
      </c>
      <c r="L49" s="3164"/>
      <c r="M49" s="3186">
        <f ca="1">IF(项目基本情况!E8="房地产抵押价值",H107,H109)</f>
        <v>10588</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935" t="s">
        <v>2210</v>
      </c>
      <c r="K51" s="3164" t="s">
        <v>2211</v>
      </c>
      <c r="L51" s="3164"/>
      <c r="M51" s="2935" t="s">
        <v>2212</v>
      </c>
      <c r="N51" s="2935" t="s">
        <v>2213</v>
      </c>
      <c r="O51" s="2935" t="s">
        <v>2214</v>
      </c>
    </row>
    <row r="52" spans="1:35" ht="24" customHeight="1">
      <c r="A52" s="183" t="s">
        <v>2215</v>
      </c>
      <c r="B52" s="3100" t="s">
        <v>2216</v>
      </c>
      <c r="C52" s="3100"/>
      <c r="D52" s="182">
        <f ca="1">ROUND(D45*'数据-取费表'!B41/(1+'数据-取费表'!C42),0)</f>
        <v>565</v>
      </c>
      <c r="E52" s="11" t="s">
        <v>2217</v>
      </c>
      <c r="F52" s="184">
        <f>'数据-取费表'!B41</f>
        <v>5.6000000000000001E-2</v>
      </c>
      <c r="G52" s="2489"/>
      <c r="H52" s="138"/>
      <c r="I52" s="2487"/>
      <c r="J52" s="2942">
        <v>1</v>
      </c>
      <c r="K52" s="3165" t="s">
        <v>2218</v>
      </c>
      <c r="L52" s="3165"/>
      <c r="M52" s="1754">
        <f>D48</f>
        <v>0</v>
      </c>
      <c r="N52" s="2942" t="str">
        <f>E48</f>
        <v>销售额×税（费）率</v>
      </c>
      <c r="O52" s="1755" t="str">
        <f>F48</f>
        <v>免征</v>
      </c>
    </row>
    <row r="53" spans="1:35" ht="12" customHeight="1">
      <c r="A53" s="183" t="s">
        <v>2219</v>
      </c>
      <c r="B53" s="3123" t="s">
        <v>2220</v>
      </c>
      <c r="C53" s="3124"/>
      <c r="D53" s="182">
        <f ca="1">ROUND(D45*'数据-取费表'!B41/(1+'数据-取费表'!C42),0)</f>
        <v>565</v>
      </c>
      <c r="E53" s="11" t="s">
        <v>2217</v>
      </c>
      <c r="F53" s="184">
        <f>'数据-取费表'!B41</f>
        <v>5.6000000000000001E-2</v>
      </c>
      <c r="G53" s="2489"/>
      <c r="H53" s="138"/>
      <c r="I53" s="2487"/>
      <c r="J53" s="2942">
        <v>2</v>
      </c>
      <c r="K53" s="3165" t="s">
        <v>2221</v>
      </c>
      <c r="L53" s="3165"/>
      <c r="M53" s="1754">
        <f t="shared" ref="M53:O54" ca="1" si="0">D55</f>
        <v>5</v>
      </c>
      <c r="N53" s="2942" t="str">
        <f t="shared" si="0"/>
        <v>销售额×税（费）率</v>
      </c>
      <c r="O53" s="1755">
        <f t="shared" si="0"/>
        <v>5.0000000000000001E-4</v>
      </c>
    </row>
    <row r="54" spans="1:35" ht="12" customHeight="1">
      <c r="A54" s="183" t="s">
        <v>2222</v>
      </c>
      <c r="B54" s="3123" t="s">
        <v>2223</v>
      </c>
      <c r="C54" s="3124"/>
      <c r="D54" s="182">
        <f ca="1">C68</f>
        <v>565</v>
      </c>
      <c r="E54" s="30" t="s">
        <v>2224</v>
      </c>
      <c r="F54" s="184">
        <f>'数据-取费表'!B41</f>
        <v>5.6000000000000001E-2</v>
      </c>
      <c r="G54" s="2489"/>
      <c r="H54" s="2490"/>
      <c r="I54" s="2487"/>
      <c r="J54" s="2942">
        <v>3</v>
      </c>
      <c r="K54" s="3165" t="s">
        <v>2225</v>
      </c>
      <c r="L54" s="3165"/>
      <c r="M54" s="1754">
        <f t="shared" ca="1" si="0"/>
        <v>5992</v>
      </c>
      <c r="N54" s="2942" t="str">
        <f t="shared" si="0"/>
        <v>增值额×税（费）率</v>
      </c>
      <c r="O54" s="1756" t="str">
        <f t="shared" si="0"/>
        <v>——</v>
      </c>
    </row>
    <row r="55" spans="1:35" ht="24" customHeight="1">
      <c r="A55" s="3114" t="s">
        <v>2226</v>
      </c>
      <c r="B55" s="3115"/>
      <c r="C55" s="3115"/>
      <c r="D55" s="185">
        <f ca="1">IF(H55="个人住宅",0,ROUND(D45*I55,0))</f>
        <v>5</v>
      </c>
      <c r="E55" s="11" t="s">
        <v>2227</v>
      </c>
      <c r="F55" s="184">
        <f>IF(H55="正常",I55,"免征")</f>
        <v>5.0000000000000001E-4</v>
      </c>
      <c r="G55" s="2489"/>
      <c r="H55" s="2486" t="s">
        <v>2228</v>
      </c>
      <c r="I55" s="186">
        <f>'数据-取费表'!B49</f>
        <v>5.0000000000000001E-4</v>
      </c>
      <c r="J55" s="2942" t="str">
        <f>IF(H59="非个人房产","",4)</f>
        <v/>
      </c>
      <c r="K55" s="3165" t="str">
        <f>IF(H59="非个人房产","——","个人所得税")</f>
        <v>——</v>
      </c>
      <c r="L55" s="3165"/>
      <c r="M55" s="1757" t="str">
        <f>D59</f>
        <v>——</v>
      </c>
      <c r="N55" s="2943" t="str">
        <f>E59</f>
        <v>——</v>
      </c>
      <c r="O55" s="1758" t="str">
        <f>F59</f>
        <v>——</v>
      </c>
    </row>
    <row r="56" spans="1:35" ht="24.75">
      <c r="A56" s="3114" t="s">
        <v>2229</v>
      </c>
      <c r="B56" s="3115"/>
      <c r="C56" s="3115"/>
      <c r="D56" s="185">
        <f ca="1">IF(H56="个人住宅",D57,D58)</f>
        <v>5992</v>
      </c>
      <c r="E56" s="11" t="s">
        <v>2230</v>
      </c>
      <c r="F56" s="184" t="str">
        <f>IF(H56="正常",F58,"免征")</f>
        <v>——</v>
      </c>
      <c r="G56" s="2491" t="s">
        <v>2231</v>
      </c>
      <c r="H56" s="2492" t="s">
        <v>2228</v>
      </c>
      <c r="I56" s="2493"/>
      <c r="J56" s="2942"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IF(AND(J55="",J56=""),4,IF(项目基本情况!K6="上海银行",'结果表-车位'!J56+1,'结果表-车位'!J55+1))</f>
        <v>4</v>
      </c>
      <c r="K57" s="3165" t="s">
        <v>2233</v>
      </c>
      <c r="L57" s="2494" t="s">
        <v>2234</v>
      </c>
      <c r="M57" s="1759"/>
      <c r="N57" s="1760">
        <f ca="1">SUMIF(M52:M56,"&lt;9e307")</f>
        <v>5997</v>
      </c>
      <c r="O57" s="2495"/>
      <c r="P57" s="1753">
        <f ca="1">N57/M49</f>
        <v>0.56639591990933136</v>
      </c>
    </row>
    <row r="58" spans="1:35" ht="24.75">
      <c r="A58" s="183" t="s">
        <v>2215</v>
      </c>
      <c r="B58" s="3130" t="s">
        <v>2235</v>
      </c>
      <c r="C58" s="3131"/>
      <c r="D58" s="185">
        <f ca="1">IF(H58="转让取得",C81,C97)</f>
        <v>5992</v>
      </c>
      <c r="E58" s="11" t="s">
        <v>2230</v>
      </c>
      <c r="F58" s="24" t="s">
        <v>34</v>
      </c>
      <c r="G58" s="2489"/>
      <c r="H58" s="2492" t="s">
        <v>2236</v>
      </c>
      <c r="I58" s="2493"/>
      <c r="J58" s="3165"/>
      <c r="K58" s="3165"/>
      <c r="L58" s="2494" t="s">
        <v>2237</v>
      </c>
      <c r="M58" s="1761"/>
      <c r="N58" s="2496" t="str">
        <f ca="1">NUMBERSTRING(INT(N57*10000),2)&amp;"元整"</f>
        <v>伍仟玖佰玖拾柒万元整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2942" t="s">
        <v>2234</v>
      </c>
      <c r="M59" s="1762"/>
      <c r="N59" s="1763">
        <f ca="1">M49-N57</f>
        <v>4591</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肆仟伍佰玖拾壹万元整</v>
      </c>
      <c r="O60" s="2497"/>
    </row>
    <row r="61" spans="1:35" ht="13.5" thickBot="1">
      <c r="A61" s="3112" t="s">
        <v>2241</v>
      </c>
      <c r="B61" s="3112"/>
      <c r="C61" s="3112"/>
      <c r="D61" s="3112"/>
      <c r="E61" s="3112"/>
      <c r="F61" s="2493"/>
      <c r="G61" s="2493"/>
      <c r="H61" s="2501"/>
      <c r="I61" s="138"/>
      <c r="J61" s="2942">
        <f>J59+1</f>
        <v>6</v>
      </c>
      <c r="K61" s="3165" t="s">
        <v>2242</v>
      </c>
      <c r="L61" s="3165"/>
      <c r="M61" s="1764"/>
      <c r="N61" s="1765">
        <f ca="1">ROUND(N59*10000/'数据-汇总表'!E3,0)</f>
        <v>1761</v>
      </c>
      <c r="O61" s="2502"/>
    </row>
    <row r="62" spans="1:35" ht="12.75">
      <c r="A62" s="3128" t="s">
        <v>2243</v>
      </c>
      <c r="B62" s="3129"/>
      <c r="C62" s="2947"/>
      <c r="D62" s="2947" t="s">
        <v>2244</v>
      </c>
      <c r="E62" s="192" t="s">
        <v>2245</v>
      </c>
      <c r="F62" s="2493"/>
      <c r="G62" s="2493"/>
      <c r="H62" s="2501"/>
      <c r="I62" s="138"/>
    </row>
    <row r="63" spans="1:35" ht="12.75">
      <c r="A63" s="203" t="s">
        <v>775</v>
      </c>
      <c r="B63" s="193" t="s">
        <v>2246</v>
      </c>
      <c r="C63" s="194">
        <f ca="1">ROUND((C64+C65)/(1+'数据-取费表'!C42),0)</f>
        <v>10084</v>
      </c>
      <c r="D63" s="195"/>
      <c r="E63" s="196"/>
      <c r="F63" s="2493"/>
      <c r="G63" s="2493"/>
      <c r="H63" s="2501"/>
      <c r="I63" s="138"/>
      <c r="J63" s="3190" t="s">
        <v>2247</v>
      </c>
      <c r="K63" s="2938" t="s">
        <v>2248</v>
      </c>
      <c r="L63" s="1752">
        <f ca="1">IF(M49&gt;10000,M49*0.5%,IF(AND(M49&gt;1000,M49&lt;=10000),M49*1%,IF(AND(M49&gt;100,M49&lt;=1000),M49*3%,IF(AND(M49&gt;10,M49&lt;=100),M49*5%,M49*8%))))</f>
        <v>52.94</v>
      </c>
      <c r="M63" s="24">
        <f ca="1">ROUND(L63,1)</f>
        <v>52.9</v>
      </c>
      <c r="Z63" s="2427"/>
      <c r="AI63" s="2428"/>
    </row>
    <row r="64" spans="1:35" ht="14.25" customHeight="1">
      <c r="A64" s="197" t="s">
        <v>770</v>
      </c>
      <c r="B64" s="198" t="s">
        <v>2249</v>
      </c>
      <c r="C64" s="199">
        <f ca="1">D45</f>
        <v>10588</v>
      </c>
      <c r="D64" s="200" t="s">
        <v>32</v>
      </c>
      <c r="E64" s="201"/>
      <c r="F64" s="2493"/>
      <c r="G64" s="2493"/>
      <c r="H64" s="2501"/>
      <c r="I64" s="138"/>
      <c r="J64" s="3190"/>
      <c r="K64" s="2938" t="s">
        <v>2250</v>
      </c>
      <c r="L64" s="1752">
        <f ca="1">IF(M49&gt;2000,M49*0.5%,IF(AND(M49&gt;1000,M49&lt;=2000),M49*0.6%,IF(AND(M49&gt;500,M49&lt;=1000),M49*0.7%,IF(AND(M49&gt;200,M49&lt;=500),M49*0.8%,IF(AND(M49&gt;100,M49&lt;=200),M49*0.9%,IF(AND(M49&gt;50,M49&lt;=100),M49*1%,IF(AND(M49&gt;20,M49&lt;=50),M49*1.5%,IF(AND(M49&gt;10,M49&lt;=20),M49*2%,IF(AND(M49&gt;1,M49&lt;=10),M49*2.5%)))))))))</f>
        <v>52.94</v>
      </c>
      <c r="M64" s="24">
        <f t="shared" ref="M64:M65" ca="1" si="1">ROUND(L64,1)</f>
        <v>52.9</v>
      </c>
      <c r="N64" s="138" t="s">
        <v>2251</v>
      </c>
      <c r="Z64" s="2427"/>
      <c r="AI64" s="2428"/>
    </row>
    <row r="65" spans="1:35" ht="14.25" customHeight="1">
      <c r="A65" s="197" t="s">
        <v>771</v>
      </c>
      <c r="B65" s="198" t="s">
        <v>2252</v>
      </c>
      <c r="C65" s="202"/>
      <c r="D65" s="200"/>
      <c r="E65" s="201"/>
      <c r="F65" s="2493"/>
      <c r="G65" s="2493"/>
      <c r="H65" s="2501"/>
      <c r="I65" s="138"/>
      <c r="J65" s="3190"/>
      <c r="K65" s="2938" t="s">
        <v>2253</v>
      </c>
      <c r="L65" s="1752">
        <f ca="1">IF(M49&gt;1000,M49*0.1%,IF(AND(M49&gt;500,M49&lt;=1000),M49*0.5%,IF(AND(M49&gt;50,M49&lt;=500),M49*1%,IF(AND(M49&gt;1,M49&lt;=50),M49*1.5%))))</f>
        <v>10.588000000000001</v>
      </c>
      <c r="M65" s="24">
        <f t="shared" ca="1" si="1"/>
        <v>10.6</v>
      </c>
      <c r="N65" s="138" t="s">
        <v>2251</v>
      </c>
      <c r="Z65" s="2427"/>
      <c r="AI65" s="2428"/>
    </row>
    <row r="66" spans="1:35" ht="14.25" customHeight="1">
      <c r="A66" s="203" t="s">
        <v>772</v>
      </c>
      <c r="B66" s="204" t="s">
        <v>2254</v>
      </c>
      <c r="C66" s="205"/>
      <c r="D66" s="206" t="s">
        <v>32</v>
      </c>
      <c r="E66" s="1776" t="s">
        <v>1371</v>
      </c>
      <c r="F66" s="2493"/>
      <c r="G66" s="2493"/>
      <c r="H66" s="2501"/>
      <c r="I66" s="138"/>
      <c r="J66" s="3190"/>
      <c r="K66" s="2938" t="s">
        <v>2255</v>
      </c>
      <c r="L66" s="1752">
        <f ca="1">M49*0.5%</f>
        <v>52.94</v>
      </c>
      <c r="M66" s="24">
        <f ca="1">IF(L66&gt;0.5,0.5,ROUND(L66,0))</f>
        <v>0.5</v>
      </c>
      <c r="N66" s="138" t="s">
        <v>2256</v>
      </c>
      <c r="Z66" s="2427"/>
      <c r="AI66" s="2428"/>
    </row>
    <row r="67" spans="1:35" ht="14.25" customHeight="1">
      <c r="A67" s="203" t="s">
        <v>773</v>
      </c>
      <c r="B67" s="204" t="s">
        <v>2257</v>
      </c>
      <c r="C67" s="207">
        <f ca="1">C63-C66</f>
        <v>10084</v>
      </c>
      <c r="D67" s="200" t="s">
        <v>32</v>
      </c>
      <c r="E67" s="201"/>
      <c r="F67" s="2493"/>
      <c r="G67" s="2493"/>
      <c r="H67" s="2501"/>
      <c r="I67" s="138"/>
      <c r="J67" s="3190"/>
      <c r="K67" s="2938" t="s">
        <v>2258</v>
      </c>
      <c r="L67" s="1752">
        <f ca="1">IF(M49&gt;=10000,(8.25+(M49-10000)*0.01%),IF(AND(M49&gt;=8000,M49&lt;10000),(7.85+(M49-8000)*0.02%),IF(AND(M49&gt;=5000,M49&lt;8000),(6.65+(M49-5000)*0.04%),IF(AND(M49&gt;=2000,M49&lt;5000),(4.25+(PM49-2000)*0.08%),IF(AND(M49&gt;=1000,M49&lt;2000),(2.75+(M49-1000)*0.15%),IF(AND(M49&gt;=100,M49&lt;1000),(0.5+(M49-100)*0.25%),IF(AND(M49&gt;0,M49&lt;100),M49*0.5%)))))))</f>
        <v>8.3087999999999997</v>
      </c>
      <c r="M67" s="24">
        <f ca="1">ROUND(L67*0.9,1)</f>
        <v>7.5</v>
      </c>
      <c r="Z67" s="2427"/>
      <c r="AI67" s="2428"/>
    </row>
    <row r="68" spans="1:35" ht="14.25" customHeight="1" thickBot="1">
      <c r="A68" s="208" t="s">
        <v>774</v>
      </c>
      <c r="B68" s="209" t="s">
        <v>2259</v>
      </c>
      <c r="C68" s="210">
        <f ca="1">IF(C67&lt;=0,0,ROUND(C67*D68,0))</f>
        <v>565</v>
      </c>
      <c r="D68" s="211">
        <f>'数据-取费表'!B41</f>
        <v>5.6000000000000001E-2</v>
      </c>
      <c r="E68" s="212"/>
      <c r="F68" s="2493"/>
      <c r="G68" s="2493"/>
      <c r="H68" s="2501"/>
      <c r="I68" s="138"/>
      <c r="J68" s="3190"/>
      <c r="K68" s="2938" t="s">
        <v>2260</v>
      </c>
      <c r="L68" s="1752">
        <f ca="1">IF(M49&gt;10000,M49*0.5%,IF(AND(M49&gt;5000,M49&lt;=10000),M49*1%,IF(AND(M49&gt;1000,M49&lt;=5000),M49*2%,IF(AND(M49&gt;200,M49&lt;=1000),M49*3%,M49*5%))))</f>
        <v>52.94</v>
      </c>
      <c r="M68" s="24">
        <f ca="1">ROUND(L68,1)</f>
        <v>52.9</v>
      </c>
      <c r="Z68" s="2427"/>
      <c r="AI68" s="2428"/>
    </row>
    <row r="69" spans="1:35" s="2450" customFormat="1" ht="16.5" customHeight="1">
      <c r="A69" s="2504"/>
      <c r="B69" s="2505"/>
      <c r="C69" s="2506"/>
      <c r="D69" s="2507"/>
      <c r="E69" s="2508"/>
      <c r="F69" s="2170"/>
      <c r="G69" s="2170"/>
      <c r="H69" s="2169"/>
      <c r="I69" s="2422"/>
      <c r="J69" s="3190"/>
      <c r="K69" s="2938" t="s">
        <v>2261</v>
      </c>
      <c r="L69" s="2509"/>
      <c r="M69" s="24">
        <f ca="1">ROUND(SUM(M63:M68),0)</f>
        <v>177</v>
      </c>
      <c r="N69" s="1753">
        <f ca="1">M69/M49</f>
        <v>1.6717038156403477E-2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2947"/>
      <c r="D71" s="2947"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10084</v>
      </c>
      <c r="D72" s="200" t="s">
        <v>32</v>
      </c>
      <c r="E72" s="2949"/>
      <c r="F72" s="2948"/>
      <c r="G72" s="294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61</v>
      </c>
      <c r="D73" s="200" t="s">
        <v>32</v>
      </c>
      <c r="E73" s="2949"/>
      <c r="F73" s="2948"/>
      <c r="G73" s="294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49"/>
      <c r="F74" s="2948"/>
      <c r="G74" s="294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39" t="s">
        <v>2273</v>
      </c>
      <c r="F77" s="224"/>
      <c r="G77" s="2517" t="s">
        <v>2274</v>
      </c>
      <c r="H77" s="295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61</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10023</v>
      </c>
      <c r="D79" s="200" t="s">
        <v>32</v>
      </c>
      <c r="E79" s="2949"/>
      <c r="F79" s="2948"/>
      <c r="G79" s="294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164.31147540983608</v>
      </c>
      <c r="D80" s="200"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5992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2947"/>
      <c r="D84" s="2947"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10084</v>
      </c>
      <c r="D85" s="200" t="s">
        <v>32</v>
      </c>
      <c r="E85" s="2949"/>
      <c r="F85" s="2948"/>
      <c r="G85" s="294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61</v>
      </c>
      <c r="D86" s="235"/>
      <c r="E86" s="2949"/>
      <c r="F86" s="2948"/>
      <c r="G86" s="294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44"/>
      <c r="F87" s="2945"/>
      <c r="G87" s="2945"/>
      <c r="H87" s="2946"/>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45"/>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45"/>
      <c r="G89" s="2945"/>
      <c r="H89" s="2946"/>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45"/>
      <c r="G90" s="2945"/>
      <c r="H90" s="2946"/>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61</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10023</v>
      </c>
      <c r="D95" s="200" t="s">
        <v>32</v>
      </c>
      <c r="E95" s="2949"/>
      <c r="F95" s="2948"/>
      <c r="G95" s="294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164.31147540983608</v>
      </c>
      <c r="D96" s="200"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5992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比较法-车位</v>
      </c>
      <c r="D101" s="737" t="str">
        <f>D4</f>
        <v>收益法-车位</v>
      </c>
      <c r="E101" s="3187" t="s">
        <v>2302</v>
      </c>
      <c r="F101" s="3141"/>
      <c r="G101" s="2524" t="s">
        <v>2303</v>
      </c>
      <c r="H101" s="1048">
        <f ca="1">H118</f>
        <v>10588</v>
      </c>
      <c r="I101" s="138"/>
    </row>
    <row r="102" spans="1:35" ht="18.75" customHeight="1">
      <c r="A102" s="3143" t="s">
        <v>2304</v>
      </c>
      <c r="B102" s="2524" t="s">
        <v>2303</v>
      </c>
      <c r="C102" s="736">
        <f ca="1">C19</f>
        <v>13849</v>
      </c>
      <c r="D102" s="737">
        <f ca="1">D19</f>
        <v>5697</v>
      </c>
      <c r="E102" s="3187"/>
      <c r="F102" s="3141"/>
      <c r="G102" s="2524" t="s">
        <v>2305</v>
      </c>
      <c r="H102" s="371">
        <f ca="1">I118</f>
        <v>8488</v>
      </c>
      <c r="I102" s="138"/>
    </row>
    <row r="103" spans="1:35" ht="42.75" customHeight="1">
      <c r="A103" s="3143"/>
      <c r="B103" s="2524" t="s">
        <v>2305</v>
      </c>
      <c r="C103" s="738">
        <f ca="1">C20</f>
        <v>11102</v>
      </c>
      <c r="D103" s="739">
        <f ca="1">D20</f>
        <v>4567</v>
      </c>
      <c r="E103" s="3182" t="s">
        <v>2306</v>
      </c>
      <c r="F103" s="3183"/>
      <c r="G103" s="2525" t="s">
        <v>2307</v>
      </c>
      <c r="H103" s="1048">
        <f>IF(D36="正常操作",H104+H105+H106,H105+H106)</f>
        <v>0</v>
      </c>
      <c r="I103" s="138"/>
    </row>
    <row r="104" spans="1:35" ht="18.75" customHeight="1">
      <c r="A104" s="3143" t="s">
        <v>2308</v>
      </c>
      <c r="B104" s="2526" t="s">
        <v>2303</v>
      </c>
      <c r="C104" s="740">
        <f ca="1">H118</f>
        <v>10588</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8488</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10588</v>
      </c>
      <c r="I107" s="138"/>
    </row>
    <row r="108" spans="1:35" ht="18.75" customHeight="1">
      <c r="A108" s="138"/>
      <c r="B108" s="138"/>
      <c r="C108" s="138"/>
      <c r="D108" s="138"/>
      <c r="E108" s="3140"/>
      <c r="F108" s="3141"/>
      <c r="G108" s="2524" t="s">
        <v>2305</v>
      </c>
      <c r="H108" s="371">
        <f ca="1">ROUND(H107*10000/'数据-汇总表'!E3,0)</f>
        <v>4061</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2934" t="s">
        <v>2320</v>
      </c>
      <c r="E117" s="2934" t="s">
        <v>2321</v>
      </c>
      <c r="F117" s="2934" t="s">
        <v>2320</v>
      </c>
      <c r="G117" s="2934" t="s">
        <v>2322</v>
      </c>
      <c r="H117" s="2934" t="s">
        <v>2320</v>
      </c>
      <c r="I117" s="2934" t="s">
        <v>2322</v>
      </c>
    </row>
    <row r="118" spans="1:11" ht="24.75" customHeight="1">
      <c r="A118" s="2530" t="str">
        <f>项目基本情况!S2</f>
        <v>北京市房地产</v>
      </c>
      <c r="B118" s="2934">
        <f>M18</f>
        <v>12474.67</v>
      </c>
      <c r="C118" s="2934">
        <f>M19</f>
        <v>4699.46</v>
      </c>
      <c r="D118" s="2934" t="e">
        <f ca="1">ROUND(IF(D32="总价",C34,E118*B118/10000),0)</f>
        <v>#REF!</v>
      </c>
      <c r="E118" s="2934" t="e">
        <f ca="1">ROUND(IF(C33="自定义",IF(D32="楼面单价",C34,D118*10000/B118),I118-G118),0)</f>
        <v>#REF!</v>
      </c>
      <c r="F118" s="2934" t="e">
        <f ca="1">ROUND(IF(D32="总价",C35,G118*B118/10000),0)</f>
        <v>#REF!</v>
      </c>
      <c r="G118" s="2934" t="e">
        <f ca="1">ROUND(IF(D32="楼面单价",C35,F118*10000/B118),0)</f>
        <v>#REF!</v>
      </c>
      <c r="H118" s="2934">
        <f ca="1">ROUND(IF(D32="总价",C32,I118*B118/10000),0)</f>
        <v>10588</v>
      </c>
      <c r="I118" s="2934">
        <f ca="1">ROUND(IF(D32="楼面单价",C32,H118*10000/B118),0)</f>
        <v>8488</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壹亿零伍佰捌拾捌万元整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10588</v>
      </c>
      <c r="E122" s="3180"/>
      <c r="F122" s="3180"/>
      <c r="G122" s="3180"/>
      <c r="H122" s="3180"/>
      <c r="I122" s="3181"/>
    </row>
    <row r="123" spans="1:11" ht="18.75" customHeight="1">
      <c r="A123" s="3051" t="s">
        <v>2323</v>
      </c>
      <c r="B123" s="3051"/>
      <c r="C123" s="3051"/>
      <c r="D123" s="3151" t="str">
        <f ca="1">NUMBERSTRING(INT(D122*10000),2)&amp;"元整"</f>
        <v>壹亿零伍佰捌拾捌万元整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3057</v>
      </c>
      <c r="C1" s="242"/>
      <c r="D1" s="242"/>
      <c r="E1" s="242"/>
      <c r="F1" s="242"/>
      <c r="G1" s="1382">
        <f>MATCH(B1,'数据-取费表'!A6:A16,0)+5</f>
        <v>6</v>
      </c>
    </row>
    <row r="2" spans="1:9" s="244" customFormat="1" ht="18" customHeight="1">
      <c r="A2" s="245" t="s">
        <v>2333</v>
      </c>
      <c r="B2" s="246">
        <f ca="1">IF(D2="——",C52,C52-E2)</f>
        <v>45095</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41497</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29855</v>
      </c>
      <c r="D5" s="255" t="s">
        <v>2340</v>
      </c>
      <c r="E5" s="256" t="s">
        <v>2341</v>
      </c>
      <c r="F5" s="256" t="s">
        <v>2342</v>
      </c>
      <c r="G5" s="257"/>
    </row>
    <row r="6" spans="1:9" s="258" customFormat="1" ht="13.5" customHeight="1">
      <c r="A6" s="952" t="s">
        <v>2343</v>
      </c>
      <c r="B6" s="259" t="s">
        <v>2344</v>
      </c>
      <c r="C6" s="260">
        <f ca="1">基准地价修正!E33</f>
        <v>28761</v>
      </c>
      <c r="D6" s="261"/>
      <c r="E6" s="262"/>
      <c r="F6" s="262"/>
      <c r="G6" s="263"/>
    </row>
    <row r="7" spans="1:9" s="258" customFormat="1" ht="13.5" customHeight="1">
      <c r="A7" s="952" t="s">
        <v>2345</v>
      </c>
      <c r="B7" s="259" t="s">
        <v>2346</v>
      </c>
      <c r="C7" s="264">
        <f ca="1">ROUND(C6*F7,0)</f>
        <v>877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217</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217</v>
      </c>
      <c r="D10" s="1035">
        <f ca="1">IF(B1="",'数据-汇总表'!E6,IF(INDIRECT("'数据-取费表'!c"&amp;$G$1)="住宅",INDIRECT("'数据-取费表'!s"&amp;$G$1),INDIRECT("'数据-取费表'!k"&amp;$G$1)+INDIRECT("'数据-取费表'!s"&amp;$G$1)))</f>
        <v>10867.1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10867.1</v>
      </c>
      <c r="E19" s="255">
        <f>'数据-取费表'!B31</f>
        <v>200</v>
      </c>
      <c r="F19" s="275"/>
      <c r="G19" s="2556" t="s">
        <v>3086</v>
      </c>
    </row>
    <row r="20" spans="1:7" s="258" customFormat="1" ht="13.5" customHeight="1">
      <c r="A20" s="299" t="s">
        <v>2364</v>
      </c>
      <c r="B20" s="254" t="s">
        <v>2365</v>
      </c>
      <c r="C20" s="276">
        <f ca="1">ROUND((C5+C19)*F20,0)</f>
        <v>597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1312</v>
      </c>
      <c r="D22" s="279">
        <f ca="1">C26</f>
        <v>4.0000000000000002E-4</v>
      </c>
      <c r="E22" s="280" t="s">
        <v>2369</v>
      </c>
      <c r="F22" s="281">
        <f ca="1">'数据-取费表'!B40</f>
        <v>4.3499999999999997E-2</v>
      </c>
      <c r="G22" s="278" t="str">
        <f>IF('数据-取费表'!B22&lt;=1,"单利计息","复利计息")</f>
        <v>单利计息</v>
      </c>
    </row>
    <row r="23" spans="1:7" s="258" customFormat="1" ht="13.5" customHeight="1">
      <c r="A23" s="954" t="s">
        <v>2373</v>
      </c>
      <c r="B23" s="259" t="s">
        <v>2374</v>
      </c>
      <c r="C23" s="1358">
        <f ca="1">ROUND(IF('数据-取费表'!B22&lt;=1,C5*F22*'数据-取费表'!B23,C5*(POWER((1+F22),'数据-取费表'!B23)-1)),0)</f>
        <v>1299</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13</v>
      </c>
      <c r="D25" s="282"/>
      <c r="E25" s="285"/>
      <c r="F25" s="283"/>
      <c r="G25" s="286" t="s">
        <v>2381</v>
      </c>
    </row>
    <row r="26" spans="1:7" s="258" customFormat="1">
      <c r="A26" s="954" t="s">
        <v>795</v>
      </c>
      <c r="B26" s="259" t="s">
        <v>2382</v>
      </c>
      <c r="C26" s="282">
        <f ca="1">ROUND(IF('数据-取费表'!B22&lt;=1,F21*F22*'数据-取费表'!B23/2,F21*(POWER((1+F22),'数据-取费表'!B23/2)-1)),4)</f>
        <v>4.0000000000000002E-4</v>
      </c>
      <c r="D26" s="282"/>
      <c r="E26" s="285"/>
      <c r="F26" s="283"/>
      <c r="G26" s="287"/>
    </row>
    <row r="27" spans="1:7" s="258" customFormat="1" ht="24.75">
      <c r="A27" s="299" t="s">
        <v>2383</v>
      </c>
      <c r="B27" s="288" t="s">
        <v>2384</v>
      </c>
      <c r="C27" s="289">
        <f ca="1">C28</f>
        <v>6090</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6090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41043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3656</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3260</v>
      </c>
      <c r="D34" s="261"/>
      <c r="E34" s="264"/>
      <c r="F34" s="301">
        <f ca="1">IF('数据-取费表'!B24=0,1,IF(B1="",'数据-取费表'!N16,INDIRECT("'数据-取费表'!n"&amp;$G$1)))</f>
        <v>1</v>
      </c>
      <c r="G34" s="263" t="s">
        <v>2397</v>
      </c>
    </row>
    <row r="35" spans="1:7" ht="13.5" customHeight="1">
      <c r="A35" s="954" t="s">
        <v>796</v>
      </c>
      <c r="B35" s="259" t="s">
        <v>2398</v>
      </c>
      <c r="C35" s="264">
        <f ca="1">ROUND(C34*F35,0)</f>
        <v>130</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217</v>
      </c>
      <c r="D37" s="261">
        <f ca="1">D19</f>
        <v>10867.1</v>
      </c>
      <c r="E37" s="293">
        <f>'数据-取费表'!B35</f>
        <v>200</v>
      </c>
      <c r="F37" s="303"/>
      <c r="G37" s="305" t="s">
        <v>2403</v>
      </c>
    </row>
    <row r="38" spans="1:7" ht="13.5" customHeight="1">
      <c r="A38" s="954" t="s">
        <v>799</v>
      </c>
      <c r="B38" s="259" t="s">
        <v>2404</v>
      </c>
      <c r="C38" s="264">
        <f ca="1">ROUND(C34*F38,0)</f>
        <v>49</v>
      </c>
      <c r="D38" s="264"/>
      <c r="E38" s="264"/>
      <c r="F38" s="303">
        <f>'数据-取费表'!B36</f>
        <v>1.4999999999999999E-2</v>
      </c>
      <c r="G38" s="263" t="s">
        <v>2399</v>
      </c>
    </row>
    <row r="39" spans="1:7" s="258" customFormat="1" ht="13.5" customHeight="1">
      <c r="A39" s="299" t="s">
        <v>2405</v>
      </c>
      <c r="B39" s="254" t="s">
        <v>2406</v>
      </c>
      <c r="C39" s="276">
        <f ca="1">ROUND(C33*F20,0)</f>
        <v>73</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82</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ROUND(IF('数据-取费表'!B22&lt;=1,C33*F22*'数据-取费表'!B21/2,C33*(POWER((1+F22),'数据-取费表'!B21/2)-1)),0)</f>
        <v>80</v>
      </c>
      <c r="D42" s="282"/>
      <c r="E42" s="282"/>
      <c r="F42" s="283"/>
      <c r="G42" s="3193" t="s">
        <v>2415</v>
      </c>
    </row>
    <row r="43" spans="1:7" ht="13.5" customHeight="1">
      <c r="A43" s="954" t="s">
        <v>792</v>
      </c>
      <c r="B43" s="259" t="s">
        <v>2416</v>
      </c>
      <c r="C43" s="282">
        <f ca="1">ROUND(IF('数据-取费表'!B22&lt;=1,C39*F22*'数据-取费表'!B21/2,C39*(POWER((1+F22),'数据-取费表'!B21/2)-1)),0)</f>
        <v>2</v>
      </c>
      <c r="D43" s="282"/>
      <c r="E43" s="282"/>
      <c r="F43" s="283"/>
      <c r="G43" s="3194"/>
    </row>
    <row r="44" spans="1:7" ht="13.5" customHeight="1">
      <c r="A44" s="954" t="s">
        <v>793</v>
      </c>
      <c r="B44" s="259" t="s">
        <v>2417</v>
      </c>
      <c r="C44" s="282">
        <f ca="1">ROUND(IF('数据-取费表'!B22&lt;=1,C40*F22*'数据-取费表'!B21/2,C40*(POWER((1+F22),'数据-取费表'!B21/2)-1)),4)</f>
        <v>4.0000000000000002E-4</v>
      </c>
      <c r="D44" s="282"/>
      <c r="E44" s="282"/>
      <c r="F44" s="283"/>
      <c r="G44" s="3195"/>
    </row>
    <row r="45" spans="1:7" s="258" customFormat="1" ht="13.5" customHeight="1">
      <c r="A45" s="299" t="s">
        <v>2418</v>
      </c>
      <c r="B45" s="288" t="s">
        <v>2384</v>
      </c>
      <c r="C45" s="289">
        <f ca="1">C46</f>
        <v>746</v>
      </c>
      <c r="D45" s="279">
        <f ca="1">C47</f>
        <v>4.0000000000000001E-3</v>
      </c>
      <c r="E45" s="280" t="s">
        <v>2410</v>
      </c>
      <c r="F45" s="290"/>
      <c r="G45" s="291" t="s">
        <v>2419</v>
      </c>
    </row>
    <row r="46" spans="1:7" s="258" customFormat="1" ht="13.5" customHeight="1">
      <c r="A46" s="954" t="s">
        <v>791</v>
      </c>
      <c r="B46" s="292" t="s">
        <v>2420</v>
      </c>
      <c r="C46" s="293">
        <f ca="1">ROUND((C33+C39)*F27,0)</f>
        <v>746</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4941</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4052</v>
      </c>
      <c r="D51" s="276"/>
      <c r="E51" s="276"/>
      <c r="F51" s="308"/>
      <c r="G51" s="278" t="s">
        <v>2431</v>
      </c>
    </row>
    <row r="52" spans="1:7" s="252" customFormat="1" ht="16.5" thickBot="1">
      <c r="A52" s="309" t="s">
        <v>2432</v>
      </c>
      <c r="B52" s="310"/>
      <c r="C52" s="311">
        <f ca="1">C31+C51</f>
        <v>45095</v>
      </c>
      <c r="D52" s="310"/>
      <c r="E52" s="310"/>
      <c r="F52" s="310"/>
      <c r="G52" s="312"/>
    </row>
    <row r="55" spans="1:7" ht="15">
      <c r="B55" s="314" t="s">
        <v>2433</v>
      </c>
      <c r="C55" s="315"/>
    </row>
    <row r="56" spans="1:7">
      <c r="B56" s="317" t="s">
        <v>1514</v>
      </c>
      <c r="C56" s="319">
        <f ca="1">1-C57</f>
        <v>0.91</v>
      </c>
    </row>
    <row r="57" spans="1:7">
      <c r="B57" s="317" t="s">
        <v>1515</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9814</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3764</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5214350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5214350</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5214350</v>
      </c>
      <c r="D10" s="1035">
        <f ca="1">IF(B1="",'数据-汇总表'!E6,IF(INDIRECT("'数据-取费表'!c"&amp;$G$1)="住宅",INDIRECT("'数据-取费表'!s"&amp;$G$1),INDIRECT("'数据-取费表'!k"&amp;$G$1)+INDIRECT("'数据-取费表'!s"&amp;$G$1)))</f>
        <v>26071.75</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5214350</v>
      </c>
      <c r="D19" s="1039">
        <f ca="1">D9+D10</f>
        <v>26071.75</v>
      </c>
      <c r="E19" s="255">
        <f>'数据-取费表'!B31</f>
        <v>200</v>
      </c>
      <c r="F19" s="275"/>
      <c r="G19" s="2556"/>
    </row>
    <row r="20" spans="1:7" s="258" customFormat="1" ht="13.5" customHeight="1">
      <c r="A20" s="299" t="s">
        <v>2445</v>
      </c>
      <c r="B20" s="254" t="s">
        <v>2446</v>
      </c>
      <c r="C20" s="276">
        <f ca="1">ROUND((C5+C19)*F20,0)</f>
        <v>208574</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458184</v>
      </c>
      <c r="D22" s="279">
        <f ca="1">C26</f>
        <v>4.0000000000000002E-4</v>
      </c>
      <c r="E22" s="280" t="s">
        <v>2450</v>
      </c>
      <c r="F22" s="281">
        <f ca="1">'数据-取费表'!B40</f>
        <v>4.3499999999999997E-2</v>
      </c>
      <c r="G22" s="278" t="str">
        <f>IF('数据-取费表'!B22&lt;=1,"单利计息","复利计息")</f>
        <v>单利计息</v>
      </c>
    </row>
    <row r="23" spans="1:7" s="258" customFormat="1" ht="13.5" customHeight="1">
      <c r="A23" s="954" t="s">
        <v>2343</v>
      </c>
      <c r="B23" s="259" t="s">
        <v>2454</v>
      </c>
      <c r="C23" s="1384">
        <f ca="1">ROUND(IF('数据-取费表'!B22&lt;=1,C5*F22*'数据-取费表'!B22,C5*(POWER((1+F22),'数据-取费表'!B22)-1)),0)</f>
        <v>226824</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226824</v>
      </c>
      <c r="D24" s="282"/>
      <c r="E24" s="282"/>
      <c r="F24" s="283"/>
      <c r="G24" s="284" t="s">
        <v>2457</v>
      </c>
    </row>
    <row r="25" spans="1:7" s="258" customFormat="1" ht="24">
      <c r="A25" s="954" t="s">
        <v>2347</v>
      </c>
      <c r="B25" s="259" t="s">
        <v>2458</v>
      </c>
      <c r="C25" s="1384">
        <f ca="1">ROUND(IF('数据-取费表'!B22&lt;=1,C20*F22*'数据-取费表'!B22/2,C20*(POWER((1+F22),'数据-取费表'!B22/2)-1)),0)</f>
        <v>4536</v>
      </c>
      <c r="D25" s="282"/>
      <c r="E25" s="285"/>
      <c r="F25" s="283"/>
      <c r="G25" s="286" t="s">
        <v>2459</v>
      </c>
    </row>
    <row r="26" spans="1:7" s="258" customFormat="1">
      <c r="A26" s="954" t="s">
        <v>795</v>
      </c>
      <c r="B26" s="259" t="s">
        <v>2382</v>
      </c>
      <c r="C26" s="282">
        <f ca="1">ROUND(IF('数据-取费表'!B22&lt;=1,F21*F22*'数据-取费表'!B22/2,F21*(POWER((1+F22),'数据-取费表'!B22/2)-1)),4)</f>
        <v>4.0000000000000002E-4</v>
      </c>
      <c r="D26" s="282"/>
      <c r="E26" s="285"/>
      <c r="F26" s="283"/>
      <c r="G26" s="287"/>
    </row>
    <row r="27" spans="1:7" s="258" customFormat="1" ht="24.75">
      <c r="A27" s="299" t="s">
        <v>2383</v>
      </c>
      <c r="B27" s="288" t="s">
        <v>2384</v>
      </c>
      <c r="C27" s="289">
        <f ca="1">C28</f>
        <v>1382846</v>
      </c>
      <c r="D27" s="279">
        <f ca="1">C29</f>
        <v>2.5999999999999999E-3</v>
      </c>
      <c r="E27" s="280" t="s">
        <v>2385</v>
      </c>
      <c r="F27" s="290">
        <f ca="1">IF(B1="",'数据-取费表'!Q16,INDIRECT("'数据-取费表'!q"&amp;$G$1))</f>
        <v>0.13</v>
      </c>
      <c r="G27" s="291" t="s">
        <v>2386</v>
      </c>
    </row>
    <row r="28" spans="1:7" s="258" customFormat="1" ht="13.5" customHeight="1">
      <c r="A28" s="954" t="s">
        <v>791</v>
      </c>
      <c r="B28" s="292" t="s">
        <v>2387</v>
      </c>
      <c r="C28" s="293">
        <f ca="1">ROUND((C5+C19+C20)*F27,0)</f>
        <v>1382846</v>
      </c>
      <c r="D28" s="279"/>
      <c r="E28" s="280"/>
      <c r="F28" s="290"/>
      <c r="G28" s="291"/>
    </row>
    <row r="29" spans="1:7" s="258" customFormat="1" ht="13.5" customHeight="1">
      <c r="A29" s="954" t="s">
        <v>792</v>
      </c>
      <c r="B29" s="292" t="s">
        <v>2388</v>
      </c>
      <c r="C29" s="282">
        <f ca="1">ROUND(C21*F27,4)</f>
        <v>2.5999999999999999E-3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13509044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81151051</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71977915</v>
      </c>
      <c r="D34" s="261"/>
      <c r="E34" s="264"/>
      <c r="F34" s="301"/>
      <c r="G34" s="263"/>
    </row>
    <row r="35" spans="1:7" ht="13.5" customHeight="1">
      <c r="A35" s="954" t="s">
        <v>796</v>
      </c>
      <c r="B35" s="259" t="s">
        <v>2398</v>
      </c>
      <c r="C35" s="264">
        <f ca="1">ROUND(C34*F35,0)</f>
        <v>2879117</v>
      </c>
      <c r="D35" s="264"/>
      <c r="E35" s="264"/>
      <c r="F35" s="303">
        <f>'数据-取费表'!B33</f>
        <v>0.04</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5214350</v>
      </c>
      <c r="D37" s="261">
        <f ca="1">D19</f>
        <v>26071.75</v>
      </c>
      <c r="E37" s="293">
        <f>'数据-取费表'!B35</f>
        <v>200</v>
      </c>
      <c r="F37" s="303"/>
      <c r="G37" s="305"/>
    </row>
    <row r="38" spans="1:7" ht="13.5" customHeight="1">
      <c r="A38" s="954" t="s">
        <v>799</v>
      </c>
      <c r="B38" s="259" t="s">
        <v>2404</v>
      </c>
      <c r="C38" s="264">
        <f ca="1">ROUND(C34*F38,0)</f>
        <v>1079669</v>
      </c>
      <c r="D38" s="264"/>
      <c r="E38" s="264"/>
      <c r="F38" s="303">
        <f>'数据-取费表'!B36</f>
        <v>1.4999999999999999E-2</v>
      </c>
      <c r="G38" s="263" t="s">
        <v>2399</v>
      </c>
    </row>
    <row r="39" spans="1:7" s="258" customFormat="1" ht="13.5" customHeight="1">
      <c r="A39" s="299" t="s">
        <v>2405</v>
      </c>
      <c r="B39" s="254" t="s">
        <v>2406</v>
      </c>
      <c r="C39" s="276">
        <f ca="1">ROUND(C33*F20,0)</f>
        <v>1623021</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1800336</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ROUND(IF('数据-取费表'!B22&lt;=1,C33*F22*'数据-取费表'!B20/2,C33*(POWER((1+F22),'数据-取费表'!B20/2)-1)),0)</f>
        <v>1765035</v>
      </c>
      <c r="D42" s="282"/>
      <c r="E42" s="282"/>
      <c r="F42" s="283"/>
      <c r="G42" s="3193" t="s">
        <v>2462</v>
      </c>
    </row>
    <row r="43" spans="1:7" ht="13.5" customHeight="1">
      <c r="A43" s="954" t="s">
        <v>792</v>
      </c>
      <c r="B43" s="259" t="s">
        <v>2416</v>
      </c>
      <c r="C43" s="282">
        <f ca="1">ROUND(IF('数据-取费表'!B22&lt;=1,C39*F22*'数据-取费表'!B20/2,C39*(POWER((1+F22),'数据-取费表'!B20/2)-1)),0)</f>
        <v>35301</v>
      </c>
      <c r="D43" s="282"/>
      <c r="E43" s="282"/>
      <c r="F43" s="283"/>
      <c r="G43" s="3194"/>
    </row>
    <row r="44" spans="1:7" ht="13.5" customHeight="1">
      <c r="A44" s="954" t="s">
        <v>793</v>
      </c>
      <c r="B44" s="259" t="s">
        <v>2417</v>
      </c>
      <c r="C44" s="282">
        <f ca="1">ROUND(IF('数据-取费表'!B22&lt;=1,C40*F22*'数据-取费表'!B20/2,C40*(POWER((1+F22),'数据-取费表'!B20/2)-1)),4)</f>
        <v>4.0000000000000002E-4</v>
      </c>
      <c r="D44" s="282"/>
      <c r="E44" s="282"/>
      <c r="F44" s="283"/>
      <c r="G44" s="3195"/>
    </row>
    <row r="45" spans="1:7" s="258" customFormat="1" ht="13.5" customHeight="1">
      <c r="A45" s="299" t="s">
        <v>2418</v>
      </c>
      <c r="B45" s="288" t="s">
        <v>2384</v>
      </c>
      <c r="C45" s="289">
        <f ca="1">C46</f>
        <v>10760629</v>
      </c>
      <c r="D45" s="279">
        <f ca="1">C47</f>
        <v>2.5999999999999999E-3</v>
      </c>
      <c r="E45" s="280" t="s">
        <v>2410</v>
      </c>
      <c r="F45" s="290"/>
      <c r="G45" s="291" t="s">
        <v>2419</v>
      </c>
    </row>
    <row r="46" spans="1:7" s="258" customFormat="1" ht="13.5" customHeight="1">
      <c r="A46" s="954" t="s">
        <v>791</v>
      </c>
      <c r="B46" s="292" t="s">
        <v>2420</v>
      </c>
      <c r="C46" s="293">
        <f ca="1">ROUND((C33+C39)*F27,0)</f>
        <v>10760629</v>
      </c>
      <c r="D46" s="307"/>
      <c r="E46" s="280"/>
      <c r="F46" s="290"/>
      <c r="G46" s="291"/>
    </row>
    <row r="47" spans="1:7" s="258" customFormat="1" ht="13.5" customHeight="1">
      <c r="A47" s="954" t="s">
        <v>792</v>
      </c>
      <c r="B47" s="292" t="s">
        <v>2421</v>
      </c>
      <c r="C47" s="282">
        <f ca="1">ROUND(C40*F27,4)</f>
        <v>2.5999999999999999E-3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103209957</v>
      </c>
      <c r="D49" s="276"/>
      <c r="E49" s="276"/>
      <c r="F49" s="308"/>
      <c r="G49" s="278" t="s">
        <v>2425</v>
      </c>
    </row>
    <row r="50" spans="1:7" s="302" customFormat="1">
      <c r="A50" s="299" t="s">
        <v>2426</v>
      </c>
      <c r="B50" s="254" t="s">
        <v>2427</v>
      </c>
      <c r="C50" s="276"/>
      <c r="D50" s="276"/>
      <c r="E50" s="276"/>
      <c r="F50" s="308">
        <f>IF('数据-取费表'!B24=0,'数据-取费表'!N16,1)</f>
        <v>0.82</v>
      </c>
      <c r="G50" s="291"/>
    </row>
    <row r="51" spans="1:7" ht="16.5" customHeight="1">
      <c r="A51" s="299" t="s">
        <v>2429</v>
      </c>
      <c r="B51" s="254" t="s">
        <v>2464</v>
      </c>
      <c r="C51" s="276">
        <f ca="1">ROUND(C49*F50,0)</f>
        <v>84632165</v>
      </c>
      <c r="D51" s="276"/>
      <c r="E51" s="276"/>
      <c r="F51" s="308"/>
      <c r="G51" s="278" t="s">
        <v>2431</v>
      </c>
    </row>
    <row r="52" spans="1:7" s="252" customFormat="1" ht="16.5" thickBot="1">
      <c r="A52" s="309" t="s">
        <v>2432</v>
      </c>
      <c r="B52" s="310"/>
      <c r="C52" s="311">
        <f ca="1">C31+C51</f>
        <v>98141209</v>
      </c>
      <c r="D52" s="310"/>
      <c r="E52" s="310"/>
      <c r="F52" s="310"/>
      <c r="G52" s="312"/>
    </row>
    <row r="55" spans="1:7" ht="15">
      <c r="B55" s="314" t="s">
        <v>2433</v>
      </c>
      <c r="C55" s="315"/>
    </row>
    <row r="56" spans="1:7">
      <c r="B56" s="317" t="s">
        <v>1514</v>
      </c>
      <c r="C56" s="319">
        <f ca="1">1-C57</f>
        <v>0.13800000000000001</v>
      </c>
    </row>
    <row r="57" spans="1:7">
      <c r="B57" s="317" t="s">
        <v>1515</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-583</v>
      </c>
      <c r="C2" s="320" t="s">
        <v>2466</v>
      </c>
      <c r="D2" s="320"/>
      <c r="E2" s="320"/>
      <c r="F2" s="320"/>
      <c r="G2" s="320"/>
      <c r="H2" s="320"/>
      <c r="I2" s="320"/>
      <c r="J2" s="320"/>
      <c r="K2" s="320"/>
    </row>
    <row r="3" spans="1:33" ht="18" customHeight="1" thickBot="1">
      <c r="A3" s="247" t="s">
        <v>2335</v>
      </c>
      <c r="B3" s="248">
        <f ca="1">ROUND(B2*10000/IF(C1="",'数据-汇总表'!E3,INDIRECT("'数据-取费表'!K"&amp;$K$1)),0)</f>
        <v>-224</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12474.67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0.04</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26071.75</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26071.75</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521</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521</v>
      </c>
      <c r="D20" s="1036">
        <f ca="1">IF(C1="",'数据-汇总表'!E6,IF(INDIRECT("'数据-取费表'!c"&amp;$K$1)="住宅",INDIRECT("'数据-取费表'!s"&amp;$K$1),INDIRECT("'数据-取费表'!k"&amp;$K$1)+INDIRECT("'数据-取费表'!s"&amp;$K$1)))</f>
        <v>26071.75</v>
      </c>
      <c r="E20" s="24">
        <f>'数据-取费表'!B28</f>
        <v>200</v>
      </c>
      <c r="F20" s="979"/>
      <c r="G20" s="15"/>
      <c r="H20" s="984"/>
      <c r="I20" s="984"/>
      <c r="J20" s="984"/>
      <c r="K20" s="985"/>
    </row>
    <row r="21" spans="1:33" s="978" customFormat="1" ht="13.5" customHeight="1">
      <c r="A21" s="964" t="s">
        <v>802</v>
      </c>
      <c r="B21" s="988" t="s">
        <v>2502</v>
      </c>
      <c r="C21" s="989">
        <f ca="1">C16+C17+C18</f>
        <v>521</v>
      </c>
      <c r="D21" s="990"/>
      <c r="E21" s="325"/>
      <c r="F21" s="325"/>
      <c r="G21" s="140" t="s">
        <v>2503</v>
      </c>
      <c r="H21" s="982"/>
      <c r="I21" s="982"/>
      <c r="J21" s="982"/>
      <c r="K21" s="983"/>
    </row>
    <row r="22" spans="1:33" s="978" customFormat="1" ht="13.5" customHeight="1">
      <c r="A22" s="964" t="s">
        <v>2475</v>
      </c>
      <c r="B22" s="988" t="s">
        <v>2504</v>
      </c>
      <c r="C22" s="989">
        <f ca="1">ROUND(C21*F22,0)</f>
        <v>10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2515</v>
      </c>
      <c r="B28" s="2565" t="s">
        <v>2516</v>
      </c>
      <c r="C28" s="331">
        <f ca="1">C30</f>
        <v>69</v>
      </c>
      <c r="D28" s="324">
        <f ca="1">C29</f>
        <v>0</v>
      </c>
      <c r="E28" s="326" t="s">
        <v>15</v>
      </c>
      <c r="F28" s="332">
        <f ca="1">IF(C1="",'数据-取费表'!Q16,INDIRECT("'数据-取费表'!q"&amp;$K$1))</f>
        <v>0.13</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69</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5.6000000000000001E-2</v>
      </c>
      <c r="G31" s="1013" t="s">
        <v>2522</v>
      </c>
      <c r="H31" s="1014"/>
      <c r="I31" s="1014"/>
      <c r="J31" s="1014"/>
      <c r="K31" s="1015"/>
    </row>
    <row r="32" spans="1:33" s="973" customFormat="1" ht="13.5" customHeight="1" thickBot="1">
      <c r="A32" s="1003" t="s">
        <v>2523</v>
      </c>
      <c r="B32" s="1004"/>
      <c r="C32" s="1005">
        <f ca="1">ROUND((C4-C21-C22-C23-C25-C28-C31)/(1+C24+D25+D28),0)</f>
        <v>-583</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G25" sqref="G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3057</v>
      </c>
      <c r="D1" s="1823" t="s">
        <v>70</v>
      </c>
      <c r="E1" s="1824" t="s">
        <v>1387</v>
      </c>
      <c r="F1" s="1286">
        <f ca="1">J53</f>
        <v>23.7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24082</v>
      </c>
      <c r="C2" s="1848" t="s">
        <v>1517</v>
      </c>
      <c r="D2" s="1848"/>
      <c r="E2" s="1849"/>
      <c r="F2" s="1850"/>
      <c r="G2" s="1851"/>
      <c r="H2" s="1843"/>
      <c r="I2" s="1843"/>
      <c r="J2" s="1843"/>
      <c r="K2" s="1844"/>
      <c r="L2" s="1843"/>
      <c r="M2" s="1843"/>
    </row>
    <row r="3" spans="1:37" ht="18" customHeight="1" thickBot="1">
      <c r="A3" s="1852" t="s">
        <v>1518</v>
      </c>
      <c r="B3" s="1853">
        <f ca="1">IF(ISERROR(B2*10000/F43),0,ROUND(B2*10000/F43,0))</f>
        <v>22160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1790</v>
      </c>
      <c r="D5" s="1825" t="s">
        <v>1402</v>
      </c>
      <c r="E5" s="1296"/>
      <c r="F5" s="1297"/>
      <c r="G5" s="1854"/>
      <c r="H5" s="344">
        <v>1</v>
      </c>
      <c r="I5" s="345" t="s">
        <v>1401</v>
      </c>
      <c r="J5" s="1295">
        <f ca="1">J6+J10+J12</f>
        <v>1920</v>
      </c>
      <c r="K5" s="1825" t="s">
        <v>1402</v>
      </c>
      <c r="L5" s="1296"/>
      <c r="M5" s="1297"/>
    </row>
    <row r="6" spans="1:37" ht="18" customHeight="1">
      <c r="A6" s="1294" t="s">
        <v>1035</v>
      </c>
      <c r="B6" s="3198" t="s">
        <v>1403</v>
      </c>
      <c r="C6" s="1299">
        <f ca="1">ROUND(F6*F8*F7*(1-F9)/10000,0)</f>
        <v>1785</v>
      </c>
      <c r="D6" s="164" t="s">
        <v>3040</v>
      </c>
      <c r="E6" s="347" t="s">
        <v>1405</v>
      </c>
      <c r="F6" s="348">
        <f ca="1">INDIRECT("'数据-取费表'!u"&amp;$G$1)</f>
        <v>5</v>
      </c>
      <c r="G6" s="1854"/>
      <c r="H6" s="1294" t="s">
        <v>1035</v>
      </c>
      <c r="I6" s="3198" t="s">
        <v>1403</v>
      </c>
      <c r="J6" s="346">
        <f ca="1">ROUND(M6*M8*M7*(1-M9)/10000,0)</f>
        <v>1917</v>
      </c>
      <c r="K6" s="164" t="s">
        <v>3039</v>
      </c>
      <c r="L6" s="347" t="s">
        <v>1405</v>
      </c>
      <c r="M6" s="348">
        <f ca="1">INDIRECT("'数据-取费表'!z"&amp;$G$1)</f>
        <v>5.37</v>
      </c>
    </row>
    <row r="7" spans="1:37" ht="18" customHeight="1">
      <c r="A7" s="1298"/>
      <c r="B7" s="3199"/>
      <c r="C7" s="1300"/>
      <c r="D7" s="352"/>
      <c r="E7" s="1301" t="s">
        <v>1406</v>
      </c>
      <c r="F7" s="348">
        <f ca="1">IF(INDIRECT("'数据-取费表'!ah"&amp;$G$1)="",INDIRECT("'数据-取费表'!k"&amp;$G$1),INDIRECT("'数据-取费表'!ah"&amp;$G$1))</f>
        <v>10867.1</v>
      </c>
      <c r="G7" s="1854"/>
      <c r="H7" s="349"/>
      <c r="I7" s="3199"/>
      <c r="J7" s="351"/>
      <c r="K7" s="352"/>
      <c r="L7" s="347" t="s">
        <v>1406</v>
      </c>
      <c r="M7" s="348">
        <f ca="1">F7</f>
        <v>10867.1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0.1</v>
      </c>
    </row>
    <row r="10" spans="1:37" ht="18" customHeight="1">
      <c r="A10" s="1294" t="s">
        <v>1039</v>
      </c>
      <c r="B10" s="1826" t="s">
        <v>1409</v>
      </c>
      <c r="C10" s="361">
        <f ca="1">ROUND(IF(F10="押一",F6*F8*F7/12*F11,IF(F10="押二",F6*F8*F7/12*2*F11,IF(F10="押三",F6*F8*F7/12*3*F11,C11*F11)))/10000,0)</f>
        <v>5</v>
      </c>
      <c r="D10" s="1827" t="s">
        <v>3041</v>
      </c>
      <c r="E10" s="358" t="s">
        <v>1411</v>
      </c>
      <c r="F10" s="1369" t="s">
        <v>3124</v>
      </c>
      <c r="G10" s="1854"/>
      <c r="H10" s="1294" t="s">
        <v>1039</v>
      </c>
      <c r="I10" s="1826" t="s">
        <v>1409</v>
      </c>
      <c r="J10" s="346">
        <f ca="1">ROUND(IF(M10="押一",M6*M8*M7/12*M11,IF(M10="押二",M6*M8*M7/12*2*M11,IF(M10="押三",M6*M8*M7/12*3*M11,J11*M11)))/10000,0)</f>
        <v>3</v>
      </c>
      <c r="K10" s="1827" t="s">
        <v>3042</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4052</v>
      </c>
      <c r="D13" s="1334" t="s">
        <v>1416</v>
      </c>
      <c r="E13" s="1334" t="s">
        <v>1417</v>
      </c>
      <c r="F13" s="1335">
        <f ca="1">INDIRECT("'数据-取费表'!y"&amp;$G$1)</f>
        <v>0.82</v>
      </c>
      <c r="G13" s="1854"/>
      <c r="H13" s="1332">
        <v>2</v>
      </c>
      <c r="I13" s="1333" t="s">
        <v>1415</v>
      </c>
      <c r="J13" s="1293">
        <f ca="1">ROUND(J14*J15,0)</f>
        <v>3805</v>
      </c>
      <c r="K13" s="1340" t="s">
        <v>1416</v>
      </c>
      <c r="L13" s="1855"/>
      <c r="M13" s="1856"/>
    </row>
    <row r="14" spans="1:37" ht="18" customHeight="1">
      <c r="A14" s="1204" t="s">
        <v>1034</v>
      </c>
      <c r="B14" s="347" t="s">
        <v>1418</v>
      </c>
      <c r="C14" s="363">
        <f ca="1">INDIRECT("'数据-取费表'!m"&amp;$G$1)+INDIRECT("'数据-取费表'!t"&amp;$G$1)</f>
        <v>3260</v>
      </c>
      <c r="D14" s="1803" t="s">
        <v>1419</v>
      </c>
      <c r="E14" s="1797"/>
      <c r="F14" s="364"/>
      <c r="G14" s="1854"/>
      <c r="H14" s="1204" t="s">
        <v>1035</v>
      </c>
      <c r="I14" s="347" t="s">
        <v>1420</v>
      </c>
      <c r="J14" s="24">
        <f ca="1">C29</f>
        <v>4941</v>
      </c>
      <c r="K14" s="15"/>
      <c r="L14" s="982"/>
      <c r="M14" s="983"/>
    </row>
    <row r="15" spans="1:37" s="1861" customFormat="1" ht="18" customHeight="1" thickBot="1">
      <c r="A15" s="1204" t="s">
        <v>1036</v>
      </c>
      <c r="B15" s="347" t="s">
        <v>1421</v>
      </c>
      <c r="C15" s="24">
        <f ca="1">ROUND(C14*F15,0)</f>
        <v>130</v>
      </c>
      <c r="D15" s="365" t="s">
        <v>1422</v>
      </c>
      <c r="E15" s="365" t="s">
        <v>1423</v>
      </c>
      <c r="F15" s="366">
        <f>'数据-取费表'!B33</f>
        <v>0.04</v>
      </c>
      <c r="G15" s="1857"/>
      <c r="H15" s="1342" t="s">
        <v>1039</v>
      </c>
      <c r="I15" s="1343" t="s">
        <v>1417</v>
      </c>
      <c r="J15" s="1352">
        <f ca="1">INDIRECT("'数据-取费表'!ad"&amp;$G$1)</f>
        <v>0.77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274</v>
      </c>
      <c r="K16" s="1340" t="s">
        <v>1426</v>
      </c>
      <c r="L16" s="1341"/>
      <c r="M16" s="1297"/>
    </row>
    <row r="17" spans="1:37" s="1861" customFormat="1" ht="18" customHeight="1">
      <c r="A17" s="1204" t="s">
        <v>1390</v>
      </c>
      <c r="B17" s="347" t="s">
        <v>1427</v>
      </c>
      <c r="C17" s="24">
        <f ca="1">ROUND(F17*(F43+INDIRECT("'数据-取费表'!S"&amp;$G$1))/10000,0)</f>
        <v>217</v>
      </c>
      <c r="D17" s="347" t="s">
        <v>1428</v>
      </c>
      <c r="E17" s="347" t="s">
        <v>1429</v>
      </c>
      <c r="F17" s="26">
        <f>'数据-取费表'!B35</f>
        <v>200</v>
      </c>
      <c r="G17" s="1857"/>
      <c r="H17" s="1204" t="s">
        <v>1035</v>
      </c>
      <c r="I17" s="347" t="s">
        <v>1430</v>
      </c>
      <c r="J17" s="24">
        <f ca="1">ROUND(IF(项目基本情况!B11="自然人",J5*M17,J18+J19+J20),1)</f>
        <v>156.19999999999999</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49</v>
      </c>
      <c r="D18" s="347" t="s">
        <v>1422</v>
      </c>
      <c r="E18" s="347" t="s">
        <v>1423</v>
      </c>
      <c r="F18" s="367">
        <f>'数据-取费表'!B36</f>
        <v>1.4999999999999999E-2</v>
      </c>
      <c r="G18" s="1857"/>
      <c r="H18" s="1204" t="s">
        <v>1034</v>
      </c>
      <c r="I18" s="347" t="s">
        <v>1434</v>
      </c>
      <c r="J18" s="24">
        <f ca="1">ROUND(J5*M18/(1+'数据-取费表'!C42),2)</f>
        <v>102.4</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3656</v>
      </c>
      <c r="D19" s="140" t="s">
        <v>1437</v>
      </c>
      <c r="E19" s="1821"/>
      <c r="F19" s="26"/>
      <c r="G19" s="1854"/>
      <c r="H19" s="1204" t="s">
        <v>1036</v>
      </c>
      <c r="I19" s="347" t="s">
        <v>1438</v>
      </c>
      <c r="J19" s="24">
        <f ca="1">IF(K19="按租金收入计税",ROUND(J5*M19,2),ROUND(C29*M19*0.7,2))</f>
        <v>41.5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73</v>
      </c>
      <c r="D20" s="369" t="s">
        <v>1441</v>
      </c>
      <c r="E20" s="347" t="s">
        <v>1423</v>
      </c>
      <c r="F20" s="367">
        <f>'数据-取费表'!B37</f>
        <v>0.02</v>
      </c>
      <c r="G20" s="1857"/>
      <c r="H20" s="1204" t="s">
        <v>1389</v>
      </c>
      <c r="I20" s="164" t="s">
        <v>1442</v>
      </c>
      <c r="J20" s="25">
        <f ca="1">ROUND(M20*M21/10000,2)</f>
        <v>12.28</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4093.86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74.099999999999994</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5.7</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38.4</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1646</v>
      </c>
      <c r="K25" s="1348" t="s">
        <v>1465</v>
      </c>
      <c r="L25" s="1349"/>
      <c r="M25" s="1350"/>
    </row>
    <row r="26" spans="1:37">
      <c r="A26" s="1204" t="s">
        <v>1034</v>
      </c>
      <c r="B26" s="347" t="s">
        <v>1466</v>
      </c>
      <c r="C26" s="24">
        <f ca="1">ROUND((C19+C20)*F26,0)</f>
        <v>746</v>
      </c>
      <c r="D26" s="369" t="s">
        <v>1467</v>
      </c>
      <c r="E26" s="358" t="s">
        <v>1468</v>
      </c>
      <c r="F26" s="357">
        <f ca="1">INDIRECT("'数据-取费表'!q"&amp;$G$1)</f>
        <v>0.2</v>
      </c>
      <c r="G26" s="1854"/>
      <c r="H26" s="344" t="s">
        <v>1032</v>
      </c>
      <c r="I26" s="345" t="s">
        <v>1469</v>
      </c>
      <c r="J26" s="346">
        <f ca="1">IF(J5&lt;&gt;0,ROUND(J25*(1-((1+M28)/(1+M26))^M27)/(M26-M28),0),0)</f>
        <v>23159</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20.099999999999998</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4941</v>
      </c>
      <c r="D29" s="1345"/>
      <c r="E29" s="1343"/>
      <c r="F29" s="1346"/>
      <c r="G29" s="1857"/>
      <c r="H29" s="380" t="s">
        <v>1033</v>
      </c>
      <c r="I29" s="381" t="s">
        <v>1480</v>
      </c>
      <c r="J29" s="382">
        <f ca="1">ROUND(J26/(1+F40)^F41,0)</f>
        <v>19099</v>
      </c>
      <c r="K29" s="383" t="s">
        <v>1481</v>
      </c>
      <c r="L29" s="384"/>
      <c r="M29" s="385">
        <f ca="1">INDIRECT("'数据-取费表'!k"&amp;$G$1)</f>
        <v>10867.1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265</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149.30000000000001</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95.47</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41.5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12.28</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4093.86</v>
      </c>
      <c r="G35" s="1854"/>
      <c r="H35" s="745"/>
      <c r="I35" s="1863"/>
      <c r="J35" s="1864"/>
      <c r="K35" s="1865"/>
      <c r="L35" s="1862"/>
      <c r="M35" s="1862"/>
    </row>
    <row r="36" spans="1:18" ht="18" customHeight="1">
      <c r="A36" s="1355" t="s">
        <v>1039</v>
      </c>
      <c r="B36" s="347" t="s">
        <v>1450</v>
      </c>
      <c r="C36" s="24">
        <f ca="1">ROUND(C29*F36,1)</f>
        <v>74.099999999999994</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6.1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35.799999999999997</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1525</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4983</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4585</v>
      </c>
      <c r="D43" s="383" t="s">
        <v>1489</v>
      </c>
      <c r="E43" s="384" t="s">
        <v>1490</v>
      </c>
      <c r="F43" s="385">
        <f ca="1">INDIRECT("'数据-取费表'!k"&amp;$G$1)</f>
        <v>10867.1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-5410</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24082</v>
      </c>
      <c r="R47" s="1889" t="s">
        <v>1530</v>
      </c>
    </row>
    <row r="48" spans="1:18" s="1845" customFormat="1" ht="28.5" thickBot="1">
      <c r="A48" s="1363" t="s">
        <v>1135</v>
      </c>
      <c r="B48" s="345" t="s">
        <v>1401</v>
      </c>
      <c r="C48" s="1820">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3043</v>
      </c>
      <c r="E49" s="1833" t="s">
        <v>1492</v>
      </c>
      <c r="F49" s="1284"/>
      <c r="G49" s="1894"/>
      <c r="H49" s="793"/>
      <c r="I49" s="1890" t="s">
        <v>1535</v>
      </c>
      <c r="J49" s="1895">
        <v>2007</v>
      </c>
      <c r="K49" s="1892" t="s">
        <v>1536</v>
      </c>
      <c r="L49" s="1896"/>
      <c r="O49" s="1897" t="s">
        <v>1042</v>
      </c>
      <c r="P49" s="1888" t="s">
        <v>1537</v>
      </c>
      <c r="Q49" s="1889">
        <f ca="1">C29</f>
        <v>4941</v>
      </c>
      <c r="R49" s="1889" t="s">
        <v>1530</v>
      </c>
    </row>
    <row r="50" spans="1:18" s="1845" customFormat="1" ht="13.5" thickBot="1">
      <c r="A50" s="1198"/>
      <c r="B50" s="1201"/>
      <c r="C50" s="1371"/>
      <c r="D50" s="1175"/>
      <c r="E50" s="1280" t="s">
        <v>1406</v>
      </c>
      <c r="F50" s="1281">
        <f ca="1">F7</f>
        <v>10867.1</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16460</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3041</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24082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4052</v>
      </c>
      <c r="D56" s="1917"/>
      <c r="E56" s="1918"/>
      <c r="F56" s="1910"/>
      <c r="I56" s="1919" t="s">
        <v>1555</v>
      </c>
      <c r="J56" s="1920" t="s">
        <v>3060</v>
      </c>
      <c r="K56" s="1890" t="s">
        <v>1556</v>
      </c>
      <c r="L56" s="1893" t="str">
        <f ca="1">IF(L48&lt;J51,"——",L48-J53)</f>
        <v>——</v>
      </c>
      <c r="O56" s="1887" t="s">
        <v>1040</v>
      </c>
      <c r="P56" s="1888" t="s">
        <v>1529</v>
      </c>
      <c r="Q56" s="1889">
        <f ca="1">C40+J29</f>
        <v>24082</v>
      </c>
      <c r="R56" s="1889" t="s">
        <v>1530</v>
      </c>
    </row>
    <row r="57" spans="1:18" s="1845" customFormat="1" ht="24.75" thickBot="1">
      <c r="A57" s="1921"/>
      <c r="B57" s="1172" t="s">
        <v>1479</v>
      </c>
      <c r="C57" s="282">
        <f ca="1">C29</f>
        <v>4941</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134</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53.8</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41.5</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12.28</v>
      </c>
      <c r="D62" s="1187" t="s">
        <v>1498</v>
      </c>
      <c r="E62" s="1172" t="s">
        <v>1499</v>
      </c>
      <c r="F62" s="371">
        <f t="shared" si="0"/>
        <v>30</v>
      </c>
      <c r="I62" s="1932" t="s">
        <v>1571</v>
      </c>
      <c r="J62" s="1933" t="s">
        <v>1572</v>
      </c>
      <c r="K62" s="1933" t="s">
        <v>1573</v>
      </c>
      <c r="L62" s="1933" t="s">
        <v>1574</v>
      </c>
      <c r="M62" s="1934" t="s">
        <v>1575</v>
      </c>
      <c r="O62" s="1887" t="s">
        <v>1046</v>
      </c>
      <c r="P62" s="1888" t="s">
        <v>1576</v>
      </c>
      <c r="Q62" s="1889">
        <f ca="1">Q56+Q57</f>
        <v>24082</v>
      </c>
      <c r="R62" s="1889" t="s">
        <v>1047</v>
      </c>
    </row>
    <row r="63" spans="1:18" s="1845" customFormat="1" ht="13.5" thickBot="1">
      <c r="A63" s="372"/>
      <c r="B63" s="1178"/>
      <c r="C63" s="29"/>
      <c r="D63" s="1188"/>
      <c r="E63" s="1172" t="s">
        <v>1500</v>
      </c>
      <c r="F63" s="348">
        <f t="shared" ca="1" si="0"/>
        <v>4093.86</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74.099999999999994</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6.1</v>
      </c>
      <c r="D65" s="1186" t="s">
        <v>1455</v>
      </c>
      <c r="E65" s="1172" t="s">
        <v>1456</v>
      </c>
      <c r="F65" s="376">
        <f t="shared" ca="1" si="0"/>
        <v>1.5E-3</v>
      </c>
      <c r="I65" s="1932" t="s">
        <v>1580</v>
      </c>
      <c r="J65" s="1933">
        <v>40</v>
      </c>
      <c r="K65" s="1933">
        <v>30</v>
      </c>
      <c r="L65" s="1933">
        <v>50</v>
      </c>
      <c r="M65" s="1935">
        <v>0.02</v>
      </c>
      <c r="O65" s="1887" t="s">
        <v>1040</v>
      </c>
      <c r="P65" s="1888" t="s">
        <v>1581</v>
      </c>
      <c r="Q65" s="1889">
        <f ca="1">C40+J29</f>
        <v>24082</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-134</v>
      </c>
      <c r="D67" s="1185" t="s">
        <v>1465</v>
      </c>
      <c r="E67" s="1190"/>
      <c r="F67" s="1191"/>
      <c r="O67" s="1897" t="s">
        <v>1042</v>
      </c>
      <c r="P67" s="1888" t="s">
        <v>1563</v>
      </c>
      <c r="Q67" s="1936">
        <f ca="1">L51</f>
        <v>16460</v>
      </c>
      <c r="R67" s="1889" t="s">
        <v>1583</v>
      </c>
    </row>
    <row r="68" spans="1:18" s="1845" customFormat="1" ht="16.5" thickBot="1">
      <c r="A68" s="1169" t="s">
        <v>1032</v>
      </c>
      <c r="B68" s="1170" t="s">
        <v>1486</v>
      </c>
      <c r="C68" s="346">
        <f ca="1">ROUND(C67*(1-((1+F70)/(1+F68))^F69)/(F68-F70),0)</f>
        <v>-427</v>
      </c>
      <c r="D68" s="1187" t="s">
        <v>1470</v>
      </c>
      <c r="E68" s="1172" t="s">
        <v>1471</v>
      </c>
      <c r="F68" s="357">
        <f ca="1">F40</f>
        <v>5.5E-2</v>
      </c>
      <c r="O68" s="1897" t="s">
        <v>1043</v>
      </c>
      <c r="P68" s="1937" t="s">
        <v>1584</v>
      </c>
      <c r="Q68" s="1889">
        <f ca="1">ROUND(Q69-Q70*Q71,0)</f>
        <v>1201</v>
      </c>
      <c r="R68" s="1889" t="s">
        <v>1051</v>
      </c>
    </row>
    <row r="69" spans="1:18" s="1845" customFormat="1" ht="13.5" thickBot="1">
      <c r="A69" s="1173"/>
      <c r="B69" s="1174"/>
      <c r="C69" s="351"/>
      <c r="D69" s="1192" t="s">
        <v>1474</v>
      </c>
      <c r="E69" s="1172" t="s">
        <v>1475</v>
      </c>
      <c r="F69" s="379">
        <f ca="1">F41</f>
        <v>3.6</v>
      </c>
      <c r="O69" s="1897" t="s">
        <v>1048</v>
      </c>
      <c r="P69" s="1937" t="s">
        <v>1585</v>
      </c>
      <c r="Q69" s="1889">
        <f ca="1">C39</f>
        <v>1525</v>
      </c>
      <c r="R69" s="1889" t="s">
        <v>1530</v>
      </c>
    </row>
    <row r="70" spans="1:18" s="1845" customFormat="1" ht="13.5" thickBot="1">
      <c r="A70" s="1176"/>
      <c r="B70" s="1177"/>
      <c r="C70" s="355"/>
      <c r="D70" s="1188"/>
      <c r="E70" s="1172" t="s">
        <v>1478</v>
      </c>
      <c r="F70" s="1278"/>
      <c r="O70" s="1897" t="s">
        <v>1049</v>
      </c>
      <c r="P70" s="1937" t="s">
        <v>1586</v>
      </c>
      <c r="Q70" s="1889">
        <f ca="1">C13</f>
        <v>4052</v>
      </c>
      <c r="R70" s="1889" t="s">
        <v>1530</v>
      </c>
    </row>
    <row r="71" spans="1:18" s="1845" customFormat="1" ht="13.5" thickBot="1">
      <c r="A71" s="1193" t="s">
        <v>1033</v>
      </c>
      <c r="B71" s="1194" t="s">
        <v>1488</v>
      </c>
      <c r="C71" s="382">
        <f ca="1">ROUND(C68*10000/F71,0)</f>
        <v>-393</v>
      </c>
      <c r="D71" s="1195" t="s">
        <v>1489</v>
      </c>
      <c r="E71" s="1196" t="s">
        <v>1490</v>
      </c>
      <c r="F71" s="385">
        <f ca="1">F43</f>
        <v>10867.1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324</v>
      </c>
      <c r="D75" s="1845"/>
      <c r="E75" s="1845"/>
      <c r="F75" s="1845"/>
      <c r="K75" s="1871"/>
      <c r="L75" s="1845"/>
      <c r="O75" s="1887" t="s">
        <v>1046</v>
      </c>
      <c r="P75" s="1888" t="s">
        <v>1550</v>
      </c>
      <c r="Q75" s="1889">
        <f ca="1">Q65+Q66</f>
        <v>24082</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0.78800000000000003</v>
      </c>
    </row>
    <row r="80" spans="1:18">
      <c r="B80" s="386" t="s">
        <v>1512</v>
      </c>
      <c r="C80" s="318">
        <f ca="1">ROUND(C75/C39,3)</f>
        <v>0.21199999999999999</v>
      </c>
    </row>
    <row r="81" spans="2:3">
      <c r="B81" s="314" t="s">
        <v>1513</v>
      </c>
      <c r="C81" s="282"/>
    </row>
    <row r="82" spans="2:3">
      <c r="B82" s="317" t="s">
        <v>1514</v>
      </c>
      <c r="C82" s="319">
        <f ca="1">1-C83</f>
        <v>0.18700000000000006</v>
      </c>
    </row>
    <row r="83" spans="2:3">
      <c r="B83" s="317" t="s">
        <v>1515</v>
      </c>
      <c r="C83" s="318">
        <f ca="1">ROUND(C13/C40,3)</f>
        <v>0.81299999999999994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98" t="s">
        <v>1403</v>
      </c>
      <c r="C6" s="1299">
        <f ca="1">ROUND(F6*F8*F7*(1-F9),0)</f>
        <v>0</v>
      </c>
      <c r="D6" s="164" t="s">
        <v>3035</v>
      </c>
      <c r="E6" s="347" t="s">
        <v>1405</v>
      </c>
      <c r="F6" s="348">
        <f ca="1">INDIRECT("'数据-取费表'!u"&amp;$G$1)</f>
        <v>0</v>
      </c>
      <c r="G6" s="1854"/>
      <c r="H6" s="1294" t="s">
        <v>1035</v>
      </c>
      <c r="I6" s="3198" t="s">
        <v>1403</v>
      </c>
      <c r="J6" s="346">
        <f ca="1">ROUND(M6*M8*M7*(1-M9),0)</f>
        <v>0</v>
      </c>
      <c r="K6" s="1837" t="s">
        <v>3038</v>
      </c>
      <c r="L6" s="347" t="s">
        <v>1405</v>
      </c>
      <c r="M6" s="348">
        <f ca="1">INDIRECT("'数据-取费表'!z"&amp;$G$1)</f>
        <v>0</v>
      </c>
    </row>
    <row r="7" spans="1:37" ht="18" customHeight="1">
      <c r="A7" s="1298"/>
      <c r="B7" s="3199"/>
      <c r="C7" s="1300"/>
      <c r="D7" s="352"/>
      <c r="E7" s="1301" t="s">
        <v>1406</v>
      </c>
      <c r="F7" s="348">
        <f ca="1">IF(INDIRECT("'数据-取费表'!ah"&amp;$G$1)="",INDIRECT("'数据-取费表'!k"&amp;$G$1),INDIRECT("'数据-取费表'!ah"&amp;$G$1))</f>
        <v>0</v>
      </c>
      <c r="G7" s="1854"/>
      <c r="H7" s="349"/>
      <c r="I7" s="3199"/>
      <c r="J7" s="351"/>
      <c r="K7" s="352"/>
      <c r="L7" s="347" t="s">
        <v>1406</v>
      </c>
      <c r="M7" s="348">
        <f ca="1">F7</f>
        <v>0</v>
      </c>
    </row>
    <row r="8" spans="1:37" ht="18" customHeight="1">
      <c r="A8" s="349"/>
      <c r="B8" s="3199"/>
      <c r="C8" s="351"/>
      <c r="D8" s="352"/>
      <c r="E8" s="347" t="s">
        <v>1407</v>
      </c>
      <c r="F8" s="348">
        <f ca="1">INDIRECT("'数据-取费表'!ai"&amp;$G$1)</f>
        <v>0</v>
      </c>
      <c r="G8" s="1854"/>
      <c r="H8" s="349"/>
      <c r="I8" s="3199"/>
      <c r="J8" s="351"/>
      <c r="K8" s="352"/>
      <c r="L8" s="347" t="s">
        <v>1407</v>
      </c>
      <c r="M8" s="348">
        <f ca="1">INDIRECT("'数据-取费表'!ai"&amp;$G$1)</f>
        <v>0</v>
      </c>
    </row>
    <row r="9" spans="1:37" ht="18" customHeight="1">
      <c r="A9" s="349"/>
      <c r="B9" s="3200"/>
      <c r="C9" s="351"/>
      <c r="D9" s="352"/>
      <c r="E9" s="347" t="s">
        <v>1408</v>
      </c>
      <c r="F9" s="357">
        <f ca="1">INDIRECT("'数据-取费表'!w"&amp;$G$1)</f>
        <v>0</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3036</v>
      </c>
      <c r="E10" s="358" t="s">
        <v>1411</v>
      </c>
      <c r="F10" s="1369"/>
      <c r="G10" s="1854"/>
      <c r="H10" s="1294" t="s">
        <v>1039</v>
      </c>
      <c r="I10" s="1826" t="s">
        <v>1409</v>
      </c>
      <c r="J10" s="346">
        <f ca="1">ROUND(IF(M10="押一",M6*M8*M7/12*M11,IF(M10="押二",M6*M8*M7/12*2*M11,IF(M10="押三",M6*M8*M7/12*3*M11,J11*M11))),0)</f>
        <v>0</v>
      </c>
      <c r="K10" s="1838" t="s">
        <v>3037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96" t="s">
        <v>1549</v>
      </c>
      <c r="L53" s="3197"/>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30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35787</v>
      </c>
      <c r="C2" s="2572" t="s">
        <v>2525</v>
      </c>
      <c r="D2" s="2573" t="s">
        <v>2526</v>
      </c>
      <c r="E2" s="2574">
        <f>SUM(E6:E13)</f>
        <v>26071.75</v>
      </c>
    </row>
    <row r="3" spans="1:6" ht="15.75">
      <c r="A3" s="2570" t="s">
        <v>1395</v>
      </c>
      <c r="B3" s="2571">
        <f ca="1">ROUND(B2*10000/E2,0)</f>
        <v>13726</v>
      </c>
      <c r="C3" s="2572" t="s">
        <v>2533</v>
      </c>
      <c r="D3" s="2575"/>
      <c r="E3" s="2576"/>
    </row>
    <row r="4" spans="1:6" ht="15.75">
      <c r="A4" s="2577"/>
      <c r="B4" s="2575"/>
      <c r="C4" s="2575"/>
      <c r="D4" s="2575"/>
      <c r="E4" s="2576"/>
    </row>
    <row r="5" spans="1:6" ht="15">
      <c r="A5" s="2578" t="s">
        <v>2527</v>
      </c>
      <c r="B5" s="3201" t="s">
        <v>2528</v>
      </c>
      <c r="C5" s="3201"/>
      <c r="D5" s="2579"/>
      <c r="E5" s="2580" t="s">
        <v>2529</v>
      </c>
      <c r="F5" s="2581" t="s">
        <v>2530</v>
      </c>
    </row>
    <row r="6" spans="1:6">
      <c r="A6" s="2582" t="str">
        <f>'数据-取费表'!AN6</f>
        <v>收益法</v>
      </c>
      <c r="B6" s="2581">
        <f ca="1">IF(F6="是",'数据-取费表'!AO6,0)</f>
        <v>24082</v>
      </c>
      <c r="C6" s="2572" t="s">
        <v>2525</v>
      </c>
      <c r="D6" s="2575"/>
      <c r="E6" s="2583">
        <f>IF(OR(A6=0,F6="否"),0,'数据-取费表'!K6+'数据-取费表'!S6)</f>
        <v>10867.1</v>
      </c>
      <c r="F6" s="2584" t="s">
        <v>2531</v>
      </c>
    </row>
    <row r="7" spans="1:6">
      <c r="A7" s="2582" t="str">
        <f>'数据-取费表'!AN7</f>
        <v>收益法-车位</v>
      </c>
      <c r="B7" s="2581">
        <f ca="1">IF(F7="是",'数据-取费表'!AO7,0)</f>
        <v>5697</v>
      </c>
      <c r="C7" s="2572" t="s">
        <v>2525</v>
      </c>
      <c r="D7" s="2575"/>
      <c r="E7" s="2583">
        <f>IF(OR(A7=0,F7="否"),0,'数据-取费表'!K7+'数据-取费表'!S7)</f>
        <v>12474.67</v>
      </c>
      <c r="F7" s="2584" t="s">
        <v>2531</v>
      </c>
    </row>
    <row r="8" spans="1:6">
      <c r="A8" s="2582" t="str">
        <f>'数据-取费表'!AN8</f>
        <v>收益法-未出租</v>
      </c>
      <c r="B8" s="2581">
        <f ca="1">IF(F8="是",'数据-取费表'!AO8,0)</f>
        <v>6008</v>
      </c>
      <c r="C8" s="2572" t="s">
        <v>2525</v>
      </c>
      <c r="D8" s="2575"/>
      <c r="E8" s="2583">
        <f>IF(OR(A8=0,F8="否"),0,'数据-取费表'!K8+'数据-取费表'!S8)</f>
        <v>2729.98</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08" t="s">
        <v>1077</v>
      </c>
      <c r="B2" s="3209" t="s">
        <v>1078</v>
      </c>
      <c r="C2" s="3209"/>
      <c r="D2" s="1304" t="s">
        <v>1079</v>
      </c>
      <c r="E2" s="1304" t="s">
        <v>1080</v>
      </c>
      <c r="F2" s="1304" t="s">
        <v>1081</v>
      </c>
      <c r="G2" s="1304" t="s">
        <v>1082</v>
      </c>
      <c r="H2" s="1304" t="s">
        <v>1083</v>
      </c>
      <c r="I2" s="1305" t="s">
        <v>1084</v>
      </c>
    </row>
    <row r="3" spans="1:9">
      <c r="A3" s="3208"/>
      <c r="B3" s="3209" t="s">
        <v>1085</v>
      </c>
      <c r="C3" s="3209"/>
      <c r="D3" s="1306"/>
      <c r="E3" s="1304"/>
      <c r="F3" s="1307"/>
      <c r="G3" s="1307"/>
      <c r="H3" s="1308"/>
      <c r="I3" s="1309">
        <f>ROUND(D3*E3*F3*G3*H3/10000,0)</f>
        <v>0</v>
      </c>
    </row>
    <row r="4" spans="1:9">
      <c r="A4" s="3208"/>
      <c r="B4" s="3209" t="s">
        <v>1086</v>
      </c>
      <c r="C4" s="3209"/>
      <c r="D4" s="1306"/>
      <c r="E4" s="1304"/>
      <c r="F4" s="1307"/>
      <c r="G4" s="1307"/>
      <c r="H4" s="1308"/>
      <c r="I4" s="1309">
        <f t="shared" ref="I4:I9" si="0">ROUND(D4*E4*F4*G4*H4/10000,0)</f>
        <v>0</v>
      </c>
    </row>
    <row r="5" spans="1:9">
      <c r="A5" s="3208"/>
      <c r="B5" s="3209" t="s">
        <v>1087</v>
      </c>
      <c r="C5" s="3209"/>
      <c r="D5" s="1306"/>
      <c r="E5" s="1304"/>
      <c r="F5" s="1307"/>
      <c r="G5" s="1307"/>
      <c r="H5" s="1308"/>
      <c r="I5" s="1309">
        <f t="shared" si="0"/>
        <v>0</v>
      </c>
    </row>
    <row r="6" spans="1:9">
      <c r="A6" s="3208"/>
      <c r="B6" s="3209" t="s">
        <v>1088</v>
      </c>
      <c r="C6" s="3209"/>
      <c r="D6" s="1306"/>
      <c r="E6" s="1304"/>
      <c r="F6" s="1307"/>
      <c r="G6" s="1307"/>
      <c r="H6" s="1308"/>
      <c r="I6" s="1309">
        <f t="shared" si="0"/>
        <v>0</v>
      </c>
    </row>
    <row r="7" spans="1:9">
      <c r="A7" s="3208"/>
      <c r="B7" s="3209" t="s">
        <v>1089</v>
      </c>
      <c r="C7" s="3209"/>
      <c r="D7" s="1306"/>
      <c r="E7" s="1304"/>
      <c r="F7" s="1307"/>
      <c r="G7" s="1307"/>
      <c r="H7" s="1308"/>
      <c r="I7" s="1309">
        <f t="shared" si="0"/>
        <v>0</v>
      </c>
    </row>
    <row r="8" spans="1:9">
      <c r="A8" s="3208"/>
      <c r="B8" s="3209" t="s">
        <v>1090</v>
      </c>
      <c r="C8" s="3209"/>
      <c r="D8" s="1306"/>
      <c r="E8" s="1304"/>
      <c r="F8" s="1307"/>
      <c r="G8" s="1307"/>
      <c r="H8" s="1308"/>
      <c r="I8" s="1309">
        <f t="shared" si="0"/>
        <v>0</v>
      </c>
    </row>
    <row r="9" spans="1:9">
      <c r="A9" s="3208"/>
      <c r="B9" s="3209" t="s">
        <v>1091</v>
      </c>
      <c r="C9" s="3209"/>
      <c r="D9" s="1306"/>
      <c r="E9" s="1304"/>
      <c r="F9" s="1307"/>
      <c r="G9" s="1307"/>
      <c r="H9" s="1308"/>
      <c r="I9" s="1309">
        <f t="shared" si="0"/>
        <v>0</v>
      </c>
    </row>
    <row r="10" spans="1:9">
      <c r="A10" s="3208"/>
      <c r="B10" s="3210" t="s">
        <v>1092</v>
      </c>
      <c r="C10" s="3210"/>
      <c r="D10" s="1310"/>
      <c r="E10" s="1310" t="e">
        <f>ROUND(D1*10000/D10/H9,0)</f>
        <v>#DIV/0!</v>
      </c>
      <c r="F10" s="1311"/>
      <c r="G10" s="1311"/>
      <c r="H10" s="1312"/>
      <c r="I10" s="1313">
        <f>SUM(I3:I9)</f>
        <v>0</v>
      </c>
    </row>
    <row r="11" spans="1:9" ht="14.25">
      <c r="A11" s="3208" t="s">
        <v>1093</v>
      </c>
      <c r="B11" s="3209" t="s">
        <v>1094</v>
      </c>
      <c r="C11" s="3209"/>
      <c r="D11" s="1306" t="s">
        <v>1095</v>
      </c>
      <c r="E11" s="1306" t="s">
        <v>1096</v>
      </c>
      <c r="F11" s="1307" t="s">
        <v>1097</v>
      </c>
      <c r="G11" s="1307" t="s">
        <v>1083</v>
      </c>
      <c r="H11" s="1314" t="s">
        <v>1098</v>
      </c>
      <c r="I11" s="1305" t="s">
        <v>1084</v>
      </c>
    </row>
    <row r="12" spans="1:9">
      <c r="A12" s="3208"/>
      <c r="B12" s="3209" t="s">
        <v>1099</v>
      </c>
      <c r="C12" s="3209"/>
      <c r="D12" s="1306"/>
      <c r="E12" s="1306"/>
      <c r="F12" s="1307"/>
      <c r="G12" s="1308"/>
      <c r="H12" s="1315"/>
      <c r="I12" s="1305">
        <f>ROUND(D12*E12*F12*G12/10000,0)</f>
        <v>0</v>
      </c>
    </row>
    <row r="13" spans="1:9">
      <c r="A13" s="3208"/>
      <c r="B13" s="3209" t="s">
        <v>1100</v>
      </c>
      <c r="C13" s="3209"/>
      <c r="D13" s="1306"/>
      <c r="E13" s="1306"/>
      <c r="F13" s="1307"/>
      <c r="G13" s="1308"/>
      <c r="H13" s="1315"/>
      <c r="I13" s="1305">
        <f>ROUND(D13*E13*F13*G13/10000,0)</f>
        <v>0</v>
      </c>
    </row>
    <row r="14" spans="1:9">
      <c r="A14" s="3208"/>
      <c r="B14" s="3209" t="s">
        <v>1101</v>
      </c>
      <c r="C14" s="3209"/>
      <c r="D14" s="1306"/>
      <c r="E14" s="1306"/>
      <c r="F14" s="1307"/>
      <c r="G14" s="1308"/>
      <c r="H14" s="1315"/>
      <c r="I14" s="1305">
        <f>ROUND(D14*E14*F14*G14/10000,0)</f>
        <v>0</v>
      </c>
    </row>
    <row r="15" spans="1:9">
      <c r="A15" s="3208"/>
      <c r="B15" s="3210" t="s">
        <v>1092</v>
      </c>
      <c r="C15" s="3210"/>
      <c r="D15" s="1310"/>
      <c r="E15" s="1310">
        <f>SUM(E12:E14)</f>
        <v>0</v>
      </c>
      <c r="F15" s="1311"/>
      <c r="G15" s="1308"/>
      <c r="H15" s="1315"/>
      <c r="I15" s="1316">
        <f>SUM(I12:I14)</f>
        <v>0</v>
      </c>
    </row>
    <row r="16" spans="1:9" ht="24">
      <c r="A16" s="3208" t="s">
        <v>1102</v>
      </c>
      <c r="B16" s="3209" t="s">
        <v>1103</v>
      </c>
      <c r="C16" s="3209"/>
      <c r="D16" s="1306" t="s">
        <v>1079</v>
      </c>
      <c r="E16" s="1317" t="s">
        <v>1104</v>
      </c>
      <c r="F16" s="1307" t="s">
        <v>1105</v>
      </c>
      <c r="G16" s="1308" t="s">
        <v>1083</v>
      </c>
      <c r="H16" s="1314" t="s">
        <v>1098</v>
      </c>
      <c r="I16" s="1305" t="s">
        <v>1084</v>
      </c>
    </row>
    <row r="17" spans="1:9" ht="14.25">
      <c r="A17" s="3208"/>
      <c r="B17" s="3209" t="s">
        <v>1106</v>
      </c>
      <c r="C17" s="3209"/>
      <c r="D17" s="1306"/>
      <c r="E17" s="1306"/>
      <c r="F17" s="1307"/>
      <c r="G17" s="1308"/>
      <c r="H17" s="1318"/>
      <c r="I17" s="1319">
        <f>ROUND(D17*E17*F17*G17/10000,0)</f>
        <v>0</v>
      </c>
    </row>
    <row r="18" spans="1:9" ht="14.25">
      <c r="A18" s="3208"/>
      <c r="B18" s="3209" t="s">
        <v>1107</v>
      </c>
      <c r="C18" s="3209"/>
      <c r="D18" s="1306"/>
      <c r="E18" s="1306"/>
      <c r="F18" s="1307"/>
      <c r="G18" s="1308"/>
      <c r="H18" s="1318"/>
      <c r="I18" s="1319">
        <f>ROUND(D18*E18*F18*G18/10000,0)</f>
        <v>0</v>
      </c>
    </row>
    <row r="19" spans="1:9" ht="14.25">
      <c r="A19" s="3208"/>
      <c r="B19" s="3209" t="s">
        <v>1108</v>
      </c>
      <c r="C19" s="3209"/>
      <c r="D19" s="1306"/>
      <c r="E19" s="1306"/>
      <c r="F19" s="1307"/>
      <c r="G19" s="1308"/>
      <c r="H19" s="1318"/>
      <c r="I19" s="1319">
        <f>ROUND(D19*E19*F19*G19/10000,0)</f>
        <v>0</v>
      </c>
    </row>
    <row r="20" spans="1:9">
      <c r="A20" s="3208"/>
      <c r="B20" s="3210" t="s">
        <v>1092</v>
      </c>
      <c r="C20" s="3210"/>
      <c r="D20" s="1310">
        <f>SUM(D17:D19)</f>
        <v>0</v>
      </c>
      <c r="E20" s="1310"/>
      <c r="F20" s="1311"/>
      <c r="G20" s="1308"/>
      <c r="H20" s="1315"/>
      <c r="I20" s="1316">
        <f>SUM(I17:I19)</f>
        <v>0</v>
      </c>
    </row>
    <row r="21" spans="1:9">
      <c r="A21" s="3208" t="s">
        <v>1109</v>
      </c>
      <c r="B21" s="3211"/>
      <c r="C21" s="3211"/>
      <c r="D21" s="3211"/>
      <c r="E21" s="3211"/>
      <c r="F21" s="3211"/>
      <c r="G21" s="3211"/>
      <c r="H21" s="1768">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05">
        <f>C27-C30-C31-C32</f>
        <v>0</v>
      </c>
      <c r="F26" s="3205"/>
      <c r="G26" s="3205"/>
      <c r="H26" s="1740" t="s">
        <v>1340</v>
      </c>
    </row>
    <row r="27" spans="1:9">
      <c r="A27" s="1327">
        <v>1</v>
      </c>
      <c r="B27" s="1328" t="s">
        <v>1118</v>
      </c>
      <c r="C27" s="1328">
        <f>C28+C29</f>
        <v>0</v>
      </c>
      <c r="D27" s="1328"/>
      <c r="E27" s="3206"/>
      <c r="F27" s="3206"/>
      <c r="G27" s="3206"/>
    </row>
    <row r="28" spans="1:9">
      <c r="A28" s="1329" t="s">
        <v>1119</v>
      </c>
      <c r="B28" s="1328" t="s">
        <v>1120</v>
      </c>
      <c r="C28" s="1328"/>
      <c r="D28" s="1328"/>
      <c r="E28" s="3206"/>
      <c r="F28" s="3206"/>
      <c r="G28" s="320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7"/>
      <c r="F32" s="3207"/>
      <c r="G32" s="3207"/>
    </row>
    <row r="33" spans="1:7" hidden="1">
      <c r="A33" s="3202" t="s">
        <v>1129</v>
      </c>
      <c r="B33" s="3203"/>
      <c r="C33" s="3203"/>
      <c r="D33" s="3204"/>
      <c r="E33" s="3205"/>
      <c r="F33" s="3205"/>
      <c r="G33" s="3205"/>
    </row>
    <row r="34" spans="1:7" hidden="1">
      <c r="A34" s="1331">
        <v>1</v>
      </c>
      <c r="B34" s="1328" t="s">
        <v>1130</v>
      </c>
      <c r="C34" s="1328"/>
      <c r="D34" s="1328"/>
      <c r="E34" s="3206"/>
      <c r="F34" s="3206"/>
      <c r="G34" s="3206"/>
    </row>
    <row r="35" spans="1:7" hidden="1">
      <c r="A35" s="1331">
        <v>2</v>
      </c>
      <c r="B35" s="1328" t="s">
        <v>1131</v>
      </c>
      <c r="C35" s="1328"/>
      <c r="D35" s="1328"/>
      <c r="E35" s="3206"/>
      <c r="F35" s="3206"/>
      <c r="G35" s="3206"/>
    </row>
    <row r="36" spans="1:7" hidden="1">
      <c r="A36" s="1331">
        <v>3</v>
      </c>
      <c r="B36" s="1328" t="s">
        <v>1132</v>
      </c>
      <c r="C36" s="1328"/>
      <c r="D36" s="1328"/>
      <c r="E36" s="3206"/>
      <c r="F36" s="3206"/>
      <c r="G36" s="3206"/>
    </row>
    <row r="37" spans="1:7" hidden="1">
      <c r="A37" s="1331">
        <v>4</v>
      </c>
      <c r="B37" s="1328" t="s">
        <v>1133</v>
      </c>
      <c r="C37" s="1328"/>
      <c r="D37" s="1328"/>
      <c r="E37" s="3206"/>
      <c r="F37" s="3206"/>
      <c r="G37" s="3206"/>
    </row>
    <row r="38" spans="1:7" hidden="1">
      <c r="A38" s="3202" t="s">
        <v>1134</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26071.75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241" t="s">
        <v>2542</v>
      </c>
      <c r="D4" s="3242"/>
      <c r="E4" s="3243" t="s">
        <v>2543</v>
      </c>
      <c r="F4" s="3244"/>
      <c r="G4" s="3241" t="s">
        <v>2544</v>
      </c>
      <c r="H4" s="3242"/>
      <c r="I4" s="3241" t="s">
        <v>2545</v>
      </c>
      <c r="J4" s="3242"/>
      <c r="K4" s="2602" t="s">
        <v>2546</v>
      </c>
      <c r="L4" s="1133"/>
      <c r="M4" s="1134"/>
      <c r="N4" s="1134"/>
      <c r="O4" s="1134"/>
      <c r="P4" s="3245" t="s">
        <v>2547</v>
      </c>
      <c r="Q4" s="3246"/>
      <c r="R4" s="3251" t="s">
        <v>2543</v>
      </c>
      <c r="S4" s="3252"/>
      <c r="T4" s="3251" t="s">
        <v>2544</v>
      </c>
      <c r="U4" s="3252"/>
      <c r="V4" s="3257" t="s">
        <v>2545</v>
      </c>
      <c r="W4" s="3257"/>
      <c r="X4" s="1816"/>
      <c r="Y4" s="3251" t="s">
        <v>2547</v>
      </c>
      <c r="Z4" s="3252"/>
      <c r="AA4" s="3238" t="s">
        <v>2543</v>
      </c>
      <c r="AB4" s="3238" t="s">
        <v>2544</v>
      </c>
      <c r="AC4" s="3238" t="s">
        <v>2545</v>
      </c>
    </row>
    <row r="5" spans="1:29" ht="15">
      <c r="A5" s="404"/>
      <c r="B5" s="405"/>
      <c r="C5" s="3260" t="s">
        <v>2548</v>
      </c>
      <c r="D5" s="3261"/>
      <c r="E5" s="3267" t="s">
        <v>2549</v>
      </c>
      <c r="F5" s="3268"/>
      <c r="G5" s="3260" t="s">
        <v>2550</v>
      </c>
      <c r="H5" s="3261"/>
      <c r="I5" s="3260" t="s">
        <v>2551</v>
      </c>
      <c r="J5" s="3261"/>
      <c r="K5" s="2603"/>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2603"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62" t="s">
        <v>2555</v>
      </c>
      <c r="Q7" s="3264"/>
      <c r="R7" s="770" t="s">
        <v>23</v>
      </c>
      <c r="S7" s="771">
        <f t="shared" ref="S7:S15" si="0">F7</f>
        <v>0</v>
      </c>
      <c r="T7" s="770" t="s">
        <v>23</v>
      </c>
      <c r="U7" s="771">
        <f t="shared" ref="U7:U15" si="1">H7</f>
        <v>0</v>
      </c>
      <c r="V7" s="770" t="s">
        <v>23</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62" t="s">
        <v>2558</v>
      </c>
      <c r="Q8" s="3263"/>
      <c r="R8" s="770" t="s">
        <v>23</v>
      </c>
      <c r="S8" s="771">
        <f t="shared" si="0"/>
        <v>0</v>
      </c>
      <c r="T8" s="770" t="s">
        <v>23</v>
      </c>
      <c r="U8" s="771">
        <f t="shared" si="1"/>
        <v>0</v>
      </c>
      <c r="V8" s="770" t="s">
        <v>23</v>
      </c>
      <c r="W8" s="771">
        <f t="shared" si="2"/>
        <v>0</v>
      </c>
      <c r="X8" s="772"/>
      <c r="Y8" s="3262" t="s">
        <v>2558</v>
      </c>
      <c r="Z8" s="3263"/>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7"/>
      <c r="Q11" s="1798"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37"/>
      <c r="Q12" s="1798">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37"/>
      <c r="Q13" s="1798">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37"/>
      <c r="Q14" s="1798">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2565</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2566</v>
      </c>
      <c r="Q15" s="1813" t="str">
        <f t="shared" si="6"/>
        <v>居住社区成熟度</v>
      </c>
      <c r="R15" s="774" t="s">
        <v>21</v>
      </c>
      <c r="S15" s="775">
        <f t="shared" si="0"/>
        <v>100</v>
      </c>
      <c r="T15" s="774" t="s">
        <v>21</v>
      </c>
      <c r="U15" s="775">
        <f t="shared" si="1"/>
        <v>100</v>
      </c>
      <c r="V15" s="774" t="s">
        <v>21</v>
      </c>
      <c r="W15" s="775">
        <f t="shared" si="2"/>
        <v>100</v>
      </c>
      <c r="X15" s="1816"/>
      <c r="Y15" s="3228"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3" t="str">
        <f>B17</f>
        <v>交通便捷度</v>
      </c>
      <c r="R17" s="774" t="s">
        <v>21</v>
      </c>
      <c r="S17" s="775">
        <f>F17</f>
        <v>100</v>
      </c>
      <c r="T17" s="774" t="s">
        <v>21</v>
      </c>
      <c r="U17" s="775">
        <f>H17</f>
        <v>100</v>
      </c>
      <c r="V17" s="774" t="s">
        <v>21</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3" t="str">
        <f>B19</f>
        <v>公共配套设施</v>
      </c>
      <c r="R19" s="774" t="s">
        <v>21</v>
      </c>
      <c r="S19" s="775">
        <f>F19</f>
        <v>100</v>
      </c>
      <c r="T19" s="774" t="s">
        <v>21</v>
      </c>
      <c r="U19" s="775">
        <f>H19</f>
        <v>100</v>
      </c>
      <c r="V19" s="774" t="s">
        <v>21</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3" t="str">
        <f>B23</f>
        <v>自然及人文环境</v>
      </c>
      <c r="R23" s="774" t="s">
        <v>21</v>
      </c>
      <c r="S23" s="775">
        <f>F23</f>
        <v>100</v>
      </c>
      <c r="T23" s="774" t="s">
        <v>21</v>
      </c>
      <c r="U23" s="775">
        <f>H23</f>
        <v>100</v>
      </c>
      <c r="V23" s="774" t="s">
        <v>21</v>
      </c>
      <c r="W23" s="775">
        <f>J23</f>
        <v>100</v>
      </c>
      <c r="X23" s="1816"/>
      <c r="Y23" s="3229"/>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9"/>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6"/>
      <c r="Q26" s="1813" t="str">
        <f t="shared" si="11"/>
        <v>朝向</v>
      </c>
      <c r="R26" s="774" t="s">
        <v>21</v>
      </c>
      <c r="S26" s="775">
        <f t="shared" si="12"/>
        <v>100</v>
      </c>
      <c r="T26" s="774" t="s">
        <v>21</v>
      </c>
      <c r="U26" s="775">
        <f t="shared" si="13"/>
        <v>100</v>
      </c>
      <c r="V26" s="774" t="s">
        <v>21</v>
      </c>
      <c r="W26" s="775">
        <f t="shared" si="14"/>
        <v>100</v>
      </c>
      <c r="X26" s="1816"/>
      <c r="Y26" s="322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6"/>
      <c r="Q27" s="1798">
        <f t="shared" si="11"/>
        <v>111</v>
      </c>
      <c r="R27" s="770" t="s">
        <v>21</v>
      </c>
      <c r="S27" s="771">
        <f t="shared" si="12"/>
        <v>100</v>
      </c>
      <c r="T27" s="770" t="s">
        <v>21</v>
      </c>
      <c r="U27" s="771">
        <f t="shared" si="13"/>
        <v>100</v>
      </c>
      <c r="V27" s="770" t="s">
        <v>21</v>
      </c>
      <c r="W27" s="771">
        <f t="shared" si="14"/>
        <v>100</v>
      </c>
      <c r="X27" s="772"/>
      <c r="Y27" s="322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6"/>
      <c r="Q28" s="1813">
        <f t="shared" si="11"/>
        <v>111</v>
      </c>
      <c r="R28" s="774" t="s">
        <v>21</v>
      </c>
      <c r="S28" s="775">
        <f t="shared" si="12"/>
        <v>100</v>
      </c>
      <c r="T28" s="774" t="s">
        <v>21</v>
      </c>
      <c r="U28" s="775">
        <f t="shared" si="13"/>
        <v>100</v>
      </c>
      <c r="V28" s="774" t="s">
        <v>21</v>
      </c>
      <c r="W28" s="775">
        <f t="shared" si="14"/>
        <v>100</v>
      </c>
      <c r="X28" s="1816"/>
      <c r="Y28" s="322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6"/>
      <c r="Q29" s="1813">
        <f t="shared" si="11"/>
        <v>111</v>
      </c>
      <c r="R29" s="774" t="s">
        <v>21</v>
      </c>
      <c r="S29" s="775">
        <f t="shared" si="12"/>
        <v>100</v>
      </c>
      <c r="T29" s="774" t="s">
        <v>21</v>
      </c>
      <c r="U29" s="775">
        <f t="shared" si="13"/>
        <v>100</v>
      </c>
      <c r="V29" s="774" t="s">
        <v>21</v>
      </c>
      <c r="W29" s="775">
        <f t="shared" si="14"/>
        <v>100</v>
      </c>
      <c r="X29" s="1816"/>
      <c r="Y29" s="322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6"/>
      <c r="Q30" s="1813">
        <f t="shared" si="11"/>
        <v>111</v>
      </c>
      <c r="R30" s="774" t="s">
        <v>21</v>
      </c>
      <c r="S30" s="775">
        <f t="shared" si="12"/>
        <v>100</v>
      </c>
      <c r="T30" s="774" t="s">
        <v>21</v>
      </c>
      <c r="U30" s="775">
        <f t="shared" si="13"/>
        <v>100</v>
      </c>
      <c r="V30" s="774" t="s">
        <v>21</v>
      </c>
      <c r="W30" s="775">
        <f t="shared" si="14"/>
        <v>100</v>
      </c>
      <c r="X30" s="1816"/>
      <c r="Y30" s="322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6"/>
      <c r="Q31" s="1813">
        <f t="shared" si="11"/>
        <v>111</v>
      </c>
      <c r="R31" s="774" t="s">
        <v>21</v>
      </c>
      <c r="S31" s="775">
        <f t="shared" si="12"/>
        <v>100</v>
      </c>
      <c r="T31" s="774" t="s">
        <v>21</v>
      </c>
      <c r="U31" s="775">
        <f t="shared" si="13"/>
        <v>100</v>
      </c>
      <c r="V31" s="774" t="s">
        <v>21</v>
      </c>
      <c r="W31" s="775">
        <f t="shared" si="14"/>
        <v>100</v>
      </c>
      <c r="X31" s="1816"/>
      <c r="Y31" s="3229"/>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0" t="s">
        <v>2571</v>
      </c>
      <c r="Q32" s="1813" t="str">
        <f t="shared" si="11"/>
        <v>建筑类型</v>
      </c>
      <c r="R32" s="774" t="s">
        <v>21</v>
      </c>
      <c r="S32" s="775">
        <f t="shared" si="12"/>
        <v>100</v>
      </c>
      <c r="T32" s="774" t="s">
        <v>21</v>
      </c>
      <c r="U32" s="775">
        <f t="shared" si="13"/>
        <v>100</v>
      </c>
      <c r="V32" s="774" t="s">
        <v>21</v>
      </c>
      <c r="W32" s="775">
        <f t="shared" si="14"/>
        <v>100</v>
      </c>
      <c r="X32" s="1816"/>
      <c r="Y32" s="3233"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1"/>
      <c r="Q34" s="1813" t="str">
        <f t="shared" si="11"/>
        <v>建筑结构</v>
      </c>
      <c r="R34" s="774" t="s">
        <v>21</v>
      </c>
      <c r="S34" s="775">
        <f t="shared" si="12"/>
        <v>100</v>
      </c>
      <c r="T34" s="774" t="s">
        <v>21</v>
      </c>
      <c r="U34" s="775">
        <f t="shared" si="13"/>
        <v>100</v>
      </c>
      <c r="V34" s="774" t="s">
        <v>21</v>
      </c>
      <c r="W34" s="775">
        <f t="shared" si="14"/>
        <v>100</v>
      </c>
      <c r="X34" s="1816"/>
      <c r="Y34" s="3233"/>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1"/>
      <c r="Q35" s="1813" t="str">
        <f t="shared" si="11"/>
        <v>建筑品质</v>
      </c>
      <c r="R35" s="774" t="s">
        <v>21</v>
      </c>
      <c r="S35" s="775">
        <f t="shared" si="12"/>
        <v>100</v>
      </c>
      <c r="T35" s="774" t="s">
        <v>21</v>
      </c>
      <c r="U35" s="775">
        <f t="shared" si="13"/>
        <v>100</v>
      </c>
      <c r="V35" s="774" t="s">
        <v>21</v>
      </c>
      <c r="W35" s="775">
        <f t="shared" si="14"/>
        <v>100</v>
      </c>
      <c r="X35" s="1816"/>
      <c r="Y35" s="3233"/>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1"/>
      <c r="Q36" s="1813" t="str">
        <f t="shared" si="11"/>
        <v>公共部分装修</v>
      </c>
      <c r="R36" s="774" t="s">
        <v>21</v>
      </c>
      <c r="S36" s="775">
        <f t="shared" si="12"/>
        <v>100</v>
      </c>
      <c r="T36" s="774" t="s">
        <v>21</v>
      </c>
      <c r="U36" s="775">
        <f t="shared" si="13"/>
        <v>100</v>
      </c>
      <c r="V36" s="774" t="s">
        <v>21</v>
      </c>
      <c r="W36" s="775">
        <f t="shared" si="14"/>
        <v>100</v>
      </c>
      <c r="X36" s="1816"/>
      <c r="Y36" s="3233"/>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8"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1" t="s">
        <v>2571</v>
      </c>
      <c r="Q38" s="1813" t="str">
        <f t="shared" si="11"/>
        <v>物业管理</v>
      </c>
      <c r="R38" s="774" t="s">
        <v>21</v>
      </c>
      <c r="S38" s="775">
        <f t="shared" si="12"/>
        <v>100</v>
      </c>
      <c r="T38" s="774" t="s">
        <v>21</v>
      </c>
      <c r="U38" s="775">
        <f t="shared" si="13"/>
        <v>100</v>
      </c>
      <c r="V38" s="774" t="s">
        <v>21</v>
      </c>
      <c r="W38" s="775">
        <f t="shared" si="14"/>
        <v>100</v>
      </c>
      <c r="X38" s="1816"/>
      <c r="Y38" s="3233"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1"/>
      <c r="Q39" s="1813" t="str">
        <f t="shared" si="11"/>
        <v>市政基础设施</v>
      </c>
      <c r="R39" s="774" t="s">
        <v>21</v>
      </c>
      <c r="S39" s="775">
        <f t="shared" si="12"/>
        <v>100</v>
      </c>
      <c r="T39" s="774" t="s">
        <v>21</v>
      </c>
      <c r="U39" s="775">
        <f t="shared" si="13"/>
        <v>100</v>
      </c>
      <c r="V39" s="774" t="s">
        <v>21</v>
      </c>
      <c r="W39" s="775">
        <f t="shared" si="14"/>
        <v>100</v>
      </c>
      <c r="X39" s="1816"/>
      <c r="Y39" s="3233"/>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1"/>
      <c r="Q40" s="1813" t="str">
        <f t="shared" si="11"/>
        <v>房型</v>
      </c>
      <c r="R40" s="774" t="s">
        <v>21</v>
      </c>
      <c r="S40" s="775">
        <f t="shared" si="12"/>
        <v>100</v>
      </c>
      <c r="T40" s="774" t="s">
        <v>21</v>
      </c>
      <c r="U40" s="775">
        <f t="shared" si="13"/>
        <v>100</v>
      </c>
      <c r="V40" s="774" t="s">
        <v>21</v>
      </c>
      <c r="W40" s="775">
        <f t="shared" si="14"/>
        <v>100</v>
      </c>
      <c r="X40" s="1816"/>
      <c r="Y40" s="3233"/>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1"/>
      <c r="Q42" s="1813" t="str">
        <f t="shared" si="11"/>
        <v>内部装修</v>
      </c>
      <c r="R42" s="774" t="s">
        <v>21</v>
      </c>
      <c r="S42" s="775">
        <f t="shared" si="12"/>
        <v>100</v>
      </c>
      <c r="T42" s="774" t="s">
        <v>21</v>
      </c>
      <c r="U42" s="775">
        <f t="shared" si="13"/>
        <v>100</v>
      </c>
      <c r="V42" s="774" t="s">
        <v>21</v>
      </c>
      <c r="W42" s="775">
        <f t="shared" si="14"/>
        <v>100</v>
      </c>
      <c r="X42" s="1816"/>
      <c r="Y42" s="3233"/>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1"/>
      <c r="Q43" s="1813" t="str">
        <f t="shared" si="11"/>
        <v>内部装修维护情况</v>
      </c>
      <c r="R43" s="774" t="s">
        <v>21</v>
      </c>
      <c r="S43" s="775">
        <f t="shared" si="12"/>
        <v>100</v>
      </c>
      <c r="T43" s="774" t="s">
        <v>21</v>
      </c>
      <c r="U43" s="775">
        <f t="shared" si="13"/>
        <v>100</v>
      </c>
      <c r="V43" s="774" t="s">
        <v>21</v>
      </c>
      <c r="W43" s="775">
        <f t="shared" si="14"/>
        <v>100</v>
      </c>
      <c r="X43" s="1816"/>
      <c r="Y43" s="323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1"/>
      <c r="Q44" s="1798">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1"/>
      <c r="Q45" s="1813">
        <f t="shared" si="11"/>
        <v>111</v>
      </c>
      <c r="R45" s="774" t="s">
        <v>21</v>
      </c>
      <c r="S45" s="775">
        <f t="shared" si="12"/>
        <v>100</v>
      </c>
      <c r="T45" s="774" t="s">
        <v>21</v>
      </c>
      <c r="U45" s="775">
        <f t="shared" si="13"/>
        <v>100</v>
      </c>
      <c r="V45" s="774" t="s">
        <v>21</v>
      </c>
      <c r="W45" s="775">
        <f t="shared" si="14"/>
        <v>100</v>
      </c>
      <c r="X45" s="1816"/>
      <c r="Y45" s="3233"/>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2"/>
      <c r="Q46" s="1813">
        <f t="shared" si="11"/>
        <v>111</v>
      </c>
      <c r="R46" s="774" t="s">
        <v>20</v>
      </c>
      <c r="S46" s="775">
        <f t="shared" si="12"/>
        <v>100</v>
      </c>
      <c r="T46" s="774" t="s">
        <v>20</v>
      </c>
      <c r="U46" s="775">
        <f t="shared" si="13"/>
        <v>100</v>
      </c>
      <c r="V46" s="774" t="s">
        <v>20</v>
      </c>
      <c r="W46" s="775">
        <f t="shared" si="14"/>
        <v>100</v>
      </c>
      <c r="X46" s="1816"/>
      <c r="Y46" s="3234"/>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57"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57"/>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57"/>
      <c r="AC6" s="3240"/>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2566</v>
      </c>
      <c r="Q15" s="1813" t="str">
        <f t="shared" si="6"/>
        <v>商业繁华度</v>
      </c>
      <c r="R15" s="774" t="s">
        <v>17</v>
      </c>
      <c r="S15" s="775">
        <f t="shared" si="0"/>
        <v>100</v>
      </c>
      <c r="T15" s="774" t="s">
        <v>17</v>
      </c>
      <c r="U15" s="775">
        <f t="shared" si="1"/>
        <v>100</v>
      </c>
      <c r="V15" s="774" t="s">
        <v>17</v>
      </c>
      <c r="W15" s="775">
        <f t="shared" si="2"/>
        <v>100</v>
      </c>
      <c r="X15" s="1816"/>
      <c r="Y15" s="3228"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3" t="str">
        <f>B23</f>
        <v>自然及人文环境</v>
      </c>
      <c r="R23" s="774" t="s">
        <v>17</v>
      </c>
      <c r="S23" s="775">
        <f>F23</f>
        <v>100</v>
      </c>
      <c r="T23" s="774" t="s">
        <v>17</v>
      </c>
      <c r="U23" s="775">
        <f>H23</f>
        <v>100</v>
      </c>
      <c r="V23" s="774" t="s">
        <v>17</v>
      </c>
      <c r="W23" s="775">
        <f>J23</f>
        <v>100</v>
      </c>
      <c r="X23" s="1816"/>
      <c r="Y23" s="3229"/>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3" t="str">
        <f t="shared" ref="Q25:Q46" si="11">B25</f>
        <v>临街状况</v>
      </c>
      <c r="R25" s="774" t="s">
        <v>17</v>
      </c>
      <c r="S25" s="775">
        <f>F25</f>
        <v>100</v>
      </c>
      <c r="T25" s="774" t="s">
        <v>17</v>
      </c>
      <c r="U25" s="775">
        <f>H25</f>
        <v>100</v>
      </c>
      <c r="V25" s="774" t="s">
        <v>17</v>
      </c>
      <c r="W25" s="775">
        <f>J25</f>
        <v>100</v>
      </c>
      <c r="X25" s="1816"/>
      <c r="Y25" s="3229"/>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3" t="str">
        <f t="shared" si="11"/>
        <v>平面位置/可视性</v>
      </c>
      <c r="R26" s="774" t="s">
        <v>17</v>
      </c>
      <c r="S26" s="775">
        <f>F26</f>
        <v>100</v>
      </c>
      <c r="T26" s="774" t="s">
        <v>17</v>
      </c>
      <c r="U26" s="775">
        <f>H26</f>
        <v>100</v>
      </c>
      <c r="V26" s="774" t="s">
        <v>17</v>
      </c>
      <c r="W26" s="775">
        <f>J26</f>
        <v>100</v>
      </c>
      <c r="X26" s="1816"/>
      <c r="Y26" s="3229"/>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6"/>
      <c r="Q27" s="1798" t="str">
        <f t="shared" si="11"/>
        <v>人流量</v>
      </c>
      <c r="R27" s="770" t="s">
        <v>17</v>
      </c>
      <c r="S27" s="771">
        <f>F27</f>
        <v>100</v>
      </c>
      <c r="T27" s="770" t="s">
        <v>17</v>
      </c>
      <c r="U27" s="771">
        <f>H27</f>
        <v>100</v>
      </c>
      <c r="V27" s="770" t="s">
        <v>17</v>
      </c>
      <c r="W27" s="771">
        <f>J27</f>
        <v>100</v>
      </c>
      <c r="X27" s="772"/>
      <c r="Y27" s="3229"/>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3">
        <f t="shared" si="11"/>
        <v>111</v>
      </c>
      <c r="R29" s="774" t="s">
        <v>17</v>
      </c>
      <c r="S29" s="775">
        <f t="shared" si="12"/>
        <v>100</v>
      </c>
      <c r="T29" s="774" t="s">
        <v>17</v>
      </c>
      <c r="U29" s="775">
        <f t="shared" si="13"/>
        <v>100</v>
      </c>
      <c r="V29" s="774" t="s">
        <v>17</v>
      </c>
      <c r="W29" s="775">
        <f t="shared" si="14"/>
        <v>100</v>
      </c>
      <c r="X29" s="1816"/>
      <c r="Y29" s="322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0" t="s">
        <v>2571</v>
      </c>
      <c r="Q32" s="1813" t="str">
        <f t="shared" si="11"/>
        <v>商业类型</v>
      </c>
      <c r="R32" s="774" t="s">
        <v>17</v>
      </c>
      <c r="S32" s="775">
        <f t="shared" si="12"/>
        <v>100</v>
      </c>
      <c r="T32" s="774" t="s">
        <v>17</v>
      </c>
      <c r="U32" s="775">
        <f t="shared" si="13"/>
        <v>100</v>
      </c>
      <c r="V32" s="774" t="s">
        <v>17</v>
      </c>
      <c r="W32" s="775">
        <f t="shared" si="14"/>
        <v>100</v>
      </c>
      <c r="X32" s="1816"/>
      <c r="Y32" s="3233"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1"/>
      <c r="Q34" s="1813" t="str">
        <f t="shared" si="11"/>
        <v>建筑结构</v>
      </c>
      <c r="R34" s="774" t="s">
        <v>17</v>
      </c>
      <c r="S34" s="775">
        <f t="shared" si="12"/>
        <v>100</v>
      </c>
      <c r="T34" s="774" t="s">
        <v>17</v>
      </c>
      <c r="U34" s="775">
        <f t="shared" si="13"/>
        <v>100</v>
      </c>
      <c r="V34" s="774" t="s">
        <v>17</v>
      </c>
      <c r="W34" s="775">
        <f t="shared" si="14"/>
        <v>100</v>
      </c>
      <c r="X34" s="1816"/>
      <c r="Y34" s="3233"/>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1"/>
      <c r="Q35" s="1813" t="str">
        <f t="shared" si="11"/>
        <v>公共部分装修</v>
      </c>
      <c r="R35" s="774" t="s">
        <v>17</v>
      </c>
      <c r="S35" s="775">
        <f t="shared" si="12"/>
        <v>100</v>
      </c>
      <c r="T35" s="774" t="s">
        <v>17</v>
      </c>
      <c r="U35" s="775">
        <f t="shared" si="13"/>
        <v>100</v>
      </c>
      <c r="V35" s="774" t="s">
        <v>17</v>
      </c>
      <c r="W35" s="775">
        <f t="shared" si="14"/>
        <v>100</v>
      </c>
      <c r="X35" s="1816"/>
      <c r="Y35" s="3233"/>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3" t="str">
        <f t="shared" si="11"/>
        <v>成新度</v>
      </c>
      <c r="R36" s="774" t="s">
        <v>17</v>
      </c>
      <c r="S36" s="775" t="e">
        <f t="shared" si="12"/>
        <v>#N/A</v>
      </c>
      <c r="T36" s="774" t="s">
        <v>17</v>
      </c>
      <c r="U36" s="775" t="e">
        <f t="shared" si="13"/>
        <v>#N/A</v>
      </c>
      <c r="V36" s="774" t="s">
        <v>17</v>
      </c>
      <c r="W36" s="775" t="e">
        <f t="shared" si="14"/>
        <v>#N/A</v>
      </c>
      <c r="X36" s="1816"/>
      <c r="Y36" s="3233"/>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1"/>
      <c r="Q37" s="1798"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1" t="s">
        <v>2571</v>
      </c>
      <c r="Q38" s="1813" t="str">
        <f t="shared" si="11"/>
        <v>业态</v>
      </c>
      <c r="R38" s="774" t="s">
        <v>17</v>
      </c>
      <c r="S38" s="775">
        <f t="shared" si="12"/>
        <v>100</v>
      </c>
      <c r="T38" s="774" t="s">
        <v>17</v>
      </c>
      <c r="U38" s="775">
        <f t="shared" si="13"/>
        <v>100</v>
      </c>
      <c r="V38" s="774" t="s">
        <v>17</v>
      </c>
      <c r="W38" s="775">
        <f t="shared" si="14"/>
        <v>100</v>
      </c>
      <c r="X38" s="1816"/>
      <c r="Y38" s="3233"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1"/>
      <c r="Q39" s="1813" t="str">
        <f t="shared" si="11"/>
        <v>层高</v>
      </c>
      <c r="R39" s="774" t="s">
        <v>17</v>
      </c>
      <c r="S39" s="775">
        <f t="shared" si="12"/>
        <v>100</v>
      </c>
      <c r="T39" s="774" t="s">
        <v>17</v>
      </c>
      <c r="U39" s="775">
        <f t="shared" si="13"/>
        <v>100</v>
      </c>
      <c r="V39" s="774" t="s">
        <v>17</v>
      </c>
      <c r="W39" s="775">
        <f t="shared" si="14"/>
        <v>100</v>
      </c>
      <c r="X39" s="1816"/>
      <c r="Y39" s="3233"/>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3" t="str">
        <f t="shared" si="11"/>
        <v>单套建筑面积</v>
      </c>
      <c r="R40" s="774" t="s">
        <v>17</v>
      </c>
      <c r="S40" s="775">
        <f t="shared" si="12"/>
        <v>100</v>
      </c>
      <c r="T40" s="774" t="s">
        <v>17</v>
      </c>
      <c r="U40" s="775">
        <f t="shared" si="13"/>
        <v>100</v>
      </c>
      <c r="V40" s="774" t="s">
        <v>17</v>
      </c>
      <c r="W40" s="775">
        <f t="shared" si="14"/>
        <v>100</v>
      </c>
      <c r="X40" s="1816"/>
      <c r="Y40" s="3233"/>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1"/>
      <c r="Q42" s="1813" t="str">
        <f t="shared" si="11"/>
        <v>内部装修</v>
      </c>
      <c r="R42" s="774" t="s">
        <v>17</v>
      </c>
      <c r="S42" s="775">
        <f t="shared" si="12"/>
        <v>100</v>
      </c>
      <c r="T42" s="774" t="s">
        <v>17</v>
      </c>
      <c r="U42" s="775">
        <f t="shared" si="13"/>
        <v>100</v>
      </c>
      <c r="V42" s="774" t="s">
        <v>17</v>
      </c>
      <c r="W42" s="775">
        <f t="shared" si="14"/>
        <v>100</v>
      </c>
      <c r="X42" s="1816"/>
      <c r="Y42" s="3233"/>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1"/>
      <c r="Q43" s="1813" t="str">
        <f t="shared" si="11"/>
        <v>内部装修维护情况</v>
      </c>
      <c r="R43" s="774" t="s">
        <v>17</v>
      </c>
      <c r="S43" s="775">
        <f t="shared" si="12"/>
        <v>100</v>
      </c>
      <c r="T43" s="774" t="s">
        <v>17</v>
      </c>
      <c r="U43" s="775">
        <f t="shared" si="13"/>
        <v>100</v>
      </c>
      <c r="V43" s="774" t="s">
        <v>17</v>
      </c>
      <c r="W43" s="775">
        <f t="shared" si="14"/>
        <v>100</v>
      </c>
      <c r="X43" s="1816"/>
      <c r="Y43" s="323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8">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3">
        <f t="shared" si="11"/>
        <v>111</v>
      </c>
      <c r="R45" s="774" t="s">
        <v>17</v>
      </c>
      <c r="S45" s="775">
        <f t="shared" si="12"/>
        <v>100</v>
      </c>
      <c r="T45" s="774" t="s">
        <v>17</v>
      </c>
      <c r="U45" s="775">
        <f t="shared" si="13"/>
        <v>100</v>
      </c>
      <c r="V45" s="774" t="s">
        <v>17</v>
      </c>
      <c r="W45" s="775">
        <f t="shared" si="14"/>
        <v>100</v>
      </c>
      <c r="X45" s="1816"/>
      <c r="Y45" s="3233"/>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226" t="str">
        <f>A47</f>
        <v>成交单价（元/平方米）</v>
      </c>
      <c r="Q47" s="3226"/>
      <c r="R47" s="3257">
        <f>E47</f>
        <v>0</v>
      </c>
      <c r="S47" s="3257"/>
      <c r="T47" s="3257">
        <f>G47</f>
        <v>0</v>
      </c>
      <c r="U47" s="3257"/>
      <c r="V47" s="3257">
        <f>I47</f>
        <v>0</v>
      </c>
      <c r="W47" s="3257"/>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估价对象为北京市房地产，为所有。根据《国有土地使用证》[]，估价对象（分摊）出让国有建设用地使用权面积为9821.76平方米，建筑面积为26071.75平方米。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估价对象为北京市房地产,属开发建设的，该项目尚在开发建设中。根据《国有土地使用证》[]，估价对象（分摊）出让国有建设用地使用权面积为9821.76平方米，规划建筑面积为26071.75平方米。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2018年2月26日（评估专业人员实地查勘之日）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75" t="s">
        <v>2657</v>
      </c>
      <c r="Q4" s="3276"/>
      <c r="R4" s="3279" t="s">
        <v>2653</v>
      </c>
      <c r="S4" s="3280"/>
      <c r="T4" s="3279" t="s">
        <v>2654</v>
      </c>
      <c r="U4" s="3280"/>
      <c r="V4" s="3281" t="s">
        <v>2655</v>
      </c>
      <c r="W4" s="3281"/>
      <c r="X4" s="2676"/>
      <c r="Y4" s="3279" t="s">
        <v>2657</v>
      </c>
      <c r="Z4" s="3280"/>
      <c r="AA4" s="3283" t="s">
        <v>2653</v>
      </c>
      <c r="AB4" s="3283" t="s">
        <v>2654</v>
      </c>
      <c r="AC4" s="3272" t="s">
        <v>2655</v>
      </c>
    </row>
    <row r="5" spans="1:29" ht="15">
      <c r="A5" s="404"/>
      <c r="B5" s="405"/>
      <c r="C5" s="3260" t="s">
        <v>2548</v>
      </c>
      <c r="D5" s="3261"/>
      <c r="E5" s="3267" t="s">
        <v>2549</v>
      </c>
      <c r="F5" s="3268"/>
      <c r="G5" s="3260" t="s">
        <v>2550</v>
      </c>
      <c r="H5" s="3261"/>
      <c r="I5" s="3260" t="s">
        <v>2551</v>
      </c>
      <c r="J5" s="3261"/>
      <c r="K5" s="610"/>
      <c r="L5" s="1133"/>
      <c r="M5" s="1134"/>
      <c r="N5" s="1134"/>
      <c r="O5" s="1134"/>
      <c r="P5" s="3277"/>
      <c r="Q5" s="3248"/>
      <c r="R5" s="3253"/>
      <c r="S5" s="3254"/>
      <c r="T5" s="3253"/>
      <c r="U5" s="3254"/>
      <c r="V5" s="3257"/>
      <c r="W5" s="3257"/>
      <c r="X5" s="1816"/>
      <c r="Y5" s="3253"/>
      <c r="Z5" s="3254"/>
      <c r="AA5" s="3239"/>
      <c r="AB5" s="3239"/>
      <c r="AC5" s="3273"/>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78"/>
      <c r="Q6" s="3250"/>
      <c r="R6" s="3253"/>
      <c r="S6" s="3254"/>
      <c r="T6" s="3255"/>
      <c r="U6" s="3256"/>
      <c r="V6" s="3257"/>
      <c r="W6" s="3257"/>
      <c r="X6" s="1816"/>
      <c r="Y6" s="3255"/>
      <c r="Z6" s="3256"/>
      <c r="AA6" s="3240"/>
      <c r="AB6" s="3240"/>
      <c r="AC6" s="3274"/>
    </row>
    <row r="7" spans="1:29" s="117" customFormat="1" ht="15.75" thickBot="1">
      <c r="A7" s="408" t="s">
        <v>2554</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2" t="s">
        <v>2558</v>
      </c>
      <c r="Q8" s="3263"/>
      <c r="R8" s="770" t="s">
        <v>17</v>
      </c>
      <c r="S8" s="771">
        <f t="shared" si="0"/>
        <v>0</v>
      </c>
      <c r="T8" s="770" t="s">
        <v>17</v>
      </c>
      <c r="U8" s="771">
        <f t="shared" si="1"/>
        <v>0</v>
      </c>
      <c r="V8" s="770" t="s">
        <v>17</v>
      </c>
      <c r="W8" s="771">
        <f t="shared" si="2"/>
        <v>0</v>
      </c>
      <c r="X8" s="772"/>
      <c r="Y8" s="3262" t="s">
        <v>2558</v>
      </c>
      <c r="Z8" s="3263"/>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2566</v>
      </c>
      <c r="Q15" s="1813" t="str">
        <f t="shared" si="6"/>
        <v>办公集聚程度</v>
      </c>
      <c r="R15" s="774" t="s">
        <v>17</v>
      </c>
      <c r="S15" s="775">
        <f t="shared" si="0"/>
        <v>100</v>
      </c>
      <c r="T15" s="774" t="s">
        <v>17</v>
      </c>
      <c r="U15" s="775">
        <f t="shared" si="1"/>
        <v>100</v>
      </c>
      <c r="V15" s="774" t="s">
        <v>17</v>
      </c>
      <c r="W15" s="775">
        <f t="shared" si="2"/>
        <v>100</v>
      </c>
      <c r="X15" s="1816"/>
      <c r="Y15" s="3228"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6"/>
      <c r="Q18" s="1813"/>
      <c r="R18" s="774"/>
      <c r="S18" s="775"/>
      <c r="T18" s="774"/>
      <c r="U18" s="775"/>
      <c r="V18" s="774"/>
      <c r="W18" s="775"/>
      <c r="X18" s="1816"/>
      <c r="Y18" s="3229"/>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6"/>
      <c r="Q20" s="1813"/>
      <c r="R20" s="774"/>
      <c r="S20" s="775"/>
      <c r="T20" s="774"/>
      <c r="U20" s="775"/>
      <c r="V20" s="774"/>
      <c r="W20" s="775"/>
      <c r="X20" s="1816"/>
      <c r="Y20" s="3229"/>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6"/>
      <c r="Q22" s="1813"/>
      <c r="R22" s="774"/>
      <c r="S22" s="775"/>
      <c r="T22" s="774"/>
      <c r="U22" s="775"/>
      <c r="V22" s="774"/>
      <c r="W22" s="775"/>
      <c r="X22" s="1816"/>
      <c r="Y22" s="3229"/>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6"/>
      <c r="Q24" s="1813"/>
      <c r="R24" s="774"/>
      <c r="S24" s="775"/>
      <c r="T24" s="774"/>
      <c r="U24" s="775"/>
      <c r="V24" s="774"/>
      <c r="W24" s="775"/>
      <c r="X24" s="1816"/>
      <c r="Y24" s="3229"/>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6"/>
      <c r="Q25" s="1813" t="str">
        <f>B25</f>
        <v>毗邻道路的类型与等级</v>
      </c>
      <c r="R25" s="774" t="s">
        <v>17</v>
      </c>
      <c r="S25" s="775">
        <f>F25</f>
        <v>100</v>
      </c>
      <c r="T25" s="774" t="s">
        <v>17</v>
      </c>
      <c r="U25" s="775">
        <f>H25</f>
        <v>100</v>
      </c>
      <c r="V25" s="774" t="s">
        <v>17</v>
      </c>
      <c r="W25" s="775">
        <f>J25</f>
        <v>100</v>
      </c>
      <c r="X25" s="1816"/>
      <c r="Y25" s="3229"/>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36"/>
      <c r="Q26" s="1813"/>
      <c r="R26" s="774"/>
      <c r="S26" s="775"/>
      <c r="T26" s="774"/>
      <c r="U26" s="775"/>
      <c r="V26" s="774"/>
      <c r="W26" s="775"/>
      <c r="X26" s="1816"/>
      <c r="Y26" s="3229"/>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3" t="str">
        <f t="shared" ref="Q27:Q47" si="11">B27</f>
        <v>楼层</v>
      </c>
      <c r="R27" s="774" t="s">
        <v>17</v>
      </c>
      <c r="S27" s="775">
        <f>F27</f>
        <v>100</v>
      </c>
      <c r="T27" s="774" t="s">
        <v>17</v>
      </c>
      <c r="U27" s="775">
        <f>H27</f>
        <v>100</v>
      </c>
      <c r="V27" s="774" t="s">
        <v>17</v>
      </c>
      <c r="W27" s="775">
        <f>J27</f>
        <v>100</v>
      </c>
      <c r="X27" s="1816"/>
      <c r="Y27" s="3229"/>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6"/>
      <c r="Q28" s="1798" t="str">
        <f t="shared" si="11"/>
        <v>朝向</v>
      </c>
      <c r="R28" s="770" t="s">
        <v>17</v>
      </c>
      <c r="S28" s="771">
        <f>F28</f>
        <v>100</v>
      </c>
      <c r="T28" s="770" t="s">
        <v>17</v>
      </c>
      <c r="U28" s="771">
        <f>H28</f>
        <v>100</v>
      </c>
      <c r="V28" s="770" t="s">
        <v>17</v>
      </c>
      <c r="W28" s="771">
        <f>J28</f>
        <v>100</v>
      </c>
      <c r="X28" s="772"/>
      <c r="Y28" s="3229"/>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6"/>
      <c r="Q29" s="1813">
        <f t="shared" si="11"/>
        <v>111</v>
      </c>
      <c r="R29" s="774" t="s">
        <v>17</v>
      </c>
      <c r="S29" s="775">
        <f t="shared" ref="S29:S47" si="12">F29</f>
        <v>100</v>
      </c>
      <c r="T29" s="774" t="s">
        <v>17</v>
      </c>
      <c r="U29" s="775">
        <f t="shared" ref="U29:U47" si="13">H29</f>
        <v>100</v>
      </c>
      <c r="V29" s="774" t="s">
        <v>17</v>
      </c>
      <c r="W29" s="775">
        <f t="shared" ref="W29:W47" si="14">J29</f>
        <v>100</v>
      </c>
      <c r="X29" s="1816"/>
      <c r="Y29" s="3229"/>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6"/>
      <c r="Q32" s="1813">
        <f t="shared" si="11"/>
        <v>111</v>
      </c>
      <c r="R32" s="774" t="s">
        <v>17</v>
      </c>
      <c r="S32" s="775">
        <f t="shared" si="12"/>
        <v>100</v>
      </c>
      <c r="T32" s="774" t="s">
        <v>17</v>
      </c>
      <c r="U32" s="775">
        <f t="shared" si="13"/>
        <v>100</v>
      </c>
      <c r="V32" s="774" t="s">
        <v>17</v>
      </c>
      <c r="W32" s="775">
        <f t="shared" si="14"/>
        <v>100</v>
      </c>
      <c r="X32" s="1816"/>
      <c r="Y32" s="3229"/>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0" t="s">
        <v>2571</v>
      </c>
      <c r="Q33" s="1813" t="str">
        <f t="shared" si="11"/>
        <v>建筑类型</v>
      </c>
      <c r="R33" s="774" t="s">
        <v>17</v>
      </c>
      <c r="S33" s="775">
        <f t="shared" si="12"/>
        <v>100</v>
      </c>
      <c r="T33" s="774" t="s">
        <v>17</v>
      </c>
      <c r="U33" s="775">
        <f t="shared" si="13"/>
        <v>100</v>
      </c>
      <c r="V33" s="774" t="s">
        <v>17</v>
      </c>
      <c r="W33" s="775">
        <f t="shared" si="14"/>
        <v>100</v>
      </c>
      <c r="X33" s="1816"/>
      <c r="Y33" s="3233"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3" t="str">
        <f t="shared" si="11"/>
        <v>建筑结构</v>
      </c>
      <c r="R35" s="774" t="s">
        <v>17</v>
      </c>
      <c r="S35" s="775">
        <f t="shared" si="12"/>
        <v>100</v>
      </c>
      <c r="T35" s="774" t="s">
        <v>17</v>
      </c>
      <c r="U35" s="775">
        <f t="shared" si="13"/>
        <v>100</v>
      </c>
      <c r="V35" s="774" t="s">
        <v>17</v>
      </c>
      <c r="W35" s="775">
        <f t="shared" si="14"/>
        <v>100</v>
      </c>
      <c r="X35" s="1816"/>
      <c r="Y35" s="3233"/>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3" t="str">
        <f t="shared" si="11"/>
        <v>公共部分装修</v>
      </c>
      <c r="R36" s="774" t="s">
        <v>17</v>
      </c>
      <c r="S36" s="775">
        <f t="shared" si="12"/>
        <v>100</v>
      </c>
      <c r="T36" s="774" t="s">
        <v>17</v>
      </c>
      <c r="U36" s="775">
        <f t="shared" si="13"/>
        <v>100</v>
      </c>
      <c r="V36" s="774" t="s">
        <v>17</v>
      </c>
      <c r="W36" s="775">
        <f t="shared" si="14"/>
        <v>100</v>
      </c>
      <c r="X36" s="1816"/>
      <c r="Y36" s="3233"/>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3" t="str">
        <f t="shared" si="11"/>
        <v>成新度</v>
      </c>
      <c r="R37" s="774" t="s">
        <v>17</v>
      </c>
      <c r="S37" s="775" t="e">
        <f t="shared" si="12"/>
        <v>#N/A</v>
      </c>
      <c r="T37" s="774" t="s">
        <v>17</v>
      </c>
      <c r="U37" s="775" t="e">
        <f t="shared" si="13"/>
        <v>#N/A</v>
      </c>
      <c r="V37" s="774" t="s">
        <v>17</v>
      </c>
      <c r="W37" s="775" t="e">
        <f t="shared" si="14"/>
        <v>#N/A</v>
      </c>
      <c r="X37" s="1816"/>
      <c r="Y37" s="3233"/>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8"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2571</v>
      </c>
      <c r="Q39" s="1813" t="str">
        <f t="shared" si="11"/>
        <v>物业管理</v>
      </c>
      <c r="R39" s="774" t="s">
        <v>17</v>
      </c>
      <c r="S39" s="775">
        <f t="shared" si="12"/>
        <v>100</v>
      </c>
      <c r="T39" s="774" t="s">
        <v>17</v>
      </c>
      <c r="U39" s="775">
        <f t="shared" si="13"/>
        <v>100</v>
      </c>
      <c r="V39" s="774" t="s">
        <v>17</v>
      </c>
      <c r="W39" s="775">
        <f t="shared" si="14"/>
        <v>100</v>
      </c>
      <c r="X39" s="1816"/>
      <c r="Y39" s="3233"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3" t="str">
        <f t="shared" si="11"/>
        <v>市政基础设施</v>
      </c>
      <c r="R40" s="774" t="s">
        <v>17</v>
      </c>
      <c r="S40" s="775">
        <f t="shared" si="12"/>
        <v>100</v>
      </c>
      <c r="T40" s="774" t="s">
        <v>17</v>
      </c>
      <c r="U40" s="775">
        <f t="shared" si="13"/>
        <v>100</v>
      </c>
      <c r="V40" s="774" t="s">
        <v>17</v>
      </c>
      <c r="W40" s="775">
        <f t="shared" si="14"/>
        <v>100</v>
      </c>
      <c r="X40" s="1816"/>
      <c r="Y40" s="3233"/>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3" t="str">
        <f t="shared" si="11"/>
        <v>层高</v>
      </c>
      <c r="R41" s="774" t="s">
        <v>17</v>
      </c>
      <c r="S41" s="775">
        <f t="shared" si="12"/>
        <v>100</v>
      </c>
      <c r="T41" s="774" t="s">
        <v>17</v>
      </c>
      <c r="U41" s="775">
        <f t="shared" si="13"/>
        <v>100</v>
      </c>
      <c r="V41" s="774" t="s">
        <v>17</v>
      </c>
      <c r="W41" s="775">
        <f t="shared" si="14"/>
        <v>100</v>
      </c>
      <c r="X41" s="1816"/>
      <c r="Y41" s="3233"/>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3" t="str">
        <f t="shared" si="11"/>
        <v>内部装修</v>
      </c>
      <c r="R43" s="774" t="s">
        <v>17</v>
      </c>
      <c r="S43" s="775">
        <f t="shared" si="12"/>
        <v>100</v>
      </c>
      <c r="T43" s="774" t="s">
        <v>17</v>
      </c>
      <c r="U43" s="775">
        <f t="shared" si="13"/>
        <v>100</v>
      </c>
      <c r="V43" s="774" t="s">
        <v>17</v>
      </c>
      <c r="W43" s="775">
        <f t="shared" si="14"/>
        <v>100</v>
      </c>
      <c r="X43" s="1816"/>
      <c r="Y43" s="3233"/>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1"/>
      <c r="Q44" s="1813" t="str">
        <f t="shared" si="11"/>
        <v>内部装修维护情况</v>
      </c>
      <c r="R44" s="774" t="s">
        <v>17</v>
      </c>
      <c r="S44" s="775">
        <f t="shared" si="12"/>
        <v>100</v>
      </c>
      <c r="T44" s="774" t="s">
        <v>17</v>
      </c>
      <c r="U44" s="775">
        <f t="shared" si="13"/>
        <v>100</v>
      </c>
      <c r="V44" s="774" t="s">
        <v>17</v>
      </c>
      <c r="W44" s="775">
        <f t="shared" si="14"/>
        <v>100</v>
      </c>
      <c r="X44" s="1816"/>
      <c r="Y44" s="3233"/>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8">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3">
        <f t="shared" si="11"/>
        <v>111</v>
      </c>
      <c r="R47" s="774" t="s">
        <v>17</v>
      </c>
      <c r="S47" s="775">
        <f t="shared" si="12"/>
        <v>100</v>
      </c>
      <c r="T47" s="774" t="s">
        <v>17</v>
      </c>
      <c r="U47" s="775">
        <f t="shared" si="13"/>
        <v>100</v>
      </c>
      <c r="V47" s="774" t="s">
        <v>17</v>
      </c>
      <c r="W47" s="775">
        <f t="shared" si="14"/>
        <v>100</v>
      </c>
      <c r="X47" s="1816"/>
      <c r="Y47" s="3234"/>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237" t="str">
        <f>A48</f>
        <v>成交单价（元/平方米）</v>
      </c>
      <c r="Q48" s="3226"/>
      <c r="R48" s="3227">
        <f>E48</f>
        <v>0</v>
      </c>
      <c r="S48" s="3227"/>
      <c r="T48" s="3227">
        <f>G48</f>
        <v>0</v>
      </c>
      <c r="U48" s="3227"/>
      <c r="V48" s="3227">
        <f>I48</f>
        <v>0</v>
      </c>
      <c r="W48" s="3227"/>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37"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69" t="str">
        <f>A50</f>
        <v>估价对象XX用房的比较价值（楼面单价，元/平方米）</v>
      </c>
      <c r="Q50" s="3270"/>
      <c r="R50" s="3271" t="e">
        <f>IF(F1="售价",ROUND(AVERAGE(R49:V49),0),ROUND(AVERAGE(R49:V49),1))</f>
        <v>#DIV/0!</v>
      </c>
      <c r="S50" s="3271"/>
      <c r="T50" s="3271"/>
      <c r="U50" s="3271"/>
      <c r="V50" s="3271"/>
      <c r="W50" s="327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26071.75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8" t="s">
        <v>2566</v>
      </c>
      <c r="Q15" s="1813" t="str">
        <f t="shared" si="6"/>
        <v>产业集聚程度</v>
      </c>
      <c r="R15" s="774" t="s">
        <v>17</v>
      </c>
      <c r="S15" s="775">
        <f t="shared" si="0"/>
        <v>100</v>
      </c>
      <c r="T15" s="774" t="s">
        <v>17</v>
      </c>
      <c r="U15" s="775">
        <f t="shared" si="1"/>
        <v>100</v>
      </c>
      <c r="V15" s="774" t="s">
        <v>17</v>
      </c>
      <c r="W15" s="775">
        <f t="shared" si="2"/>
        <v>100</v>
      </c>
      <c r="X15" s="1816"/>
      <c r="Y15" s="3228"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29"/>
      <c r="Q18" s="1813"/>
      <c r="R18" s="774"/>
      <c r="S18" s="775"/>
      <c r="T18" s="774"/>
      <c r="U18" s="775"/>
      <c r="V18" s="774"/>
      <c r="W18" s="775"/>
      <c r="X18" s="1816"/>
      <c r="Y18" s="3229"/>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9"/>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29"/>
      <c r="Q20" s="1813"/>
      <c r="R20" s="774"/>
      <c r="S20" s="775"/>
      <c r="T20" s="774"/>
      <c r="U20" s="775"/>
      <c r="V20" s="774"/>
      <c r="W20" s="775"/>
      <c r="X20" s="1816"/>
      <c r="Y20" s="3229"/>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9"/>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29"/>
      <c r="Q22" s="1813"/>
      <c r="R22" s="774"/>
      <c r="S22" s="775"/>
      <c r="T22" s="774"/>
      <c r="U22" s="775"/>
      <c r="V22" s="774"/>
      <c r="W22" s="775"/>
      <c r="X22" s="1816"/>
      <c r="Y22" s="3229"/>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9"/>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29"/>
      <c r="Q24" s="1813"/>
      <c r="R24" s="774"/>
      <c r="S24" s="775"/>
      <c r="T24" s="774"/>
      <c r="U24" s="775"/>
      <c r="V24" s="774"/>
      <c r="W24" s="775"/>
      <c r="X24" s="1816"/>
      <c r="Y24" s="322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9"/>
      <c r="Q25" s="1813">
        <f>B25</f>
        <v>111</v>
      </c>
      <c r="R25" s="774" t="s">
        <v>17</v>
      </c>
      <c r="S25" s="775">
        <f>F25</f>
        <v>100</v>
      </c>
      <c r="T25" s="774" t="s">
        <v>17</v>
      </c>
      <c r="U25" s="775">
        <f>H25</f>
        <v>100</v>
      </c>
      <c r="V25" s="774" t="s">
        <v>17</v>
      </c>
      <c r="W25" s="775">
        <f>J25</f>
        <v>100</v>
      </c>
      <c r="X25" s="1816"/>
      <c r="Y25" s="322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9"/>
      <c r="Q26" s="1813">
        <f t="shared" ref="Q26:Q40" si="11">B26</f>
        <v>111</v>
      </c>
      <c r="R26" s="774" t="s">
        <v>17</v>
      </c>
      <c r="S26" s="775">
        <f>F26</f>
        <v>100</v>
      </c>
      <c r="T26" s="774" t="s">
        <v>17</v>
      </c>
      <c r="U26" s="775">
        <f>H26</f>
        <v>100</v>
      </c>
      <c r="V26" s="774" t="s">
        <v>17</v>
      </c>
      <c r="W26" s="775">
        <f>J26</f>
        <v>100</v>
      </c>
      <c r="X26" s="1816"/>
      <c r="Y26" s="322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9"/>
      <c r="Q27" s="1798">
        <f t="shared" si="11"/>
        <v>111</v>
      </c>
      <c r="R27" s="770" t="s">
        <v>17</v>
      </c>
      <c r="S27" s="771">
        <f>F27</f>
        <v>100</v>
      </c>
      <c r="T27" s="770" t="s">
        <v>17</v>
      </c>
      <c r="U27" s="771">
        <f>H27</f>
        <v>100</v>
      </c>
      <c r="V27" s="770" t="s">
        <v>17</v>
      </c>
      <c r="W27" s="771">
        <f>J27</f>
        <v>100</v>
      </c>
      <c r="X27" s="772"/>
      <c r="Y27" s="322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9"/>
      <c r="Q28" s="1813">
        <f t="shared" si="11"/>
        <v>111</v>
      </c>
      <c r="R28" s="774" t="s">
        <v>17</v>
      </c>
      <c r="S28" s="775">
        <f t="shared" ref="S28:S40" si="12">F28</f>
        <v>100</v>
      </c>
      <c r="T28" s="774" t="s">
        <v>17</v>
      </c>
      <c r="U28" s="775">
        <f t="shared" ref="U28:U40" si="13">H28</f>
        <v>100</v>
      </c>
      <c r="V28" s="774" t="s">
        <v>17</v>
      </c>
      <c r="W28" s="775">
        <f t="shared" ref="W28:W40" si="14">J28</f>
        <v>100</v>
      </c>
      <c r="X28" s="1816"/>
      <c r="Y28" s="3229"/>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84" t="s">
        <v>2571</v>
      </c>
      <c r="Q29" s="1813" t="str">
        <f t="shared" si="11"/>
        <v>建筑类型</v>
      </c>
      <c r="R29" s="774" t="s">
        <v>17</v>
      </c>
      <c r="S29" s="775">
        <f t="shared" si="12"/>
        <v>100</v>
      </c>
      <c r="T29" s="774" t="s">
        <v>17</v>
      </c>
      <c r="U29" s="775">
        <f t="shared" si="13"/>
        <v>100</v>
      </c>
      <c r="V29" s="774" t="s">
        <v>17</v>
      </c>
      <c r="W29" s="775">
        <f t="shared" si="14"/>
        <v>100</v>
      </c>
      <c r="X29" s="1816"/>
      <c r="Y29" s="3233"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3"/>
      <c r="Q31" s="1813" t="str">
        <f t="shared" si="11"/>
        <v>建筑结构</v>
      </c>
      <c r="R31" s="774" t="s">
        <v>17</v>
      </c>
      <c r="S31" s="775">
        <f t="shared" si="12"/>
        <v>100</v>
      </c>
      <c r="T31" s="774" t="s">
        <v>17</v>
      </c>
      <c r="U31" s="775">
        <f t="shared" si="13"/>
        <v>100</v>
      </c>
      <c r="V31" s="774" t="s">
        <v>17</v>
      </c>
      <c r="W31" s="775">
        <f t="shared" si="14"/>
        <v>100</v>
      </c>
      <c r="X31" s="1816"/>
      <c r="Y31" s="3233"/>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3"/>
      <c r="Q32" s="1813" t="str">
        <f t="shared" si="11"/>
        <v>公共部分装修</v>
      </c>
      <c r="R32" s="774" t="s">
        <v>17</v>
      </c>
      <c r="S32" s="775">
        <f t="shared" si="12"/>
        <v>100</v>
      </c>
      <c r="T32" s="774" t="s">
        <v>17</v>
      </c>
      <c r="U32" s="775">
        <f t="shared" si="13"/>
        <v>100</v>
      </c>
      <c r="V32" s="774" t="s">
        <v>17</v>
      </c>
      <c r="W32" s="775">
        <f t="shared" si="14"/>
        <v>100</v>
      </c>
      <c r="X32" s="1816"/>
      <c r="Y32" s="3233"/>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3"/>
      <c r="Q33" s="1813" t="str">
        <f t="shared" si="11"/>
        <v>成新度</v>
      </c>
      <c r="R33" s="774" t="s">
        <v>17</v>
      </c>
      <c r="S33" s="775" t="e">
        <f t="shared" si="12"/>
        <v>#N/A</v>
      </c>
      <c r="T33" s="774" t="s">
        <v>17</v>
      </c>
      <c r="U33" s="775" t="e">
        <f t="shared" si="13"/>
        <v>#N/A</v>
      </c>
      <c r="V33" s="774" t="s">
        <v>17</v>
      </c>
      <c r="W33" s="775" t="e">
        <f t="shared" si="14"/>
        <v>#N/A</v>
      </c>
      <c r="X33" s="1816"/>
      <c r="Y33" s="3233"/>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3"/>
      <c r="Q34" s="1798"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3" t="s">
        <v>2571</v>
      </c>
      <c r="Q35" s="1813" t="str">
        <f t="shared" si="11"/>
        <v>市政基础设施</v>
      </c>
      <c r="R35" s="774" t="s">
        <v>17</v>
      </c>
      <c r="S35" s="775">
        <f t="shared" si="12"/>
        <v>100</v>
      </c>
      <c r="T35" s="774" t="s">
        <v>17</v>
      </c>
      <c r="U35" s="775">
        <f t="shared" si="13"/>
        <v>100</v>
      </c>
      <c r="V35" s="774" t="s">
        <v>17</v>
      </c>
      <c r="W35" s="775">
        <f t="shared" si="14"/>
        <v>100</v>
      </c>
      <c r="X35" s="1816"/>
      <c r="Y35" s="3233"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3"/>
      <c r="Q36" s="1813" t="str">
        <f t="shared" si="11"/>
        <v>内部装修</v>
      </c>
      <c r="R36" s="774" t="s">
        <v>17</v>
      </c>
      <c r="S36" s="775">
        <f t="shared" si="12"/>
        <v>100</v>
      </c>
      <c r="T36" s="774" t="s">
        <v>17</v>
      </c>
      <c r="U36" s="775">
        <f t="shared" si="13"/>
        <v>100</v>
      </c>
      <c r="V36" s="774" t="s">
        <v>17</v>
      </c>
      <c r="W36" s="775">
        <f t="shared" si="14"/>
        <v>100</v>
      </c>
      <c r="X36" s="1816"/>
      <c r="Y36" s="3233"/>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3"/>
      <c r="Q37" s="1813" t="str">
        <f t="shared" si="11"/>
        <v>内部装修状况</v>
      </c>
      <c r="R37" s="774" t="s">
        <v>17</v>
      </c>
      <c r="S37" s="775">
        <f t="shared" si="12"/>
        <v>100</v>
      </c>
      <c r="T37" s="774" t="s">
        <v>17</v>
      </c>
      <c r="U37" s="775">
        <f t="shared" si="13"/>
        <v>100</v>
      </c>
      <c r="V37" s="774" t="s">
        <v>17</v>
      </c>
      <c r="W37" s="775">
        <f t="shared" si="14"/>
        <v>100</v>
      </c>
      <c r="X37" s="1816"/>
      <c r="Y37" s="323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3"/>
      <c r="Q39" s="1813">
        <f t="shared" si="11"/>
        <v>111</v>
      </c>
      <c r="R39" s="774" t="s">
        <v>17</v>
      </c>
      <c r="S39" s="775">
        <f t="shared" si="12"/>
        <v>100</v>
      </c>
      <c r="T39" s="774" t="s">
        <v>17</v>
      </c>
      <c r="U39" s="775">
        <f t="shared" si="13"/>
        <v>100</v>
      </c>
      <c r="V39" s="774" t="s">
        <v>17</v>
      </c>
      <c r="W39" s="775">
        <f t="shared" si="14"/>
        <v>100</v>
      </c>
      <c r="X39" s="1816"/>
      <c r="Y39" s="3233"/>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3">
        <f t="shared" si="11"/>
        <v>111</v>
      </c>
      <c r="R40" s="774" t="s">
        <v>17</v>
      </c>
      <c r="S40" s="775">
        <f t="shared" si="12"/>
        <v>100</v>
      </c>
      <c r="T40" s="774" t="s">
        <v>17</v>
      </c>
      <c r="U40" s="775">
        <f t="shared" si="13"/>
        <v>100</v>
      </c>
      <c r="V40" s="774" t="s">
        <v>17</v>
      </c>
      <c r="W40" s="775">
        <f t="shared" si="14"/>
        <v>100</v>
      </c>
      <c r="X40" s="1816"/>
      <c r="Y40" s="3234"/>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K34" sqref="K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10867.1</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28761</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26466</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3003"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1" t="s">
        <v>2845</v>
      </c>
      <c r="X8" s="3292"/>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3"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3" t="s">
        <v>2869</v>
      </c>
      <c r="X11" s="1617" t="s">
        <v>2841</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3"/>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70" t="s">
        <v>2876</v>
      </c>
      <c r="C13" s="2771" t="s">
        <v>2877</v>
      </c>
      <c r="D13" s="2989" t="s">
        <v>2878</v>
      </c>
      <c r="E13" s="2989"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293"/>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294"/>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5"/>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2993">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3004">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2999" t="s">
        <v>2913</v>
      </c>
      <c r="D22" s="2999">
        <f>IF(E22=G22,F22,IF(G3&lt;=10,ROUND(F22+(H22-F22)*(G3-E22)/(G22-E22),4),"——"))</f>
        <v>1.0779000000000001</v>
      </c>
      <c r="E22" s="916">
        <f>ROUNDDOWN(G3,1)</f>
        <v>2.6</v>
      </c>
      <c r="F22" s="2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2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2999"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28761</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3002">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3002">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00" t="s">
        <v>2936</v>
      </c>
      <c r="B33" s="2867" t="s">
        <v>2937</v>
      </c>
      <c r="C33" s="206">
        <f ca="1">ROUND(D5*C19*C20*C24*F33,0)</f>
        <v>26466</v>
      </c>
      <c r="D33" s="2851">
        <f>'数据-汇总表'!G19</f>
        <v>10867.1</v>
      </c>
      <c r="E33" s="200">
        <f ca="1">ROUND(C33*D33/10000,0)</f>
        <v>28761</v>
      </c>
      <c r="F33" s="200">
        <f>SUMIF(修正!A45:A56,G2,修正!B45:B56)</f>
        <v>0.8</v>
      </c>
      <c r="G33" s="200">
        <f t="shared" ref="G33:G39" ca="1" si="6">ROUND(IF(E2="工业",C33*$M$39,C33*$M$38),0)</f>
        <v>6617</v>
      </c>
      <c r="H33" s="200">
        <f>D33</f>
        <v>10867.1</v>
      </c>
      <c r="I33" s="200">
        <f ca="1">ROUND(G33*H33/10000,0)</f>
        <v>7191</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302"/>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2987" t="s">
        <v>2949</v>
      </c>
      <c r="C47" s="2987" t="s">
        <v>2950</v>
      </c>
      <c r="D47" s="2987" t="s">
        <v>2951</v>
      </c>
      <c r="E47" s="819" t="s">
        <v>2952</v>
      </c>
      <c r="F47" s="2885" t="s">
        <v>2953</v>
      </c>
      <c r="G47" s="2987" t="s">
        <v>754</v>
      </c>
      <c r="H47" s="2886" t="s">
        <v>2954</v>
      </c>
      <c r="I47" s="2987"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2987"/>
      <c r="C58" s="2987" t="s">
        <v>2950</v>
      </c>
      <c r="D58" s="2987" t="s">
        <v>2951</v>
      </c>
      <c r="E58" s="819" t="s">
        <v>2952</v>
      </c>
      <c r="F58" s="2885" t="s">
        <v>2968</v>
      </c>
      <c r="G58" s="2987" t="s">
        <v>754</v>
      </c>
      <c r="H58" s="2886" t="s">
        <v>2954</v>
      </c>
      <c r="I58" s="2987"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2987"/>
      <c r="C69" s="2987" t="s">
        <v>2950</v>
      </c>
      <c r="D69" s="2987" t="s">
        <v>2951</v>
      </c>
      <c r="E69" s="819" t="s">
        <v>2952</v>
      </c>
      <c r="F69" s="2885" t="s">
        <v>2968</v>
      </c>
      <c r="G69" s="2987" t="s">
        <v>754</v>
      </c>
      <c r="H69" s="2886" t="s">
        <v>2954</v>
      </c>
      <c r="I69" s="2987"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2987"/>
      <c r="C80" s="2987" t="s">
        <v>2950</v>
      </c>
      <c r="D80" s="2987" t="s">
        <v>2951</v>
      </c>
      <c r="E80" s="819" t="s">
        <v>2952</v>
      </c>
      <c r="F80" s="2885" t="s">
        <v>2968</v>
      </c>
      <c r="G80" s="2987" t="s">
        <v>754</v>
      </c>
      <c r="H80" s="2886" t="s">
        <v>2954</v>
      </c>
      <c r="I80" s="2987"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03" t="s">
        <v>2978</v>
      </c>
      <c r="B90" s="3303"/>
      <c r="C90" s="3303"/>
      <c r="D90" s="3303"/>
      <c r="E90" s="3303"/>
      <c r="F90" s="3303"/>
      <c r="G90" s="3303"/>
      <c r="H90" s="3303"/>
      <c r="I90" s="3303"/>
      <c r="J90" s="3303"/>
      <c r="K90" s="3000"/>
      <c r="L90" s="3000"/>
      <c r="M90" s="3000"/>
      <c r="N90" s="3000"/>
    </row>
    <row r="91" spans="1:37">
      <c r="A91" s="3304" t="s">
        <v>2979</v>
      </c>
      <c r="B91" s="3304" t="s">
        <v>2980</v>
      </c>
      <c r="C91" s="2852" t="s">
        <v>2981</v>
      </c>
      <c r="D91" s="2853"/>
      <c r="E91" s="2853"/>
      <c r="F91" s="2853"/>
      <c r="G91" s="2853"/>
      <c r="H91" s="2853"/>
      <c r="I91" s="2853"/>
      <c r="J91" s="2899"/>
      <c r="K91" s="2900"/>
      <c r="L91" s="2900"/>
      <c r="M91" s="2900"/>
      <c r="N91" s="2900"/>
    </row>
    <row r="92" spans="1:37">
      <c r="A92" s="3304"/>
      <c r="B92" s="3304"/>
      <c r="C92" s="3002" t="s">
        <v>2846</v>
      </c>
      <c r="D92" s="3002" t="s">
        <v>2847</v>
      </c>
      <c r="E92" s="3002" t="s">
        <v>2848</v>
      </c>
      <c r="F92" s="3002" t="s">
        <v>2849</v>
      </c>
      <c r="G92" s="3002" t="s">
        <v>2850</v>
      </c>
      <c r="H92" s="3002" t="s">
        <v>2851</v>
      </c>
      <c r="I92" s="3002" t="s">
        <v>2852</v>
      </c>
      <c r="J92" s="3002" t="s">
        <v>2853</v>
      </c>
      <c r="K92" s="3002" t="s">
        <v>2854</v>
      </c>
      <c r="L92" s="3002" t="s">
        <v>2855</v>
      </c>
      <c r="M92" s="3002" t="s">
        <v>2856</v>
      </c>
      <c r="N92" s="3002" t="s">
        <v>2857</v>
      </c>
    </row>
    <row r="93" spans="1:37">
      <c r="A93" s="329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7"/>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6"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97"/>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97"/>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97"/>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97"/>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97"/>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97"/>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97"/>
      <c r="B108" s="3166" t="s">
        <v>2875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8"/>
      <c r="B109" s="3167"/>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99" t="s">
        <v>2986</v>
      </c>
      <c r="B110" s="3299"/>
      <c r="C110" s="3299"/>
      <c r="D110" s="3299"/>
      <c r="E110" s="3299"/>
      <c r="F110" s="3299"/>
      <c r="G110" s="3299"/>
      <c r="H110" s="3299"/>
      <c r="I110" s="3299"/>
      <c r="J110" s="3299"/>
      <c r="K110" s="3001"/>
      <c r="L110" s="3001"/>
      <c r="M110" s="3001"/>
      <c r="N110" s="3001"/>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75" priority="5" stopIfTrue="1" operator="notEqual">
      <formula>"——"</formula>
    </cfRule>
  </conditionalFormatting>
  <conditionalFormatting sqref="F59">
    <cfRule type="cellIs" dxfId="74" priority="4" stopIfTrue="1" operator="notEqual">
      <formula>"——"</formula>
    </cfRule>
  </conditionalFormatting>
  <conditionalFormatting sqref="F70">
    <cfRule type="cellIs" dxfId="73" priority="3" stopIfTrue="1" operator="notEqual">
      <formula>"——"</formula>
    </cfRule>
  </conditionalFormatting>
  <conditionalFormatting sqref="F81">
    <cfRule type="cellIs" dxfId="72" priority="2" stopIfTrue="1" operator="notEqual">
      <formula>"——"</formula>
    </cfRule>
  </conditionalFormatting>
  <conditionalFormatting sqref="H48:H56 H59:H67 H70:H78 H81:H88">
    <cfRule type="cellIs" dxfId="71"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3116</v>
      </c>
      <c r="C1" s="242"/>
      <c r="D1" s="242"/>
      <c r="E1" s="242"/>
      <c r="F1" s="242"/>
      <c r="G1" s="1382">
        <f>MATCH(B1,'数据-取费表'!A6:A16,0)+5</f>
        <v>8</v>
      </c>
    </row>
    <row r="2" spans="1:9" s="244" customFormat="1" ht="18" customHeight="1">
      <c r="A2" s="245" t="s">
        <v>1394</v>
      </c>
      <c r="B2" s="246">
        <f ca="1">IF(D2="——",C52,C52-E2)</f>
        <v>11327</v>
      </c>
      <c r="C2" s="243" t="s">
        <v>2334</v>
      </c>
      <c r="D2" s="2553" t="s">
        <v>70</v>
      </c>
      <c r="E2" s="1443" t="e">
        <f ca="1">SUMIF(INDIRECT("'"&amp;G2&amp;"'"&amp;"!A:A"),"承租人权益价值",INDIRECT("'"&amp;G2&amp;"'"&amp;"!c:c"))</f>
        <v>#REF!</v>
      </c>
      <c r="F2" s="2554" t="s">
        <v>2334</v>
      </c>
      <c r="G2" s="2555"/>
    </row>
    <row r="3" spans="1:9" s="244" customFormat="1" ht="18" customHeight="1" thickBot="1">
      <c r="A3" s="247" t="s">
        <v>1395</v>
      </c>
      <c r="B3" s="248">
        <f ca="1">ROUND(B2*10000/(IF(B1="",'数据-汇总表'!E3,INDIRECT("'数据-取费表'!k"&amp;$G$1))),0)</f>
        <v>41491</v>
      </c>
      <c r="C3" s="243" t="s">
        <v>2336</v>
      </c>
      <c r="D3" s="243"/>
      <c r="E3" s="243"/>
      <c r="F3" s="243"/>
      <c r="G3" s="243"/>
    </row>
    <row r="4" spans="1:9" s="252" customFormat="1" ht="15.75">
      <c r="A4" s="249" t="s">
        <v>2337</v>
      </c>
      <c r="B4" s="250"/>
      <c r="C4" s="250"/>
      <c r="D4" s="250"/>
      <c r="E4" s="250"/>
      <c r="F4" s="250"/>
      <c r="G4" s="251"/>
    </row>
    <row r="5" spans="1:9" s="258" customFormat="1" ht="13.5" customHeight="1">
      <c r="A5" s="299" t="s">
        <v>782</v>
      </c>
      <c r="B5" s="254" t="s">
        <v>2339</v>
      </c>
      <c r="C5" s="255">
        <f ca="1">C6+C7+C8</f>
        <v>7500</v>
      </c>
      <c r="D5" s="255" t="s">
        <v>2340</v>
      </c>
      <c r="E5" s="256" t="s">
        <v>2341</v>
      </c>
      <c r="F5" s="256" t="s">
        <v>2342</v>
      </c>
      <c r="G5" s="257"/>
    </row>
    <row r="6" spans="1:9" s="258" customFormat="1" ht="13.5" customHeight="1">
      <c r="A6" s="952" t="s">
        <v>791</v>
      </c>
      <c r="B6" s="259" t="s">
        <v>2344</v>
      </c>
      <c r="C6" s="260">
        <f ca="1">'基准地价修正-未出租'!E33</f>
        <v>7225</v>
      </c>
      <c r="D6" s="261"/>
      <c r="E6" s="262"/>
      <c r="F6" s="262"/>
      <c r="G6" s="263"/>
    </row>
    <row r="7" spans="1:9" s="258" customFormat="1" ht="13.5" customHeight="1">
      <c r="A7" s="952" t="s">
        <v>792</v>
      </c>
      <c r="B7" s="259" t="s">
        <v>2346</v>
      </c>
      <c r="C7" s="264">
        <f ca="1">ROUND(C6*F7,0)</f>
        <v>220</v>
      </c>
      <c r="D7" s="264"/>
      <c r="E7" s="262"/>
      <c r="F7" s="265">
        <f>'数据-取费表'!B48+'数据-取费表'!B49</f>
        <v>3.0499999999999999E-2</v>
      </c>
      <c r="G7" s="263"/>
    </row>
    <row r="8" spans="1:9" s="267" customFormat="1">
      <c r="A8" s="952" t="s">
        <v>793</v>
      </c>
      <c r="B8" s="259" t="s">
        <v>2348</v>
      </c>
      <c r="C8" s="264">
        <f ca="1">IF(G8="已包含在土地购买价格中","0",IF(B1="",'数据-取费表'!B29,IF(G9="全部缴纳",C9+C10,H9)))</f>
        <v>55</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55</v>
      </c>
      <c r="D10" s="1035">
        <f ca="1">IF(B1="",'数据-汇总表'!E6,IF(INDIRECT("'数据-取费表'!c"&amp;$G$1)="住宅",INDIRECT("'数据-取费表'!s"&amp;$G$1),INDIRECT("'数据-取费表'!k"&amp;$G$1)+INDIRECT("'数据-取费表'!s"&amp;$G$1)))</f>
        <v>2729.98</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2348</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2729.98</v>
      </c>
      <c r="E19" s="255">
        <f>'数据-取费表'!B31</f>
        <v>200</v>
      </c>
      <c r="F19" s="275"/>
      <c r="G19" s="2556" t="s">
        <v>3086</v>
      </c>
    </row>
    <row r="20" spans="1:7" s="258" customFormat="1" ht="13.5" customHeight="1">
      <c r="A20" s="299" t="s">
        <v>2364</v>
      </c>
      <c r="B20" s="254" t="s">
        <v>2365</v>
      </c>
      <c r="C20" s="276">
        <f ca="1">ROUND((C5+C19)*F20,0)</f>
        <v>150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329</v>
      </c>
      <c r="D22" s="279">
        <f ca="1">C26</f>
        <v>4.0000000000000002E-4</v>
      </c>
      <c r="E22" s="280" t="s">
        <v>2369</v>
      </c>
      <c r="F22" s="281">
        <f ca="1">'数据-取费表'!B40</f>
        <v>4.3499999999999997E-2</v>
      </c>
      <c r="G22" s="278" t="str">
        <f>IF('数据-取费表'!B22&lt;=1,"单利计息","复利计息")</f>
        <v>单利计息</v>
      </c>
    </row>
    <row r="23" spans="1:7" s="258" customFormat="1" ht="13.5" customHeight="1">
      <c r="A23" s="954" t="s">
        <v>791</v>
      </c>
      <c r="B23" s="259" t="s">
        <v>2374</v>
      </c>
      <c r="C23" s="1358">
        <f ca="1">ROUND(IF('数据-取费表'!B22&lt;=1,C5*F22*'数据-取费表'!B23,C5*(POWER((1+F22),'数据-取费表'!B23)-1)),0)</f>
        <v>326</v>
      </c>
      <c r="D23" s="282"/>
      <c r="E23" s="282"/>
      <c r="F23" s="283"/>
      <c r="G23" s="284" t="s">
        <v>2375</v>
      </c>
    </row>
    <row r="24" spans="1:7" s="258" customFormat="1" ht="13.5" customHeight="1">
      <c r="A24" s="954" t="s">
        <v>792</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793</v>
      </c>
      <c r="B25" s="259" t="s">
        <v>2380</v>
      </c>
      <c r="C25" s="1358">
        <f ca="1">ROUND(IF('数据-取费表'!B22&lt;=1,C20*F22*'数据-取费表'!B23/2,C20*(POWER((1+F22),'数据-取费表'!B23/2)-1)),0)</f>
        <v>3</v>
      </c>
      <c r="D25" s="282"/>
      <c r="E25" s="285"/>
      <c r="F25" s="283"/>
      <c r="G25" s="286" t="s">
        <v>2381</v>
      </c>
    </row>
    <row r="26" spans="1:7" s="258" customFormat="1">
      <c r="A26" s="954" t="s">
        <v>795</v>
      </c>
      <c r="B26" s="259" t="s">
        <v>2382</v>
      </c>
      <c r="C26" s="282">
        <f ca="1">ROUND(IF('数据-取费表'!B22&lt;=1,F21*F22*'数据-取费表'!B23/2,F21*(POWER((1+F22),'数据-取费表'!B23/2)-1)),4)</f>
        <v>4.0000000000000002E-4</v>
      </c>
      <c r="D26" s="282"/>
      <c r="E26" s="285"/>
      <c r="F26" s="283"/>
      <c r="G26" s="287"/>
    </row>
    <row r="27" spans="1:7" s="258" customFormat="1" ht="24.75">
      <c r="A27" s="299" t="s">
        <v>2383</v>
      </c>
      <c r="B27" s="288" t="s">
        <v>2384</v>
      </c>
      <c r="C27" s="289">
        <f ca="1">C28</f>
        <v>1530</v>
      </c>
      <c r="D27" s="279">
        <f ca="1">C29</f>
        <v>4.0000000000000001E-3</v>
      </c>
      <c r="E27" s="280" t="s">
        <v>2369</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1530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2369</v>
      </c>
      <c r="E30" s="285"/>
      <c r="F30" s="281">
        <f>'数据-取费表'!B41</f>
        <v>5.6000000000000001E-2</v>
      </c>
      <c r="G30" s="278" t="s">
        <v>2391</v>
      </c>
    </row>
    <row r="31" spans="1:7" ht="16.5" customHeight="1">
      <c r="A31" s="253">
        <v>1</v>
      </c>
      <c r="B31" s="254" t="s">
        <v>2392</v>
      </c>
      <c r="C31" s="255">
        <f ca="1">ROUND((C5+C19+C20+C22+C27)/(1-C21-D22-D27-C30),0)</f>
        <v>10310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919</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819</v>
      </c>
      <c r="D34" s="261"/>
      <c r="E34" s="264"/>
      <c r="F34" s="301">
        <f ca="1">IF('数据-取费表'!B24=0,1,IF(B1="",'数据-取费表'!N16,INDIRECT("'数据-取费表'!n"&amp;$G$1)))</f>
        <v>1</v>
      </c>
      <c r="G34" s="263" t="s">
        <v>2397</v>
      </c>
    </row>
    <row r="35" spans="1:7" ht="13.5" customHeight="1">
      <c r="A35" s="954" t="s">
        <v>796</v>
      </c>
      <c r="B35" s="259" t="s">
        <v>2398</v>
      </c>
      <c r="C35" s="264">
        <f ca="1">ROUND(C34*F35,0)</f>
        <v>33</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55</v>
      </c>
      <c r="D37" s="261">
        <f ca="1">D19</f>
        <v>2729.98</v>
      </c>
      <c r="E37" s="293">
        <f>'数据-取费表'!B35</f>
        <v>200</v>
      </c>
      <c r="F37" s="303"/>
      <c r="G37" s="305" t="s">
        <v>2403</v>
      </c>
    </row>
    <row r="38" spans="1:7" ht="13.5" customHeight="1">
      <c r="A38" s="954" t="s">
        <v>799</v>
      </c>
      <c r="B38" s="259" t="s">
        <v>2404</v>
      </c>
      <c r="C38" s="264">
        <f ca="1">ROUND(C34*F38,0)</f>
        <v>12</v>
      </c>
      <c r="D38" s="264"/>
      <c r="E38" s="264"/>
      <c r="F38" s="303">
        <f>'数据-取费表'!B36</f>
        <v>1.4999999999999999E-2</v>
      </c>
      <c r="G38" s="263" t="s">
        <v>2399</v>
      </c>
    </row>
    <row r="39" spans="1:7" s="258" customFormat="1" ht="13.5" customHeight="1">
      <c r="A39" s="299" t="s">
        <v>2362</v>
      </c>
      <c r="B39" s="254" t="s">
        <v>2365</v>
      </c>
      <c r="C39" s="276">
        <f ca="1">ROUND(C33*F20,0)</f>
        <v>18</v>
      </c>
      <c r="D39" s="276"/>
      <c r="E39" s="276"/>
      <c r="F39" s="277"/>
      <c r="G39" s="278" t="s">
        <v>2407</v>
      </c>
    </row>
    <row r="40" spans="1:7" s="258" customFormat="1" ht="13.5" customHeight="1">
      <c r="A40" s="299" t="s">
        <v>2364</v>
      </c>
      <c r="B40" s="254" t="s">
        <v>2368</v>
      </c>
      <c r="C40" s="1731">
        <f>F21</f>
        <v>0.02</v>
      </c>
      <c r="D40" s="280" t="s">
        <v>2410</v>
      </c>
      <c r="E40" s="276"/>
      <c r="F40" s="277"/>
      <c r="G40" s="278" t="s">
        <v>2411</v>
      </c>
    </row>
    <row r="41" spans="1:7" s="258" customFormat="1" ht="13.5" customHeight="1">
      <c r="A41" s="299" t="s">
        <v>2367</v>
      </c>
      <c r="B41" s="254" t="s">
        <v>2372</v>
      </c>
      <c r="C41" s="276">
        <f ca="1">ROUND(SUM(C42:C43),0)</f>
        <v>20</v>
      </c>
      <c r="D41" s="279">
        <f ca="1">C44</f>
        <v>4.0000000000000002E-4</v>
      </c>
      <c r="E41" s="280" t="s">
        <v>2410</v>
      </c>
      <c r="F41" s="281"/>
      <c r="G41" s="278" t="str">
        <f>IF('数据-取费表'!B22&lt;=1,"单利计息","复利计息")</f>
        <v>单利计息</v>
      </c>
    </row>
    <row r="42" spans="1:7" ht="13.5" customHeight="1">
      <c r="A42" s="954" t="s">
        <v>791</v>
      </c>
      <c r="B42" s="259" t="s">
        <v>2374</v>
      </c>
      <c r="C42" s="282">
        <f ca="1">ROUND(IF('数据-取费表'!B22&lt;=1,C33*F22*'数据-取费表'!B21/2,C33*(POWER((1+F22),'数据-取费表'!B21/2)-1)),0)</f>
        <v>20</v>
      </c>
      <c r="D42" s="282"/>
      <c r="E42" s="282"/>
      <c r="F42" s="283"/>
      <c r="G42" s="3193" t="s">
        <v>2415</v>
      </c>
    </row>
    <row r="43" spans="1:7" ht="13.5" customHeight="1">
      <c r="A43" s="954" t="s">
        <v>792</v>
      </c>
      <c r="B43" s="259" t="s">
        <v>2377</v>
      </c>
      <c r="C43" s="282">
        <f ca="1">ROUND(IF('数据-取费表'!B22&lt;=1,C39*F22*'数据-取费表'!B21/2,C39*(POWER((1+F22),'数据-取费表'!B21/2)-1)),0)</f>
        <v>0</v>
      </c>
      <c r="D43" s="282"/>
      <c r="E43" s="282"/>
      <c r="F43" s="283"/>
      <c r="G43" s="3194"/>
    </row>
    <row r="44" spans="1:7" ht="13.5" customHeight="1">
      <c r="A44" s="954" t="s">
        <v>793</v>
      </c>
      <c r="B44" s="259" t="s">
        <v>2380</v>
      </c>
      <c r="C44" s="282">
        <f ca="1">ROUND(IF('数据-取费表'!B22&lt;=1,C40*F22*'数据-取费表'!B21/2,C40*(POWER((1+F22),'数据-取费表'!B21/2)-1)),4)</f>
        <v>4.0000000000000002E-4</v>
      </c>
      <c r="D44" s="282"/>
      <c r="E44" s="282"/>
      <c r="F44" s="283"/>
      <c r="G44" s="3195"/>
    </row>
    <row r="45" spans="1:7" s="258" customFormat="1" ht="13.5" customHeight="1">
      <c r="A45" s="299" t="s">
        <v>2371</v>
      </c>
      <c r="B45" s="288" t="s">
        <v>2384</v>
      </c>
      <c r="C45" s="289">
        <f ca="1">C46</f>
        <v>187</v>
      </c>
      <c r="D45" s="279">
        <f ca="1">C47</f>
        <v>4.0000000000000001E-3</v>
      </c>
      <c r="E45" s="280" t="s">
        <v>2410</v>
      </c>
      <c r="F45" s="290"/>
      <c r="G45" s="291" t="s">
        <v>2419</v>
      </c>
    </row>
    <row r="46" spans="1:7" s="258" customFormat="1" ht="13.5" customHeight="1">
      <c r="A46" s="954" t="s">
        <v>791</v>
      </c>
      <c r="B46" s="292" t="s">
        <v>2420</v>
      </c>
      <c r="C46" s="293">
        <f ca="1">ROUND((C33+C39)*F27,0)</f>
        <v>187</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1240</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1017</v>
      </c>
      <c r="D51" s="276"/>
      <c r="E51" s="276"/>
      <c r="F51" s="308"/>
      <c r="G51" s="278" t="s">
        <v>2431</v>
      </c>
    </row>
    <row r="52" spans="1:7" s="252" customFormat="1" ht="16.5" thickBot="1">
      <c r="A52" s="309" t="s">
        <v>2432</v>
      </c>
      <c r="B52" s="310"/>
      <c r="C52" s="311">
        <f ca="1">C31+C51</f>
        <v>11327</v>
      </c>
      <c r="D52" s="310"/>
      <c r="E52" s="310"/>
      <c r="F52" s="310"/>
      <c r="G52" s="312"/>
    </row>
    <row r="55" spans="1:7" ht="15">
      <c r="B55" s="314" t="s">
        <v>2433</v>
      </c>
      <c r="C55" s="315"/>
    </row>
    <row r="56" spans="1:7">
      <c r="B56" s="317" t="s">
        <v>1514</v>
      </c>
      <c r="C56" s="319">
        <f ca="1">1-C57</f>
        <v>0.91</v>
      </c>
    </row>
    <row r="57" spans="1:7">
      <c r="B57" s="317" t="s">
        <v>1515</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3116</v>
      </c>
      <c r="D1" s="1823" t="s">
        <v>70</v>
      </c>
      <c r="E1" s="1824" t="s">
        <v>1387</v>
      </c>
      <c r="F1" s="1286">
        <f ca="1">J53</f>
        <v>23.7</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6008</v>
      </c>
      <c r="C2" s="1848" t="s">
        <v>1517</v>
      </c>
      <c r="D2" s="1848"/>
      <c r="E2" s="1849"/>
      <c r="F2" s="1850"/>
      <c r="G2" s="1851"/>
      <c r="H2" s="1843"/>
      <c r="I2" s="1843"/>
      <c r="J2" s="1843"/>
      <c r="K2" s="1844"/>
      <c r="L2" s="1843"/>
      <c r="M2" s="1843"/>
    </row>
    <row r="3" spans="1:37" ht="18" customHeight="1" thickBot="1">
      <c r="A3" s="1852" t="s">
        <v>1518</v>
      </c>
      <c r="B3" s="1853">
        <f ca="1">IF(ISERROR(B2*10000/F43),0,ROUND(B2*10000/F43,0))</f>
        <v>22007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449</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448</v>
      </c>
      <c r="D6" s="164" t="s">
        <v>3040</v>
      </c>
      <c r="E6" s="347" t="s">
        <v>1405</v>
      </c>
      <c r="F6" s="348">
        <f ca="1">INDIRECT("'数据-取费表'!u"&amp;$G$1)</f>
        <v>5</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85" t="s">
        <v>1406</v>
      </c>
      <c r="F7" s="348">
        <f ca="1">IF(INDIRECT("'数据-取费表'!ah"&amp;$G$1)="",INDIRECT("'数据-取费表'!k"&amp;$G$1),INDIRECT("'数据-取费表'!ah"&amp;$G$1))</f>
        <v>2729.98</v>
      </c>
      <c r="G7" s="1854"/>
      <c r="H7" s="349"/>
      <c r="I7" s="3199"/>
      <c r="J7" s="351"/>
      <c r="K7" s="352"/>
      <c r="L7" s="347" t="s">
        <v>1406</v>
      </c>
      <c r="M7" s="348">
        <f ca="1">F7</f>
        <v>2729.98</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1</v>
      </c>
      <c r="D10" s="1827" t="s">
        <v>3036</v>
      </c>
      <c r="E10" s="358" t="s">
        <v>1411</v>
      </c>
      <c r="F10" s="1369" t="s">
        <v>3088</v>
      </c>
      <c r="G10" s="1854"/>
      <c r="H10" s="1294" t="s">
        <v>1039</v>
      </c>
      <c r="I10" s="1826" t="s">
        <v>1409</v>
      </c>
      <c r="J10" s="346">
        <f ca="1">ROUND(IF(M10="押一",M6*M8*M7/12*M11,IF(M10="押二",M6*M8*M7/12*2*M11,IF(M10="押三",M6*M8*M7/12*3*M11,J11*M11)))/10000,0)</f>
        <v>0</v>
      </c>
      <c r="K10" s="1827" t="s">
        <v>3036</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1017</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819</v>
      </c>
      <c r="D14" s="2995" t="s">
        <v>1419</v>
      </c>
      <c r="E14" s="2994"/>
      <c r="F14" s="364"/>
      <c r="G14" s="1854"/>
      <c r="H14" s="1204" t="s">
        <v>1035</v>
      </c>
      <c r="I14" s="347" t="s">
        <v>1420</v>
      </c>
      <c r="J14" s="24">
        <f ca="1">C29</f>
        <v>1240</v>
      </c>
      <c r="K14" s="2984"/>
      <c r="L14" s="982"/>
      <c r="M14" s="983"/>
    </row>
    <row r="15" spans="1:37" s="1861" customFormat="1" ht="18" customHeight="1" thickBot="1">
      <c r="A15" s="1204" t="s">
        <v>1036</v>
      </c>
      <c r="B15" s="347" t="s">
        <v>1421</v>
      </c>
      <c r="C15" s="24">
        <f ca="1">ROUND(C14*F15,0)</f>
        <v>33</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32</v>
      </c>
      <c r="K16" s="1340" t="s">
        <v>1426</v>
      </c>
      <c r="L16" s="2998"/>
      <c r="M16" s="1297"/>
    </row>
    <row r="17" spans="1:37" s="1861" customFormat="1" ht="18" customHeight="1">
      <c r="A17" s="1204" t="s">
        <v>1390</v>
      </c>
      <c r="B17" s="347" t="s">
        <v>1427</v>
      </c>
      <c r="C17" s="24">
        <f ca="1">ROUND(F17*(F43+INDIRECT("'数据-取费表'!S"&amp;$G$1))/10000,0)</f>
        <v>55</v>
      </c>
      <c r="D17" s="347" t="s">
        <v>1428</v>
      </c>
      <c r="E17" s="347" t="s">
        <v>1429</v>
      </c>
      <c r="F17" s="26">
        <f>'数据-取费表'!B35</f>
        <v>200</v>
      </c>
      <c r="G17" s="1857"/>
      <c r="H17" s="1204" t="s">
        <v>1035</v>
      </c>
      <c r="I17" s="347" t="s">
        <v>1430</v>
      </c>
      <c r="J17" s="24">
        <f ca="1">ROUND(IF(项目基本情况!B11="自然人",J5*M17,J18+J19+J20),1)</f>
        <v>13.5</v>
      </c>
      <c r="K17" s="2995" t="s">
        <v>1431</v>
      </c>
      <c r="L17" s="2997"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12</v>
      </c>
      <c r="D18" s="347" t="s">
        <v>1422</v>
      </c>
      <c r="E18" s="347" t="s">
        <v>1423</v>
      </c>
      <c r="F18" s="367">
        <f>'数据-取费表'!B36</f>
        <v>1.4999999999999999E-2</v>
      </c>
      <c r="G18" s="1857"/>
      <c r="H18" s="1204" t="s">
        <v>1034</v>
      </c>
      <c r="I18" s="347" t="s">
        <v>1434</v>
      </c>
      <c r="J18" s="24">
        <f ca="1">ROUND(J5*M18/(1+'数据-取费表'!C42),2)</f>
        <v>0</v>
      </c>
      <c r="K18" s="2997"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919</v>
      </c>
      <c r="D19" s="140" t="s">
        <v>1437</v>
      </c>
      <c r="E19" s="2982"/>
      <c r="F19" s="26"/>
      <c r="G19" s="1854"/>
      <c r="H19" s="1204" t="s">
        <v>1036</v>
      </c>
      <c r="I19" s="347" t="s">
        <v>1438</v>
      </c>
      <c r="J19" s="24">
        <f ca="1">IF(K19="按租金收入计税",ROUND(J5*M19,2),ROUND(C29*M19*0.7,2))</f>
        <v>10.42</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18</v>
      </c>
      <c r="D20" s="369" t="s">
        <v>1441</v>
      </c>
      <c r="E20" s="347" t="s">
        <v>1423</v>
      </c>
      <c r="F20" s="367">
        <f>'数据-取费表'!B37</f>
        <v>0.02</v>
      </c>
      <c r="G20" s="1857"/>
      <c r="H20" s="1204" t="s">
        <v>1389</v>
      </c>
      <c r="I20" s="164" t="s">
        <v>1442</v>
      </c>
      <c r="J20" s="25">
        <f ca="1">ROUND(M20*M21/10000,2)</f>
        <v>3.09</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1028.44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2982"/>
      <c r="F22" s="26"/>
      <c r="G22" s="1854"/>
      <c r="H22" s="1204" t="s">
        <v>1039</v>
      </c>
      <c r="I22" s="347" t="s">
        <v>1450</v>
      </c>
      <c r="J22" s="24">
        <f ca="1">ROUND(J14*M22,1)</f>
        <v>18.600000000000001</v>
      </c>
      <c r="K22" s="2997"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2997"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82"/>
      <c r="F25" s="26"/>
      <c r="G25" s="1854"/>
      <c r="H25" s="1332" t="s">
        <v>1031</v>
      </c>
      <c r="I25" s="1347" t="s">
        <v>1464</v>
      </c>
      <c r="J25" s="355">
        <f ca="1">J5-J16</f>
        <v>-32</v>
      </c>
      <c r="K25" s="1348" t="s">
        <v>1465</v>
      </c>
      <c r="L25" s="1349"/>
      <c r="M25" s="1350"/>
    </row>
    <row r="26" spans="1:37">
      <c r="A26" s="1204" t="s">
        <v>1034</v>
      </c>
      <c r="B26" s="347" t="s">
        <v>1466</v>
      </c>
      <c r="C26" s="24">
        <f ca="1">ROUND((C19+C20)*F26,0)</f>
        <v>187</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1240</v>
      </c>
      <c r="D29" s="1345"/>
      <c r="E29" s="1343"/>
      <c r="F29" s="1346"/>
      <c r="G29" s="1857"/>
      <c r="H29" s="380" t="s">
        <v>1033</v>
      </c>
      <c r="I29" s="381" t="s">
        <v>1480</v>
      </c>
      <c r="J29" s="382">
        <f ca="1">ROUND(J26/(1+F40)^F41,0)</f>
        <v>0</v>
      </c>
      <c r="K29" s="383" t="s">
        <v>1481</v>
      </c>
      <c r="L29" s="384"/>
      <c r="M29" s="385">
        <f ca="1">INDIRECT("'数据-取费表'!k"&amp;$G$1)</f>
        <v>2729.98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67</v>
      </c>
      <c r="D30" s="1340" t="s">
        <v>1426</v>
      </c>
      <c r="E30" s="2998"/>
      <c r="F30" s="1297"/>
      <c r="G30" s="1854"/>
      <c r="H30" s="745"/>
      <c r="I30" s="746"/>
      <c r="J30" s="747"/>
      <c r="K30" s="748"/>
      <c r="L30" s="749"/>
      <c r="M30" s="750"/>
    </row>
    <row r="31" spans="1:37" ht="18" customHeight="1">
      <c r="A31" s="1204" t="s">
        <v>1035</v>
      </c>
      <c r="B31" s="347" t="s">
        <v>1430</v>
      </c>
      <c r="C31" s="24">
        <f ca="1">ROUND(IF(项目基本情况!B11="自然人",C5*F31,C32+C33+C34),1)</f>
        <v>37.5</v>
      </c>
      <c r="D31" s="2995" t="s">
        <v>1431</v>
      </c>
      <c r="E31" s="2997"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23.95</v>
      </c>
      <c r="D32" s="2997"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10.42</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3.09</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1028.44</v>
      </c>
      <c r="G35" s="1854"/>
      <c r="H35" s="745"/>
      <c r="I35" s="1863"/>
      <c r="J35" s="1864"/>
      <c r="K35" s="1865"/>
      <c r="L35" s="1862"/>
      <c r="M35" s="1862"/>
    </row>
    <row r="36" spans="1:18" ht="18" customHeight="1">
      <c r="A36" s="1355" t="s">
        <v>1039</v>
      </c>
      <c r="B36" s="347" t="s">
        <v>1450</v>
      </c>
      <c r="C36" s="24">
        <f ca="1">ROUND(C29*F36,1)</f>
        <v>18.600000000000001</v>
      </c>
      <c r="D36" s="2997"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1.5</v>
      </c>
      <c r="D37" s="2997"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9</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382</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6008</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23.7</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22007</v>
      </c>
      <c r="D43" s="383" t="s">
        <v>1489</v>
      </c>
      <c r="E43" s="384" t="s">
        <v>1490</v>
      </c>
      <c r="F43" s="385">
        <f ca="1">INDIRECT("'数据-取费表'!k"&amp;$G$1)</f>
        <v>2729.98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-6452</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6008</v>
      </c>
      <c r="R47" s="1889" t="s">
        <v>1530</v>
      </c>
    </row>
    <row r="48" spans="1:18" s="1845" customFormat="1" ht="28.5" thickBot="1">
      <c r="A48" s="1363" t="s">
        <v>1135</v>
      </c>
      <c r="B48" s="345" t="s">
        <v>1401</v>
      </c>
      <c r="C48" s="2981">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1240</v>
      </c>
      <c r="R49" s="1889" t="s">
        <v>1530</v>
      </c>
    </row>
    <row r="50" spans="1:18" s="1845" customFormat="1" ht="13.5" thickBot="1">
      <c r="A50" s="1198"/>
      <c r="B50" s="1201"/>
      <c r="C50" s="1371"/>
      <c r="D50" s="1175"/>
      <c r="E50" s="1280" t="s">
        <v>1406</v>
      </c>
      <c r="F50" s="1281">
        <f ca="1">F7</f>
        <v>2729.98</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4121</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6008</v>
      </c>
      <c r="R53" s="1889" t="s">
        <v>1047</v>
      </c>
    </row>
    <row r="54" spans="1:18" s="1845" customFormat="1" ht="13.5" thickBot="1">
      <c r="A54" s="1409"/>
      <c r="B54" s="1828" t="s">
        <v>1388</v>
      </c>
      <c r="C54" s="1181"/>
      <c r="D54" s="1827"/>
      <c r="E54" s="298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86"/>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1017</v>
      </c>
      <c r="D56" s="1917"/>
      <c r="E56" s="1918"/>
      <c r="F56" s="1910"/>
      <c r="I56" s="1919" t="s">
        <v>1555</v>
      </c>
      <c r="J56" s="1920" t="s">
        <v>3060</v>
      </c>
      <c r="K56" s="1890" t="s">
        <v>1556</v>
      </c>
      <c r="L56" s="1893" t="str">
        <f ca="1">IF(L48&lt;J51,"——",L48-J53)</f>
        <v>——</v>
      </c>
      <c r="O56" s="1887" t="s">
        <v>1040</v>
      </c>
      <c r="P56" s="1888" t="s">
        <v>1529</v>
      </c>
      <c r="Q56" s="1889">
        <f ca="1">C40+J29</f>
        <v>6008</v>
      </c>
      <c r="R56" s="1889" t="s">
        <v>1530</v>
      </c>
    </row>
    <row r="57" spans="1:18" s="1845" customFormat="1" ht="24.75" thickBot="1">
      <c r="A57" s="1921"/>
      <c r="B57" s="1172" t="s">
        <v>1479</v>
      </c>
      <c r="C57" s="282">
        <f ca="1">C29</f>
        <v>1240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34</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13.5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10.42</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3.09</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6008</v>
      </c>
      <c r="R62" s="1889" t="s">
        <v>1047</v>
      </c>
    </row>
    <row r="63" spans="1:18" s="1845" customFormat="1" ht="13.5" thickBot="1">
      <c r="A63" s="372"/>
      <c r="B63" s="1178"/>
      <c r="C63" s="29"/>
      <c r="D63" s="1188"/>
      <c r="E63" s="1172" t="s">
        <v>1448</v>
      </c>
      <c r="F63" s="348">
        <f t="shared" ca="1" si="0"/>
        <v>1028.44</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18.600000000000001</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1.5</v>
      </c>
      <c r="D65" s="1186" t="s">
        <v>1455</v>
      </c>
      <c r="E65" s="1172" t="s">
        <v>1423</v>
      </c>
      <c r="F65" s="376">
        <f t="shared" ca="1" si="0"/>
        <v>1.5E-3</v>
      </c>
      <c r="I65" s="1932" t="s">
        <v>1580</v>
      </c>
      <c r="J65" s="1933">
        <v>40</v>
      </c>
      <c r="K65" s="1933">
        <v>30</v>
      </c>
      <c r="L65" s="1933">
        <v>50</v>
      </c>
      <c r="M65" s="1935">
        <v>0.02</v>
      </c>
      <c r="O65" s="1887" t="s">
        <v>1040</v>
      </c>
      <c r="P65" s="1888" t="s">
        <v>1529</v>
      </c>
      <c r="Q65" s="1889">
        <f ca="1">C40+J29</f>
        <v>6008</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-34</v>
      </c>
      <c r="D67" s="1185" t="s">
        <v>1465</v>
      </c>
      <c r="E67" s="1190"/>
      <c r="F67" s="1191"/>
      <c r="O67" s="1897" t="s">
        <v>1042</v>
      </c>
      <c r="P67" s="1888" t="s">
        <v>1563</v>
      </c>
      <c r="Q67" s="1936">
        <f ca="1">L51</f>
        <v>4121</v>
      </c>
      <c r="R67" s="1889" t="s">
        <v>1583</v>
      </c>
    </row>
    <row r="68" spans="1:18" s="1845" customFormat="1" ht="16.5" thickBot="1">
      <c r="A68" s="1169" t="s">
        <v>1032</v>
      </c>
      <c r="B68" s="1170" t="s">
        <v>1486</v>
      </c>
      <c r="C68" s="346">
        <f ca="1">ROUND(C67*(1-((1+F70)/(1+F68))^F69)/(F68-F70),0)</f>
        <v>-444</v>
      </c>
      <c r="D68" s="1187" t="s">
        <v>1470</v>
      </c>
      <c r="E68" s="1172" t="s">
        <v>1471</v>
      </c>
      <c r="F68" s="357">
        <f ca="1">F40</f>
        <v>5.5E-2</v>
      </c>
      <c r="O68" s="1897" t="s">
        <v>1043</v>
      </c>
      <c r="P68" s="1937" t="s">
        <v>1584</v>
      </c>
      <c r="Q68" s="1889">
        <f ca="1">ROUND(Q69-Q70*Q71,0)</f>
        <v>301</v>
      </c>
      <c r="R68" s="1889" t="s">
        <v>1051</v>
      </c>
    </row>
    <row r="69" spans="1:18" s="1845" customFormat="1" ht="13.5" thickBot="1">
      <c r="A69" s="1173"/>
      <c r="B69" s="1174"/>
      <c r="C69" s="351"/>
      <c r="D69" s="1192" t="s">
        <v>1474</v>
      </c>
      <c r="E69" s="1172" t="s">
        <v>1475</v>
      </c>
      <c r="F69" s="379">
        <f ca="1">F41</f>
        <v>23.7</v>
      </c>
      <c r="O69" s="1897" t="s">
        <v>1048</v>
      </c>
      <c r="P69" s="1937" t="s">
        <v>1585</v>
      </c>
      <c r="Q69" s="1889">
        <f ca="1">C39</f>
        <v>382</v>
      </c>
      <c r="R69" s="1889" t="s">
        <v>1530</v>
      </c>
    </row>
    <row r="70" spans="1:18" s="1845" customFormat="1" ht="13.5" thickBot="1">
      <c r="A70" s="1176"/>
      <c r="B70" s="1177"/>
      <c r="C70" s="355"/>
      <c r="D70" s="1188"/>
      <c r="E70" s="1172" t="s">
        <v>1478</v>
      </c>
      <c r="F70" s="1278"/>
      <c r="O70" s="1897" t="s">
        <v>1049</v>
      </c>
      <c r="P70" s="1937" t="s">
        <v>1586</v>
      </c>
      <c r="Q70" s="1889">
        <f ca="1">C13</f>
        <v>1017</v>
      </c>
      <c r="R70" s="1889" t="s">
        <v>1530</v>
      </c>
    </row>
    <row r="71" spans="1:18" s="1845" customFormat="1" ht="13.5" thickBot="1">
      <c r="A71" s="1193" t="s">
        <v>1033</v>
      </c>
      <c r="B71" s="1194" t="s">
        <v>1488</v>
      </c>
      <c r="C71" s="382">
        <f ca="1">ROUND(C68*10000/F71,0)</f>
        <v>-1626</v>
      </c>
      <c r="D71" s="1195" t="s">
        <v>1489</v>
      </c>
      <c r="E71" s="1196" t="s">
        <v>1490</v>
      </c>
      <c r="F71" s="385">
        <f ca="1">F43</f>
        <v>2729.98</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81</v>
      </c>
      <c r="D75" s="1845"/>
      <c r="E75" s="1845"/>
      <c r="F75" s="1845"/>
      <c r="K75" s="1871"/>
      <c r="L75" s="1845"/>
      <c r="O75" s="1887" t="s">
        <v>1046</v>
      </c>
      <c r="P75" s="1888" t="s">
        <v>1550</v>
      </c>
      <c r="Q75" s="1889">
        <f ca="1">Q65+Q66</f>
        <v>6008</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0.78800000000000003</v>
      </c>
    </row>
    <row r="80" spans="1:18">
      <c r="B80" s="386" t="s">
        <v>1512</v>
      </c>
      <c r="C80" s="318">
        <f ca="1">ROUND(C75/C39,3)</f>
        <v>0.21199999999999999</v>
      </c>
    </row>
    <row r="81" spans="2:3">
      <c r="B81" s="314" t="s">
        <v>1513</v>
      </c>
      <c r="C81" s="282"/>
    </row>
    <row r="82" spans="2:3">
      <c r="B82" s="317" t="s">
        <v>1514</v>
      </c>
      <c r="C82" s="319">
        <f ca="1">1-C83</f>
        <v>0.83099999999999996</v>
      </c>
    </row>
    <row r="83" spans="2:3">
      <c r="B83" s="317" t="s">
        <v>1515</v>
      </c>
      <c r="C83" s="318">
        <f ca="1">ROUND(C13/C40,3)</f>
        <v>0.16900000000000001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4" sqref="D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2729.98</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7225</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26465</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1819"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1" t="s">
        <v>2845</v>
      </c>
      <c r="X8" s="3292"/>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3"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3" t="s">
        <v>2869</v>
      </c>
      <c r="X11" s="1617" t="s">
        <v>2870</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3"/>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293"/>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294"/>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5"/>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1804">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3" t="s">
        <v>2913</v>
      </c>
      <c r="D22" s="1813">
        <f>IF(E22=G22,F22,IF(G3&lt;=10,ROUND(F22+(H22-F22)*(G3-E22)/(G22-E22),4),"——"))</f>
        <v>1.0779000000000001</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7225</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945">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945">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00" t="s">
        <v>2936</v>
      </c>
      <c r="B33" s="2867" t="s">
        <v>2937</v>
      </c>
      <c r="C33" s="206">
        <f ca="1">ROUND(D5*C19*C20*C24*F33,0)</f>
        <v>26466</v>
      </c>
      <c r="D33" s="2851">
        <f>'数据-汇总表'!G21</f>
        <v>2729.98</v>
      </c>
      <c r="E33" s="200">
        <f ca="1">ROUND(C33*D33/10000,0)</f>
        <v>7225</v>
      </c>
      <c r="F33" s="200">
        <f>SUMIF(修正!A45:A56,G2,修正!B45:B56)</f>
        <v>0.8</v>
      </c>
      <c r="G33" s="200">
        <f t="shared" ref="G33:G39" ca="1" si="6">ROUND(IF(E2="工业",C33*$M$39,C33*$M$38),0)</f>
        <v>6617</v>
      </c>
      <c r="H33" s="200">
        <f>D33</f>
        <v>2729.98</v>
      </c>
      <c r="I33" s="200">
        <f ca="1">ROUND(G33*H33/10000,0)</f>
        <v>1806</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302"/>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2" t="s">
        <v>2949</v>
      </c>
      <c r="C47" s="1812" t="s">
        <v>2950</v>
      </c>
      <c r="D47" s="1812" t="s">
        <v>2951</v>
      </c>
      <c r="E47" s="819" t="s">
        <v>2952</v>
      </c>
      <c r="F47" s="2885" t="s">
        <v>2953</v>
      </c>
      <c r="G47" s="1812" t="s">
        <v>754</v>
      </c>
      <c r="H47" s="2886" t="s">
        <v>2954</v>
      </c>
      <c r="I47" s="1812"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2"/>
      <c r="C58" s="1812" t="s">
        <v>2950</v>
      </c>
      <c r="D58" s="1812" t="s">
        <v>2951</v>
      </c>
      <c r="E58" s="819" t="s">
        <v>2952</v>
      </c>
      <c r="F58" s="2885" t="s">
        <v>2968</v>
      </c>
      <c r="G58" s="1812" t="s">
        <v>754</v>
      </c>
      <c r="H58" s="2886" t="s">
        <v>2954</v>
      </c>
      <c r="I58" s="1812"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2"/>
      <c r="C69" s="1812" t="s">
        <v>2950</v>
      </c>
      <c r="D69" s="1812" t="s">
        <v>2951</v>
      </c>
      <c r="E69" s="819" t="s">
        <v>2952</v>
      </c>
      <c r="F69" s="2885" t="s">
        <v>2968</v>
      </c>
      <c r="G69" s="1812" t="s">
        <v>754</v>
      </c>
      <c r="H69" s="2886" t="s">
        <v>2954</v>
      </c>
      <c r="I69" s="1812"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2"/>
      <c r="C80" s="1812" t="s">
        <v>2950</v>
      </c>
      <c r="D80" s="1812" t="s">
        <v>2951</v>
      </c>
      <c r="E80" s="819" t="s">
        <v>2952</v>
      </c>
      <c r="F80" s="2885" t="s">
        <v>2968</v>
      </c>
      <c r="G80" s="1812" t="s">
        <v>754</v>
      </c>
      <c r="H80" s="2886" t="s">
        <v>2954</v>
      </c>
      <c r="I80" s="1812"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03" t="s">
        <v>2978</v>
      </c>
      <c r="B90" s="3303"/>
      <c r="C90" s="3303"/>
      <c r="D90" s="3303"/>
      <c r="E90" s="3303"/>
      <c r="F90" s="3303"/>
      <c r="G90" s="3303"/>
      <c r="H90" s="3303"/>
      <c r="I90" s="3303"/>
      <c r="J90" s="3303"/>
      <c r="K90" s="2898"/>
      <c r="L90" s="2898"/>
      <c r="M90" s="2898"/>
      <c r="N90" s="2898"/>
    </row>
    <row r="91" spans="1:37">
      <c r="A91" s="3304" t="s">
        <v>2979</v>
      </c>
      <c r="B91" s="3304" t="s">
        <v>2980</v>
      </c>
      <c r="C91" s="2852" t="s">
        <v>2981</v>
      </c>
      <c r="D91" s="2853"/>
      <c r="E91" s="2853"/>
      <c r="F91" s="2853"/>
      <c r="G91" s="2853"/>
      <c r="H91" s="2853"/>
      <c r="I91" s="2853"/>
      <c r="J91" s="2899"/>
      <c r="K91" s="2900"/>
      <c r="L91" s="2900"/>
      <c r="M91" s="2900"/>
      <c r="N91" s="2900"/>
    </row>
    <row r="92" spans="1:37">
      <c r="A92" s="3304"/>
      <c r="B92" s="3304"/>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9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7"/>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6"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97"/>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97"/>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97"/>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97"/>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97"/>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97"/>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97"/>
      <c r="B108" s="3166"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8"/>
      <c r="B109" s="3167"/>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99" t="s">
        <v>2986</v>
      </c>
      <c r="B110" s="3299"/>
      <c r="C110" s="3299"/>
      <c r="D110" s="3299"/>
      <c r="E110" s="3299"/>
      <c r="F110" s="3299"/>
      <c r="G110" s="3299"/>
      <c r="H110" s="3299"/>
      <c r="I110" s="3299"/>
      <c r="J110" s="3299"/>
      <c r="K110" s="2907"/>
      <c r="L110" s="2907"/>
      <c r="M110" s="2907"/>
      <c r="N110" s="2907"/>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65" priority="5" stopIfTrue="1" operator="notEqual">
      <formula>"——"</formula>
    </cfRule>
  </conditionalFormatting>
  <conditionalFormatting sqref="F59">
    <cfRule type="cellIs" dxfId="64" priority="4" stopIfTrue="1" operator="notEqual">
      <formula>"——"</formula>
    </cfRule>
  </conditionalFormatting>
  <conditionalFormatting sqref="F70">
    <cfRule type="cellIs" dxfId="63" priority="3" stopIfTrue="1" operator="notEqual">
      <formula>"——"</formula>
    </cfRule>
  </conditionalFormatting>
  <conditionalFormatting sqref="F81">
    <cfRule type="cellIs" dxfId="62" priority="2" stopIfTrue="1" operator="notEqual">
      <formula>"——"</formula>
    </cfRule>
  </conditionalFormatting>
  <conditionalFormatting sqref="H48:H56 H59:H67 H70:H78 H81:H88">
    <cfRule type="cellIs" dxfId="6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t="s">
        <v>3064</v>
      </c>
      <c r="C1" s="1623" t="s">
        <v>2536</v>
      </c>
      <c r="D1" s="1624" t="s">
        <v>48</v>
      </c>
      <c r="E1" s="1625"/>
      <c r="F1" s="2590" t="s">
        <v>3096</v>
      </c>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f>IF(C2="——",IF(B37="元/平方米",ROUND(C39*D3/10000,0),ROUND(F3*C39/10000,0)),IF(B37="元/平方米",ROUND(C39*D3/10000,0),ROUND(F3*C39/10000,0))-D2)</f>
        <v>13849</v>
      </c>
      <c r="C2" s="2592" t="s">
        <v>70</v>
      </c>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f>IF(AND(C2="——",B37="元/平方米"),C39,ROUND(B2*10000/D3,0))</f>
        <v>11102</v>
      </c>
      <c r="C3" s="400" t="s">
        <v>2650</v>
      </c>
      <c r="D3" s="399">
        <f>SUMIF('数据-汇总表'!$C19:$C33,D1,'数据-汇总表'!$E19:$E33)</f>
        <v>12474.67</v>
      </c>
      <c r="E3" s="400" t="s">
        <v>2714</v>
      </c>
      <c r="F3" s="399">
        <f>SUMIF('数据-取费表'!A5:A15,D1,'数据-取费表'!AH5:AH15)</f>
        <v>292</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v>43132</v>
      </c>
      <c r="F7" s="413">
        <f>SUMIF(48:48,YEAR(E7)&amp;"-"&amp;MONTH(E7),49:49)</f>
        <v>100</v>
      </c>
      <c r="G7" s="412">
        <v>43132</v>
      </c>
      <c r="H7" s="411">
        <f>SUMIF(48:48,YEAR(G7)&amp;"-"&amp;MONTH(G7),49:49)</f>
        <v>100</v>
      </c>
      <c r="I7" s="412">
        <v>43132</v>
      </c>
      <c r="J7" s="411">
        <f>SUMIF(48:48,YEAR(I7)&amp;"-"&amp;MONTH(I7),49:49)</f>
        <v>100</v>
      </c>
      <c r="K7" s="611"/>
      <c r="L7" s="1135"/>
      <c r="M7" s="1136"/>
      <c r="N7" s="1136"/>
      <c r="O7" s="1136"/>
      <c r="P7" s="3262" t="s">
        <v>2555</v>
      </c>
      <c r="Q7" s="3264"/>
      <c r="R7" s="770" t="s">
        <v>17</v>
      </c>
      <c r="S7" s="771">
        <f t="shared" ref="S7:S14" si="0">F7</f>
        <v>100</v>
      </c>
      <c r="T7" s="770" t="s">
        <v>17</v>
      </c>
      <c r="U7" s="771">
        <f t="shared" ref="U7:U14" si="1">H7</f>
        <v>100</v>
      </c>
      <c r="V7" s="770" t="s">
        <v>17</v>
      </c>
      <c r="W7" s="771">
        <f t="shared" ref="W7:W14" si="2">J7</f>
        <v>100</v>
      </c>
      <c r="X7" s="772"/>
      <c r="Y7" s="3262" t="s">
        <v>2555</v>
      </c>
      <c r="Z7" s="3263"/>
      <c r="AA7" s="773">
        <f>D7/F7</f>
        <v>1</v>
      </c>
      <c r="AB7" s="773">
        <f>D7/H7</f>
        <v>1</v>
      </c>
      <c r="AC7" s="773">
        <f>D7/J7</f>
        <v>1</v>
      </c>
    </row>
    <row r="8" spans="1:29" s="117" customFormat="1" ht="15.75" thickBot="1">
      <c r="A8" s="408" t="s">
        <v>2556</v>
      </c>
      <c r="B8" s="409"/>
      <c r="C8" s="414" t="s">
        <v>2658</v>
      </c>
      <c r="D8" s="411">
        <v>100</v>
      </c>
      <c r="E8" s="2968" t="s">
        <v>3097</v>
      </c>
      <c r="F8" s="413">
        <f>SUMIF(51:51,E8,52:52)-SUMIF(51:51,C8,52:52)+100</f>
        <v>100</v>
      </c>
      <c r="G8" s="2968" t="s">
        <v>3097</v>
      </c>
      <c r="H8" s="411">
        <f>SUMIF(51:51,G8,52:52)-SUMIF(51:51,C8,52:52)+100</f>
        <v>100</v>
      </c>
      <c r="I8" s="2968" t="s">
        <v>3097</v>
      </c>
      <c r="J8" s="411">
        <f>SUMIF(51:51,I8,52:52)-SUMIF(51:51,C8,52:52)+100</f>
        <v>100</v>
      </c>
      <c r="K8" s="611"/>
      <c r="L8" s="1135"/>
      <c r="M8" s="1136"/>
      <c r="N8" s="1136"/>
      <c r="O8" s="1136"/>
      <c r="P8" s="3262" t="s">
        <v>2558</v>
      </c>
      <c r="Q8" s="3263"/>
      <c r="R8" s="770" t="s">
        <v>17</v>
      </c>
      <c r="S8" s="771">
        <f t="shared" si="0"/>
        <v>100</v>
      </c>
      <c r="T8" s="770" t="s">
        <v>17</v>
      </c>
      <c r="U8" s="771">
        <f t="shared" si="1"/>
        <v>100</v>
      </c>
      <c r="V8" s="770" t="s">
        <v>17</v>
      </c>
      <c r="W8" s="771">
        <f t="shared" si="2"/>
        <v>100</v>
      </c>
      <c r="X8" s="772"/>
      <c r="Y8" s="3262" t="s">
        <v>2558</v>
      </c>
      <c r="Z8" s="3263"/>
      <c r="AA8" s="773">
        <f t="shared" ref="AA8:AA36" si="3">D8/F8</f>
        <v>1</v>
      </c>
      <c r="AB8" s="773">
        <f t="shared" ref="AB8:AB36" si="4">D8/H8</f>
        <v>1</v>
      </c>
      <c r="AC8" s="773">
        <f t="shared" ref="AC8:AC36" si="5">D8/J8</f>
        <v>1</v>
      </c>
    </row>
    <row r="9" spans="1:29" s="117" customFormat="1">
      <c r="A9" s="68" t="s">
        <v>2559</v>
      </c>
      <c r="B9" s="640" t="s">
        <v>2560</v>
      </c>
      <c r="C9" s="2969" t="s">
        <v>3098</v>
      </c>
      <c r="D9" s="135">
        <v>100</v>
      </c>
      <c r="E9" s="2970" t="s">
        <v>3098</v>
      </c>
      <c r="F9" s="135">
        <f>SUMIF(53:53,E9,54:54)-SUMIF(53:53,C9,54:54)+100</f>
        <v>100</v>
      </c>
      <c r="G9" s="2971" t="s">
        <v>3098</v>
      </c>
      <c r="H9" s="135">
        <f>SUMIF(53:53,G9,54:54)-SUMIF(53:53,C9,54:54)+100</f>
        <v>100</v>
      </c>
      <c r="I9" s="2971" t="s">
        <v>3098</v>
      </c>
      <c r="J9" s="135">
        <f>SUMIF(53:53,I9,54:54)-SUMIF(53:53,C9,54:54)+100</f>
        <v>100</v>
      </c>
      <c r="K9" s="611"/>
      <c r="L9" s="1135"/>
      <c r="M9" s="1136"/>
      <c r="N9" s="1136"/>
      <c r="O9" s="1136"/>
      <c r="P9" s="3226" t="s">
        <v>2561</v>
      </c>
      <c r="Q9" s="1798" t="str">
        <f t="shared" ref="Q9:Q14" si="6">B9</f>
        <v>用途</v>
      </c>
      <c r="R9" s="770" t="s">
        <v>17</v>
      </c>
      <c r="S9" s="771">
        <f t="shared" si="0"/>
        <v>100</v>
      </c>
      <c r="T9" s="770" t="s">
        <v>17</v>
      </c>
      <c r="U9" s="771">
        <f t="shared" si="1"/>
        <v>100</v>
      </c>
      <c r="V9" s="770" t="s">
        <v>17</v>
      </c>
      <c r="W9" s="771">
        <f t="shared" si="2"/>
        <v>100</v>
      </c>
      <c r="X9" s="772"/>
      <c r="Y9" s="3051" t="s">
        <v>2562</v>
      </c>
      <c r="Z9" s="55" t="str">
        <f t="shared" ref="Z9:Z14" si="7">Q9</f>
        <v>用途</v>
      </c>
      <c r="AA9" s="773">
        <f t="shared" si="3"/>
        <v>1</v>
      </c>
      <c r="AB9" s="773">
        <f t="shared" si="4"/>
        <v>1</v>
      </c>
      <c r="AC9" s="773">
        <f t="shared" si="5"/>
        <v>1</v>
      </c>
    </row>
    <row r="10" spans="1:29" s="427" customFormat="1" ht="27">
      <c r="A10" s="641"/>
      <c r="B10" s="642" t="s">
        <v>2563</v>
      </c>
      <c r="C10" s="423" t="s">
        <v>3099</v>
      </c>
      <c r="D10" s="136">
        <v>100</v>
      </c>
      <c r="E10" s="423" t="s">
        <v>3099</v>
      </c>
      <c r="F10" s="136">
        <f>SUMIF(55:55,E10,56:56)-SUMIF(55:55,C10,56:56)+100</f>
        <v>100</v>
      </c>
      <c r="G10" s="424" t="s">
        <v>3099</v>
      </c>
      <c r="H10" s="136">
        <f>SUMIF(55:55,G10,56:56)-SUMIF(55:55,C10,56:56)+100</f>
        <v>100</v>
      </c>
      <c r="I10" s="423" t="s">
        <v>3099</v>
      </c>
      <c r="J10" s="136">
        <f>SUMIF(55:55,I10,56:56)-SUMIF(55:55,C10,56:56)+100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6"/>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8" t="s">
        <v>2566</v>
      </c>
      <c r="Q14" s="1813" t="str">
        <f t="shared" si="6"/>
        <v>交通便捷度</v>
      </c>
      <c r="R14" s="774" t="s">
        <v>17</v>
      </c>
      <c r="S14" s="775">
        <f t="shared" si="0"/>
        <v>100</v>
      </c>
      <c r="T14" s="774" t="s">
        <v>17</v>
      </c>
      <c r="U14" s="775">
        <f t="shared" si="1"/>
        <v>100</v>
      </c>
      <c r="V14" s="774" t="s">
        <v>17</v>
      </c>
      <c r="W14" s="775">
        <f t="shared" si="2"/>
        <v>100</v>
      </c>
      <c r="X14" s="1816"/>
      <c r="Y14" s="3228" t="s">
        <v>2566</v>
      </c>
      <c r="Z14" s="1817" t="str">
        <f t="shared" si="7"/>
        <v>交通便捷度</v>
      </c>
      <c r="AA14" s="1814">
        <f t="shared" si="3"/>
        <v>1</v>
      </c>
      <c r="AB14" s="1814">
        <f t="shared" si="4"/>
        <v>1</v>
      </c>
      <c r="AC14" s="1814">
        <f t="shared" si="5"/>
        <v>1</v>
      </c>
    </row>
    <row r="15" spans="1:29" ht="15">
      <c r="A15" s="404"/>
      <c r="B15" s="647"/>
      <c r="C15" s="447" t="s">
        <v>3100</v>
      </c>
      <c r="D15" s="448"/>
      <c r="E15" s="2972" t="s">
        <v>3103</v>
      </c>
      <c r="F15" s="449"/>
      <c r="G15" s="2972" t="s">
        <v>3103</v>
      </c>
      <c r="H15" s="450"/>
      <c r="I15" s="2972" t="s">
        <v>3103</v>
      </c>
      <c r="J15" s="448"/>
      <c r="K15" s="615"/>
      <c r="L15" s="1143"/>
      <c r="M15" s="1134"/>
      <c r="N15" s="1134"/>
      <c r="O15" s="1134"/>
      <c r="P15" s="3229"/>
      <c r="Q15" s="1813"/>
      <c r="R15" s="774"/>
      <c r="S15" s="775"/>
      <c r="T15" s="774"/>
      <c r="U15" s="775"/>
      <c r="V15" s="774"/>
      <c r="W15" s="775"/>
      <c r="X15" s="1816"/>
      <c r="Y15" s="3229"/>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04"/>
      <c r="B17" s="632"/>
      <c r="C17" s="2614" t="s">
        <v>3101</v>
      </c>
      <c r="D17" s="448"/>
      <c r="E17" s="2972" t="s">
        <v>3104</v>
      </c>
      <c r="F17" s="449"/>
      <c r="G17" s="2972" t="s">
        <v>3104</v>
      </c>
      <c r="H17" s="448"/>
      <c r="I17" s="2972" t="s">
        <v>3104</v>
      </c>
      <c r="J17" s="448"/>
      <c r="K17" s="615"/>
      <c r="L17" s="1143"/>
      <c r="M17" s="1134"/>
      <c r="N17" s="1134"/>
      <c r="O17" s="1134"/>
      <c r="P17" s="3229"/>
      <c r="Q17" s="1813"/>
      <c r="R17" s="774"/>
      <c r="S17" s="775"/>
      <c r="T17" s="774"/>
      <c r="U17" s="775"/>
      <c r="V17" s="774"/>
      <c r="W17" s="775"/>
      <c r="X17" s="1816"/>
      <c r="Y17" s="3229"/>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04"/>
      <c r="B19" s="633"/>
      <c r="C19" s="2614" t="s">
        <v>3102</v>
      </c>
      <c r="D19" s="450"/>
      <c r="E19" s="2973" t="s">
        <v>3105</v>
      </c>
      <c r="F19" s="453"/>
      <c r="G19" s="2973" t="s">
        <v>3105</v>
      </c>
      <c r="H19" s="448"/>
      <c r="I19" s="2972" t="s">
        <v>3105</v>
      </c>
      <c r="J19" s="448"/>
      <c r="K19" s="1386"/>
      <c r="L19" s="1143"/>
      <c r="M19" s="1134"/>
      <c r="N19" s="1134"/>
      <c r="O19" s="1134"/>
      <c r="P19" s="3229"/>
      <c r="Q19" s="1813"/>
      <c r="R19" s="774"/>
      <c r="S19" s="775"/>
      <c r="T19" s="774"/>
      <c r="U19" s="775"/>
      <c r="V19" s="774"/>
      <c r="W19" s="775"/>
      <c r="X19" s="1816"/>
      <c r="Y19" s="3229"/>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04"/>
      <c r="B21" s="632"/>
      <c r="C21" s="447" t="s">
        <v>3100</v>
      </c>
      <c r="D21" s="448"/>
      <c r="E21" s="2972" t="s">
        <v>3103</v>
      </c>
      <c r="F21" s="449"/>
      <c r="G21" s="2972" t="s">
        <v>3103</v>
      </c>
      <c r="H21" s="448"/>
      <c r="I21" s="2972" t="s">
        <v>3103</v>
      </c>
      <c r="J21" s="448"/>
      <c r="K21" s="615"/>
      <c r="L21" s="1143"/>
      <c r="M21" s="1134"/>
      <c r="N21" s="1134"/>
      <c r="O21" s="1134"/>
      <c r="P21" s="3229"/>
      <c r="Q21" s="1813"/>
      <c r="R21" s="774"/>
      <c r="S21" s="775"/>
      <c r="T21" s="774"/>
      <c r="U21" s="775"/>
      <c r="V21" s="774"/>
      <c r="W21" s="775"/>
      <c r="X21" s="1816"/>
      <c r="Y21" s="3229"/>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9"/>
      <c r="Q24" s="1813">
        <f t="shared" ref="Q24:Q36"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15">
      <c r="A26" s="652" t="s">
        <v>2569</v>
      </c>
      <c r="B26" s="70" t="s">
        <v>2718</v>
      </c>
      <c r="C26" s="2700" t="str">
        <f>B1</f>
        <v>车库</v>
      </c>
      <c r="D26" s="448">
        <v>100</v>
      </c>
      <c r="E26" s="2972" t="s">
        <v>3098</v>
      </c>
      <c r="F26" s="449">
        <f>SUMIF(79:79,E26,80:80)-SUMIF(79:79,C26,80:80)+100</f>
        <v>100</v>
      </c>
      <c r="G26" s="2972" t="s">
        <v>3098</v>
      </c>
      <c r="H26" s="448">
        <f>SUMIF(79:79,G26,80:80)-SUMIF(79:79,C26,80:80)+100</f>
        <v>100</v>
      </c>
      <c r="I26" s="2972" t="s">
        <v>3098</v>
      </c>
      <c r="J26" s="448">
        <f>SUMIF(79:79,I26,80:80)-SUMIF(79:79,C26,80:80)+100</f>
        <v>100</v>
      </c>
      <c r="K26" s="612"/>
      <c r="L26" s="1143"/>
      <c r="M26" s="1134"/>
      <c r="N26" s="1134"/>
      <c r="O26" s="1134"/>
      <c r="P26" s="3284"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3"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4">
        <f t="shared" si="3"/>
        <v>1</v>
      </c>
      <c r="AB27" s="1814">
        <f t="shared" si="4"/>
        <v>1</v>
      </c>
      <c r="AC27" s="1814">
        <f t="shared" si="5"/>
        <v>1</v>
      </c>
    </row>
    <row r="28" spans="1:29" ht="15">
      <c r="A28" s="656"/>
      <c r="B28" s="654" t="s">
        <v>2720</v>
      </c>
      <c r="C28" s="2974" t="s">
        <v>3106</v>
      </c>
      <c r="D28" s="435">
        <v>100</v>
      </c>
      <c r="E28" s="2974" t="s">
        <v>3106</v>
      </c>
      <c r="F28" s="461">
        <f>SUMIF(83:83,E28,84:84)-SUMIF(83:83,C28,84:84)+100</f>
        <v>100</v>
      </c>
      <c r="G28" s="2974" t="s">
        <v>3106</v>
      </c>
      <c r="H28" s="435">
        <f>SUMIF(83:83,G28,84:84)-SUMIF(83:83,C28,84:84)+100</f>
        <v>100</v>
      </c>
      <c r="I28" s="2974" t="s">
        <v>3106</v>
      </c>
      <c r="J28" s="435">
        <f>SUMIF(83:83,I28,84:84)-SUMIF(83:83,C28,84:84)+100</f>
        <v>100</v>
      </c>
      <c r="K28" s="612"/>
      <c r="L28" s="1143"/>
      <c r="M28" s="1134"/>
      <c r="N28" s="1134"/>
      <c r="O28" s="1134"/>
      <c r="P28" s="3233"/>
      <c r="Q28" s="1813" t="str">
        <f t="shared" si="11"/>
        <v>公共部分装修</v>
      </c>
      <c r="R28" s="774" t="s">
        <v>17</v>
      </c>
      <c r="S28" s="775">
        <f t="shared" si="12"/>
        <v>100</v>
      </c>
      <c r="T28" s="774" t="s">
        <v>17</v>
      </c>
      <c r="U28" s="775">
        <f t="shared" si="13"/>
        <v>100</v>
      </c>
      <c r="V28" s="774" t="s">
        <v>17</v>
      </c>
      <c r="W28" s="775">
        <f t="shared" si="14"/>
        <v>100</v>
      </c>
      <c r="X28" s="1816"/>
      <c r="Y28" s="3233"/>
      <c r="Z28" s="1817" t="str">
        <f t="shared" si="15"/>
        <v>公共部分装修</v>
      </c>
      <c r="AA28" s="1814">
        <f t="shared" si="3"/>
        <v>1</v>
      </c>
      <c r="AB28" s="1814">
        <f t="shared" si="4"/>
        <v>1</v>
      </c>
      <c r="AC28" s="1814">
        <f t="shared" si="5"/>
        <v>1</v>
      </c>
    </row>
    <row r="29" spans="1:29" ht="15">
      <c r="A29" s="656"/>
      <c r="B29" s="654" t="s">
        <v>2721</v>
      </c>
      <c r="C29" s="474">
        <v>0.82</v>
      </c>
      <c r="D29" s="435">
        <v>100</v>
      </c>
      <c r="E29" s="474">
        <v>0.78</v>
      </c>
      <c r="F29" s="461">
        <f>LOOKUP(E29,86:86,87:87)-LOOKUP(C29,86:86,87:87)+100</f>
        <v>99</v>
      </c>
      <c r="G29" s="474">
        <v>0.92</v>
      </c>
      <c r="H29" s="461">
        <f>LOOKUP(G29,86:86,87:87)-LOOKUP(C29,86:86,87:87)+100</f>
        <v>101</v>
      </c>
      <c r="I29" s="474">
        <v>0.87</v>
      </c>
      <c r="J29" s="435">
        <f>LOOKUP(I29,86:86,87:87)-LOOKUP(C29,86:86,87:87)+100</f>
        <v>100</v>
      </c>
      <c r="K29" s="612">
        <v>1</v>
      </c>
      <c r="L29" s="1143"/>
      <c r="M29" s="1134"/>
      <c r="N29" s="1134"/>
      <c r="O29" s="1134"/>
      <c r="P29" s="3233"/>
      <c r="Q29" s="1813" t="str">
        <f t="shared" si="11"/>
        <v>成新率</v>
      </c>
      <c r="R29" s="774" t="s">
        <v>17</v>
      </c>
      <c r="S29" s="775">
        <f t="shared" si="12"/>
        <v>99</v>
      </c>
      <c r="T29" s="774" t="s">
        <v>17</v>
      </c>
      <c r="U29" s="775">
        <f t="shared" si="13"/>
        <v>101</v>
      </c>
      <c r="V29" s="774" t="s">
        <v>17</v>
      </c>
      <c r="W29" s="775">
        <f t="shared" si="14"/>
        <v>100</v>
      </c>
      <c r="X29" s="1816"/>
      <c r="Y29" s="3233"/>
      <c r="Z29" s="1817" t="str">
        <f t="shared" si="15"/>
        <v>成新率</v>
      </c>
      <c r="AA29" s="1814">
        <f t="shared" si="3"/>
        <v>1.0101010101010102</v>
      </c>
      <c r="AB29" s="1814">
        <f t="shared" si="4"/>
        <v>0.99009900990099009</v>
      </c>
      <c r="AC29" s="1814">
        <f t="shared" si="5"/>
        <v>1</v>
      </c>
    </row>
    <row r="30" spans="1:29" ht="15">
      <c r="A30" s="656"/>
      <c r="B30" s="654" t="s">
        <v>2722</v>
      </c>
      <c r="C30" s="2975" t="s">
        <v>3107</v>
      </c>
      <c r="D30" s="435">
        <v>100</v>
      </c>
      <c r="E30" s="2975" t="s">
        <v>3107</v>
      </c>
      <c r="F30" s="461">
        <f>SUMIF(88:88,E30,89:89)-SUMIF(88:88,C30,89:89)+100</f>
        <v>100</v>
      </c>
      <c r="G30" s="2975" t="s">
        <v>3107</v>
      </c>
      <c r="H30" s="435">
        <f>SUMIF(88:88,E30,89:89)-SUMIF(88:88,C30,89:89)+100</f>
        <v>100</v>
      </c>
      <c r="I30" s="2975" t="s">
        <v>3107</v>
      </c>
      <c r="J30" s="435">
        <f>SUMIF(88:88,E30,89:89)-SUMIF(88:88,C30,89:89)+100</f>
        <v>100</v>
      </c>
      <c r="K30" s="612"/>
      <c r="L30" s="1143"/>
      <c r="M30" s="1134"/>
      <c r="N30" s="1134"/>
      <c r="O30" s="1134"/>
      <c r="P30" s="3233"/>
      <c r="Q30" s="1813" t="str">
        <f t="shared" si="11"/>
        <v>物业等级</v>
      </c>
      <c r="R30" s="774" t="s">
        <v>17</v>
      </c>
      <c r="S30" s="775">
        <f t="shared" si="12"/>
        <v>100</v>
      </c>
      <c r="T30" s="774" t="s">
        <v>17</v>
      </c>
      <c r="U30" s="775">
        <f t="shared" si="13"/>
        <v>100</v>
      </c>
      <c r="V30" s="774" t="s">
        <v>17</v>
      </c>
      <c r="W30" s="775">
        <f t="shared" si="14"/>
        <v>100</v>
      </c>
      <c r="X30" s="1816"/>
      <c r="Y30" s="3233"/>
      <c r="Z30" s="1817" t="str">
        <f t="shared" si="15"/>
        <v>物业等级</v>
      </c>
      <c r="AA30" s="1814">
        <f t="shared" si="3"/>
        <v>1</v>
      </c>
      <c r="AB30" s="1814">
        <f t="shared" si="4"/>
        <v>1</v>
      </c>
      <c r="AC30" s="1814">
        <f t="shared" si="5"/>
        <v>1</v>
      </c>
    </row>
    <row r="31" spans="1:29" s="117" customFormat="1" ht="15">
      <c r="A31" s="658"/>
      <c r="B31" s="654" t="s">
        <v>2723</v>
      </c>
      <c r="C31" s="469">
        <v>42</v>
      </c>
      <c r="D31" s="136">
        <v>100</v>
      </c>
      <c r="E31" s="469">
        <v>43</v>
      </c>
      <c r="F31" s="461">
        <f>LOOKUP(E31,91:91,92:92)-LOOKUP(C31,91:91,92:92)+100</f>
        <v>100</v>
      </c>
      <c r="G31" s="469">
        <v>38</v>
      </c>
      <c r="H31" s="435">
        <f>LOOKUP(G31,91:91,92:92)-LOOKUP(C31,91:91,92:92)+100</f>
        <v>98</v>
      </c>
      <c r="I31" s="469">
        <v>53</v>
      </c>
      <c r="J31" s="435">
        <f>LOOKUP(I31,91:91,92:92)-LOOKUP(C31,91:91,92:92)+100</f>
        <v>102</v>
      </c>
      <c r="K31" s="612">
        <v>2</v>
      </c>
      <c r="L31" s="1135"/>
      <c r="M31" s="1136"/>
      <c r="N31" s="1136"/>
      <c r="O31" s="1136"/>
      <c r="P31" s="3233"/>
      <c r="Q31" s="1798" t="str">
        <f t="shared" si="11"/>
        <v>停车位面积</v>
      </c>
      <c r="R31" s="770" t="s">
        <v>17</v>
      </c>
      <c r="S31" s="771">
        <f t="shared" si="12"/>
        <v>100</v>
      </c>
      <c r="T31" s="770" t="s">
        <v>17</v>
      </c>
      <c r="U31" s="771">
        <f t="shared" si="13"/>
        <v>98</v>
      </c>
      <c r="V31" s="770" t="s">
        <v>17</v>
      </c>
      <c r="W31" s="771">
        <f t="shared" si="14"/>
        <v>102</v>
      </c>
      <c r="X31" s="772"/>
      <c r="Y31" s="3233"/>
      <c r="Z31" s="55" t="str">
        <f t="shared" si="15"/>
        <v>停车位面积</v>
      </c>
      <c r="AA31" s="773">
        <f t="shared" si="3"/>
        <v>1</v>
      </c>
      <c r="AB31" s="773">
        <f t="shared" si="4"/>
        <v>1.0204081632653061</v>
      </c>
      <c r="AC31" s="773">
        <f t="shared" si="5"/>
        <v>0.98039215686274506</v>
      </c>
    </row>
    <row r="32" spans="1:29" ht="15">
      <c r="A32" s="656"/>
      <c r="B32" s="654" t="s">
        <v>2724</v>
      </c>
      <c r="C32" s="2974" t="s">
        <v>3108</v>
      </c>
      <c r="D32" s="435">
        <v>100</v>
      </c>
      <c r="E32" s="2974" t="s">
        <v>3109</v>
      </c>
      <c r="F32" s="461">
        <f>SUMIF(93:93,E32,94:94)-SUMIF(93:93,C32,94:94)+100</f>
        <v>98</v>
      </c>
      <c r="G32" s="2974" t="s">
        <v>3110</v>
      </c>
      <c r="H32" s="435">
        <f>SUMIF(93:93,G32,94:94)-SUMIF(93:93,C32,94:94)+100</f>
        <v>96</v>
      </c>
      <c r="I32" s="2974" t="s">
        <v>3111</v>
      </c>
      <c r="J32" s="435">
        <f>SUMIF(93:93,I32,94:94)-SUMIF(93:93,C32,94:94)+100</f>
        <v>100</v>
      </c>
      <c r="K32" s="612">
        <v>2</v>
      </c>
      <c r="L32" s="1143"/>
      <c r="M32" s="1134"/>
      <c r="N32" s="1134"/>
      <c r="O32" s="1134"/>
      <c r="P32" s="3233" t="s">
        <v>2571</v>
      </c>
      <c r="Q32" s="1813" t="str">
        <f t="shared" si="11"/>
        <v>车位类型</v>
      </c>
      <c r="R32" s="774" t="s">
        <v>17</v>
      </c>
      <c r="S32" s="775">
        <f t="shared" si="12"/>
        <v>98</v>
      </c>
      <c r="T32" s="774" t="s">
        <v>17</v>
      </c>
      <c r="U32" s="775">
        <f t="shared" si="13"/>
        <v>96</v>
      </c>
      <c r="V32" s="774" t="s">
        <v>17</v>
      </c>
      <c r="W32" s="775">
        <f t="shared" si="14"/>
        <v>100</v>
      </c>
      <c r="X32" s="1816"/>
      <c r="Y32" s="3233" t="s">
        <v>2571</v>
      </c>
      <c r="Z32" s="1817" t="str">
        <f t="shared" si="15"/>
        <v>车位类型</v>
      </c>
      <c r="AA32" s="1814">
        <f t="shared" si="3"/>
        <v>1.0204081632653061</v>
      </c>
      <c r="AB32" s="1814">
        <f t="shared" si="4"/>
        <v>1.0416666666666667</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3"/>
      <c r="Q33" s="1813" t="str">
        <f t="shared" si="11"/>
        <v>是否直接入户</v>
      </c>
      <c r="R33" s="774" t="s">
        <v>17</v>
      </c>
      <c r="S33" s="775">
        <f t="shared" si="12"/>
        <v>100</v>
      </c>
      <c r="T33" s="774" t="s">
        <v>17</v>
      </c>
      <c r="U33" s="775">
        <f t="shared" si="13"/>
        <v>100</v>
      </c>
      <c r="V33" s="774" t="s">
        <v>17</v>
      </c>
      <c r="W33" s="775">
        <f t="shared" si="14"/>
        <v>100</v>
      </c>
      <c r="X33" s="1816"/>
      <c r="Y33" s="323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3"/>
      <c r="Q36" s="1813">
        <f t="shared" si="11"/>
        <v>111</v>
      </c>
      <c r="R36" s="774" t="s">
        <v>17</v>
      </c>
      <c r="S36" s="775">
        <f t="shared" si="12"/>
        <v>100</v>
      </c>
      <c r="T36" s="774" t="s">
        <v>17</v>
      </c>
      <c r="U36" s="775">
        <f t="shared" si="13"/>
        <v>100</v>
      </c>
      <c r="V36" s="774" t="s">
        <v>17</v>
      </c>
      <c r="W36" s="775">
        <f t="shared" si="14"/>
        <v>100</v>
      </c>
      <c r="X36" s="1816"/>
      <c r="Y36" s="3233"/>
      <c r="Z36" s="1817">
        <f t="shared" si="15"/>
        <v>111</v>
      </c>
      <c r="AA36" s="1814">
        <f t="shared" si="3"/>
        <v>1</v>
      </c>
      <c r="AB36" s="1814">
        <f t="shared" si="4"/>
        <v>1</v>
      </c>
      <c r="AC36" s="1814">
        <f t="shared" si="5"/>
        <v>1</v>
      </c>
    </row>
    <row r="37" spans="1:29" ht="15">
      <c r="A37" s="479" t="s">
        <v>2726</v>
      </c>
      <c r="B37" s="2701" t="s">
        <v>2727</v>
      </c>
      <c r="C37" s="1410" t="s">
        <v>1</v>
      </c>
      <c r="D37" s="1411"/>
      <c r="E37" s="1412">
        <f>ROUND(480000*L37,0)</f>
        <v>456000</v>
      </c>
      <c r="F37" s="1413"/>
      <c r="G37" s="1414">
        <f>ROUND(450000*L37,0)</f>
        <v>427500</v>
      </c>
      <c r="H37" s="1415"/>
      <c r="I37" s="1412">
        <f>ROUND(540000*L37,0)</f>
        <v>513000</v>
      </c>
      <c r="J37" s="1415"/>
      <c r="K37" s="619"/>
      <c r="L37" s="1146">
        <v>0.95</v>
      </c>
      <c r="M37" s="1147"/>
      <c r="N37" s="1134"/>
      <c r="O37" s="1147"/>
      <c r="P37" s="3226" t="str">
        <f>A37</f>
        <v>成交单价</v>
      </c>
      <c r="Q37" s="3226"/>
      <c r="R37" s="3227">
        <f>E37</f>
        <v>456000</v>
      </c>
      <c r="S37" s="3227"/>
      <c r="T37" s="3227">
        <f>G37</f>
        <v>427500</v>
      </c>
      <c r="U37" s="3227"/>
      <c r="V37" s="3227">
        <f>I37</f>
        <v>513000</v>
      </c>
      <c r="W37" s="3227"/>
      <c r="X37" s="759"/>
      <c r="Y37" s="781"/>
      <c r="Z37" s="759"/>
      <c r="AA37" s="759"/>
      <c r="AB37" s="759"/>
      <c r="AC37" s="759"/>
    </row>
    <row r="38" spans="1:29" ht="15.75" thickBot="1">
      <c r="A38" s="486" t="s">
        <v>2728</v>
      </c>
      <c r="B38" s="487" t="str">
        <f>B37</f>
        <v>元/车位</v>
      </c>
      <c r="C38" s="1416">
        <f>R39</f>
        <v>474283</v>
      </c>
      <c r="D38" s="1417"/>
      <c r="E38" s="1418">
        <f>R38</f>
        <v>470006</v>
      </c>
      <c r="F38" s="1418"/>
      <c r="G38" s="1416">
        <f>T38</f>
        <v>449901</v>
      </c>
      <c r="H38" s="1417"/>
      <c r="I38" s="1418">
        <f>V38</f>
        <v>502941</v>
      </c>
      <c r="J38" s="1417"/>
      <c r="K38" s="620"/>
      <c r="L38" s="1146"/>
      <c r="M38" s="1147"/>
      <c r="N38" s="1147"/>
      <c r="O38" s="1147"/>
      <c r="P38" s="3226" t="str">
        <f>A38</f>
        <v>比较价值（元/平方米）</v>
      </c>
      <c r="Q38" s="3226"/>
      <c r="R38" s="3227">
        <f>IF(F1="售价",ROUND(PRODUCT(R37,AA7:AA36),0),ROUND(PRODUCT(R37,AA7:AA36),1))</f>
        <v>470006</v>
      </c>
      <c r="S38" s="3227"/>
      <c r="T38" s="3227">
        <f>IF(F1="售价",ROUND(PRODUCT(T37,AB7:AB36),0),ROUND(PRODUCT(T37,AB7:AB36),1))</f>
        <v>449901</v>
      </c>
      <c r="U38" s="3227"/>
      <c r="V38" s="3227">
        <f>IF(F1="售价",ROUND(PRODUCT(V37,AC7:AC36),0),ROUND(PRODUCT(V37,AC7:AC36),1))</f>
        <v>502941</v>
      </c>
      <c r="W38" s="3227"/>
      <c r="X38" s="759"/>
      <c r="Y38" s="759"/>
      <c r="Z38" s="759"/>
      <c r="AA38" s="759"/>
      <c r="AB38" s="759"/>
      <c r="AC38" s="759"/>
    </row>
    <row r="39" spans="1:29" ht="15.75" thickBot="1">
      <c r="A39" s="492" t="s">
        <v>2729</v>
      </c>
      <c r="B39" s="493"/>
      <c r="C39" s="1420">
        <f>R39</f>
        <v>474283</v>
      </c>
      <c r="D39" s="1420"/>
      <c r="E39" s="1420"/>
      <c r="F39" s="1420"/>
      <c r="G39" s="1420"/>
      <c r="H39" s="1420"/>
      <c r="I39" s="1420"/>
      <c r="J39" s="1420"/>
      <c r="K39" s="621"/>
      <c r="L39" s="1146"/>
      <c r="M39" s="1147"/>
      <c r="N39" s="1147"/>
      <c r="O39" s="1147"/>
      <c r="P39" s="3223" t="str">
        <f>A39</f>
        <v>估价对象XX用房的比较价值（楼面单价，元/平方米）</v>
      </c>
      <c r="Q39" s="3224"/>
      <c r="R39" s="3225">
        <f>IF(F1="售价",ROUND(AVERAGE(R38:V38),0),ROUND(AVERAGE(R38:V38),1))</f>
        <v>474283</v>
      </c>
      <c r="S39" s="3225"/>
      <c r="T39" s="3225"/>
      <c r="U39" s="3225"/>
      <c r="V39" s="3225"/>
      <c r="W39" s="322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f>IF(E37&lt;E38,E38/E37-1,E37/E38-1)</f>
        <v>3.0714912280701778E-2</v>
      </c>
      <c r="F42" s="500" t="str">
        <f>IF(OR(E42&gt;=0.3,E42&lt;=-0.3),"超过30%","")</f>
        <v/>
      </c>
      <c r="G42" s="499">
        <f>IF(G37&lt;G38,G38/G37-1,G37/G38-1)</f>
        <v>5.2400000000000002E-2</v>
      </c>
      <c r="H42" s="500" t="str">
        <f>IF(OR(G42&gt;=0.3,G42&lt;=-0.3),"超过30%","")</f>
        <v/>
      </c>
      <c r="I42" s="499">
        <f>IF(I37&lt;I38,I38/I37-1,I37/I38-1)</f>
        <v>2.0000357894862431E-2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f>IF(E38&lt;G38,G38/E38-1,E38/G38-1)</f>
        <v>4.4687609051769162E-2</v>
      </c>
      <c r="F43" s="500" t="str">
        <f>IF(OR(E43&gt;=0.2,E43&lt;=-0.2),"超过20%","")</f>
        <v/>
      </c>
      <c r="G43" s="499">
        <f>IF(G38&lt;I38,I38/G38-1,G38/I38-1)</f>
        <v>0.11789260303933524</v>
      </c>
      <c r="H43" s="500" t="str">
        <f>IF(OR(G43&gt;=0.2,G43&lt;=-0.2),"超过20%","")</f>
        <v/>
      </c>
      <c r="I43" s="499">
        <f>IF(I38&lt;E38,E38/I38-1,I38/E38-1)</f>
        <v>7.0073573528848465E-2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f>IF(E37&lt;G37,G37/E37-1,E37/G37-1)</f>
        <v>6.6666666666666652E-2</v>
      </c>
      <c r="F44" s="500" t="str">
        <f>IF(OR(E44&gt;=0.3,E44&lt;=-0.3),"超过30%","")</f>
        <v/>
      </c>
      <c r="G44" s="499">
        <f>IF(G37&lt;I37,I37/G37-1,G37/I37-1)</f>
        <v>0.19999999999999996</v>
      </c>
      <c r="H44" s="500" t="str">
        <f>IF(OR(G44&gt;=0.3,G44&lt;=-0.3),"超过30%","")</f>
        <v/>
      </c>
      <c r="I44" s="499">
        <f>IF(I37&lt;E37,E37/I37-1,I37/E37-1)</f>
        <v>0.125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2976" t="s">
        <v>3108</v>
      </c>
      <c r="D93" s="2976" t="s">
        <v>3112</v>
      </c>
      <c r="E93" s="2977" t="s">
        <v>3110</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48</v>
      </c>
      <c r="D1" s="1823" t="s">
        <v>70</v>
      </c>
      <c r="E1" s="1824" t="s">
        <v>1387</v>
      </c>
      <c r="F1" s="1286">
        <f ca="1">J53</f>
        <v>33.71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5697</v>
      </c>
      <c r="C2" s="1848" t="s">
        <v>1517</v>
      </c>
      <c r="D2" s="1848"/>
      <c r="E2" s="1849"/>
      <c r="F2" s="1850"/>
      <c r="G2" s="1851"/>
      <c r="H2" s="1843"/>
      <c r="I2" s="1843"/>
      <c r="J2" s="1843"/>
      <c r="K2" s="1844"/>
      <c r="L2" s="1843"/>
      <c r="M2" s="1843"/>
    </row>
    <row r="3" spans="1:37" ht="18" customHeight="1" thickBot="1">
      <c r="A3" s="1852" t="s">
        <v>1518</v>
      </c>
      <c r="B3" s="1853">
        <f ca="1">IF(ISERROR(B2*10000/F43),0,ROUND(B2*10000/F43,0))</f>
        <v>4567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442</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442</v>
      </c>
      <c r="D6" s="164" t="s">
        <v>3040</v>
      </c>
      <c r="E6" s="347" t="s">
        <v>1405</v>
      </c>
      <c r="F6" s="348">
        <f ca="1">INDIRECT("'数据-取费表'!u"&amp;$G$1)</f>
        <v>1400</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40" t="s">
        <v>1406</v>
      </c>
      <c r="F7" s="348">
        <f ca="1">IF(INDIRECT("'数据-取费表'!ah"&amp;$G$1)="",INDIRECT("'数据-取费表'!k"&amp;$G$1),INDIRECT("'数据-取费表'!ah"&amp;$G$1))</f>
        <v>292</v>
      </c>
      <c r="G7" s="1854"/>
      <c r="H7" s="349"/>
      <c r="I7" s="3199"/>
      <c r="J7" s="351"/>
      <c r="K7" s="352"/>
      <c r="L7" s="347" t="s">
        <v>1406</v>
      </c>
      <c r="M7" s="348">
        <f ca="1">F7</f>
        <v>292</v>
      </c>
    </row>
    <row r="8" spans="1:37" ht="18" customHeight="1">
      <c r="A8" s="349"/>
      <c r="B8" s="3199"/>
      <c r="C8" s="351"/>
      <c r="D8" s="352"/>
      <c r="E8" s="347" t="s">
        <v>1407</v>
      </c>
      <c r="F8" s="348">
        <f ca="1">INDIRECT("'数据-取费表'!ai"&amp;$G$1)</f>
        <v>12</v>
      </c>
      <c r="G8" s="1854"/>
      <c r="H8" s="349"/>
      <c r="I8" s="3199"/>
      <c r="J8" s="351"/>
      <c r="K8" s="352"/>
      <c r="L8" s="347" t="s">
        <v>1407</v>
      </c>
      <c r="M8" s="348">
        <f ca="1">INDIRECT("'数据-取费表'!ai"&amp;$G$1)</f>
        <v>12</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3036</v>
      </c>
      <c r="E10" s="358" t="s">
        <v>1411</v>
      </c>
      <c r="F10" s="1369"/>
      <c r="G10" s="1854"/>
      <c r="H10" s="1294" t="s">
        <v>1039</v>
      </c>
      <c r="I10" s="1826" t="s">
        <v>1409</v>
      </c>
      <c r="J10" s="346">
        <f ca="1">ROUND(IF(M10="押一",M6*M8*M7/12*M11,IF(M10="押二",M6*M8*M7/12*2*M11,IF(M10="押三",M6*M8*M7/12*3*M11,J11*M11)))/10000,0)</f>
        <v>0</v>
      </c>
      <c r="K10" s="1827" t="s">
        <v>3036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3431</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3119</v>
      </c>
      <c r="D14" s="2949" t="s">
        <v>1419</v>
      </c>
      <c r="E14" s="2948"/>
      <c r="F14" s="364"/>
      <c r="G14" s="1854"/>
      <c r="H14" s="1204" t="s">
        <v>1035</v>
      </c>
      <c r="I14" s="347" t="s">
        <v>1420</v>
      </c>
      <c r="J14" s="24">
        <f ca="1">C29</f>
        <v>4184</v>
      </c>
      <c r="K14" s="2939"/>
      <c r="L14" s="982"/>
      <c r="M14" s="983"/>
    </row>
    <row r="15" spans="1:37" s="1861" customFormat="1" ht="18" customHeight="1" thickBot="1">
      <c r="A15" s="1204" t="s">
        <v>1036</v>
      </c>
      <c r="B15" s="347" t="s">
        <v>1421</v>
      </c>
      <c r="C15" s="24">
        <f ca="1">ROUND(C14*F15,0)</f>
        <v>125</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112</v>
      </c>
      <c r="K16" s="1340" t="s">
        <v>1426</v>
      </c>
      <c r="L16" s="2952"/>
      <c r="M16" s="1297"/>
    </row>
    <row r="17" spans="1:37" s="1861" customFormat="1" ht="18" customHeight="1">
      <c r="A17" s="1204" t="s">
        <v>1390</v>
      </c>
      <c r="B17" s="347" t="s">
        <v>1427</v>
      </c>
      <c r="C17" s="24">
        <f ca="1">ROUND(F17*(F43+INDIRECT("'数据-取费表'!S"&amp;$G$1))/10000,0)</f>
        <v>249</v>
      </c>
      <c r="D17" s="347" t="s">
        <v>1428</v>
      </c>
      <c r="E17" s="347" t="s">
        <v>1429</v>
      </c>
      <c r="F17" s="26">
        <f>'数据-取费表'!B35</f>
        <v>200</v>
      </c>
      <c r="G17" s="1857"/>
      <c r="H17" s="1204" t="s">
        <v>1035</v>
      </c>
      <c r="I17" s="347" t="s">
        <v>1430</v>
      </c>
      <c r="J17" s="24">
        <f ca="1">ROUND(IF(项目基本情况!B11="自然人",J5*M17,J18+J19+J20),1)</f>
        <v>49.3</v>
      </c>
      <c r="K17" s="2949" t="s">
        <v>1431</v>
      </c>
      <c r="L17" s="295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47</v>
      </c>
      <c r="D18" s="347" t="s">
        <v>1422</v>
      </c>
      <c r="E18" s="347" t="s">
        <v>1423</v>
      </c>
      <c r="F18" s="367">
        <f>'数据-取费表'!B36</f>
        <v>1.4999999999999999E-2</v>
      </c>
      <c r="G18" s="1857"/>
      <c r="H18" s="1204" t="s">
        <v>1034</v>
      </c>
      <c r="I18" s="347" t="s">
        <v>1434</v>
      </c>
      <c r="J18" s="24">
        <f ca="1">ROUND(J5*M18/(1+'数据-取费表'!C42),2)</f>
        <v>0</v>
      </c>
      <c r="K18" s="295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3540</v>
      </c>
      <c r="D19" s="140" t="s">
        <v>1437</v>
      </c>
      <c r="E19" s="2937"/>
      <c r="F19" s="26"/>
      <c r="G19" s="1854"/>
      <c r="H19" s="1204" t="s">
        <v>1036</v>
      </c>
      <c r="I19" s="347" t="s">
        <v>1438</v>
      </c>
      <c r="J19" s="24">
        <f ca="1">IF(K19="按租金收入计税",ROUND(J5*M19,2),ROUND(C29*M19*0.7,2))</f>
        <v>35.15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71</v>
      </c>
      <c r="D20" s="369" t="s">
        <v>1441</v>
      </c>
      <c r="E20" s="347" t="s">
        <v>1423</v>
      </c>
      <c r="F20" s="367">
        <f>'数据-取费表'!B37</f>
        <v>0.02</v>
      </c>
      <c r="G20" s="1857"/>
      <c r="H20" s="1204" t="s">
        <v>1389</v>
      </c>
      <c r="I20" s="164" t="s">
        <v>1442</v>
      </c>
      <c r="J20" s="25">
        <f ca="1">ROUND(M20*M21/10000,2)</f>
        <v>14.1</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4699.46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2937"/>
      <c r="F22" s="26"/>
      <c r="G22" s="1854"/>
      <c r="H22" s="1204" t="s">
        <v>1039</v>
      </c>
      <c r="I22" s="347" t="s">
        <v>1450</v>
      </c>
      <c r="J22" s="24">
        <f ca="1">ROUND(J14*M22,1)</f>
        <v>62.8</v>
      </c>
      <c r="K22" s="295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79</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2951"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37"/>
      <c r="F25" s="26"/>
      <c r="G25" s="1854"/>
      <c r="H25" s="1332" t="s">
        <v>1031</v>
      </c>
      <c r="I25" s="1347" t="s">
        <v>1464</v>
      </c>
      <c r="J25" s="355">
        <f ca="1">J5-J16</f>
        <v>-112</v>
      </c>
      <c r="K25" s="1348" t="s">
        <v>1465</v>
      </c>
      <c r="L25" s="1349"/>
      <c r="M25" s="1350"/>
    </row>
    <row r="26" spans="1:37">
      <c r="A26" s="1204" t="s">
        <v>1034</v>
      </c>
      <c r="B26" s="347" t="s">
        <v>1466</v>
      </c>
      <c r="C26" s="24">
        <f ca="1">ROUND((C19+C20)*F26,0)</f>
        <v>181</v>
      </c>
      <c r="D26" s="369" t="s">
        <v>1467</v>
      </c>
      <c r="E26" s="358" t="s">
        <v>1468</v>
      </c>
      <c r="F26" s="357">
        <f ca="1">INDIRECT("'数据-取费表'!q"&amp;$G$1)</f>
        <v>0.05</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4184</v>
      </c>
      <c r="D29" s="1345"/>
      <c r="E29" s="1343"/>
      <c r="F29" s="1346"/>
      <c r="G29" s="1857"/>
      <c r="H29" s="380" t="s">
        <v>1033</v>
      </c>
      <c r="I29" s="381" t="s">
        <v>1480</v>
      </c>
      <c r="J29" s="382">
        <f ca="1">ROUND(J26/(1+F40)^F41,0)</f>
        <v>0</v>
      </c>
      <c r="K29" s="383" t="s">
        <v>1481</v>
      </c>
      <c r="L29" s="384"/>
      <c r="M29" s="385">
        <f ca="1">INDIRECT("'数据-取费表'!k"&amp;$G$1)</f>
        <v>12474.67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150</v>
      </c>
      <c r="D30" s="1340" t="s">
        <v>1426</v>
      </c>
      <c r="E30" s="2952"/>
      <c r="F30" s="1297"/>
      <c r="G30" s="1854"/>
      <c r="H30" s="745"/>
      <c r="I30" s="746"/>
      <c r="J30" s="747"/>
      <c r="K30" s="748"/>
      <c r="L30" s="749"/>
      <c r="M30" s="750"/>
    </row>
    <row r="31" spans="1:37" ht="18" customHeight="1">
      <c r="A31" s="1204" t="s">
        <v>1035</v>
      </c>
      <c r="B31" s="347" t="s">
        <v>1430</v>
      </c>
      <c r="C31" s="24">
        <f ca="1">ROUND(IF(项目基本情况!B11="自然人",C5*F31,C32+C33+C34),1)</f>
        <v>72.8</v>
      </c>
      <c r="D31" s="2949" t="s">
        <v>1431</v>
      </c>
      <c r="E31" s="295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23.57</v>
      </c>
      <c r="D32" s="295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35.15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14.1</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4699.46</v>
      </c>
      <c r="G35" s="1854"/>
      <c r="H35" s="745"/>
      <c r="I35" s="1863"/>
      <c r="J35" s="1864"/>
      <c r="K35" s="1865"/>
      <c r="L35" s="1862"/>
      <c r="M35" s="1862"/>
    </row>
    <row r="36" spans="1:18" ht="18" customHeight="1">
      <c r="A36" s="1355" t="s">
        <v>1039</v>
      </c>
      <c r="B36" s="347" t="s">
        <v>1450</v>
      </c>
      <c r="C36" s="24">
        <f ca="1">ROUND(C29*F36,1)</f>
        <v>62.8</v>
      </c>
      <c r="D36" s="295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5.0999999999999996</v>
      </c>
      <c r="D37" s="2951"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8.8000000000000007</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292</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5697</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33.71</v>
      </c>
      <c r="G41" s="1854"/>
      <c r="H41" s="732"/>
      <c r="I41" s="1863"/>
      <c r="J41" s="1864"/>
      <c r="K41" s="751"/>
      <c r="L41" s="732"/>
      <c r="M41" s="732"/>
    </row>
    <row r="42" spans="1:18" ht="18" customHeight="1">
      <c r="A42" s="353"/>
      <c r="B42" s="354"/>
      <c r="C42" s="355"/>
      <c r="D42" s="373"/>
      <c r="E42" s="347" t="s">
        <v>1478</v>
      </c>
      <c r="F42" s="357">
        <f ca="1">INDIRECT("'数据-取费表'!v"&amp;$G$1)</f>
        <v>0.01</v>
      </c>
      <c r="G42" s="1854"/>
      <c r="H42" s="732"/>
      <c r="I42" s="1863"/>
      <c r="J42" s="1864"/>
      <c r="K42" s="751"/>
      <c r="L42" s="732"/>
      <c r="M42" s="732"/>
    </row>
    <row r="43" spans="1:18" ht="18" customHeight="1" thickBot="1">
      <c r="A43" s="380" t="s">
        <v>1033</v>
      </c>
      <c r="B43" s="381" t="s">
        <v>1488</v>
      </c>
      <c r="C43" s="382">
        <f ca="1">ROUND(C40*10000/F43,0)</f>
        <v>4567</v>
      </c>
      <c r="D43" s="383" t="s">
        <v>1489</v>
      </c>
      <c r="E43" s="384" t="s">
        <v>1490</v>
      </c>
      <c r="F43" s="385">
        <f ca="1">INDIRECT("'数据-取费表'!k"&amp;$G$1)</f>
        <v>12474.67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-7707</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50</v>
      </c>
      <c r="M47" s="1841" t="str">
        <f>IF(ISNUMBER(FIND("住宅",C1)),"住宅","非住宅")</f>
        <v>非住宅</v>
      </c>
      <c r="O47" s="1887" t="s">
        <v>1040</v>
      </c>
      <c r="P47" s="1888" t="s">
        <v>1529</v>
      </c>
      <c r="Q47" s="1889">
        <f ca="1">C40+J29</f>
        <v>5697</v>
      </c>
      <c r="R47" s="1889" t="s">
        <v>1530</v>
      </c>
    </row>
    <row r="48" spans="1:18" s="1845" customFormat="1" ht="28.5" thickBot="1">
      <c r="A48" s="1363" t="s">
        <v>1135</v>
      </c>
      <c r="B48" s="345" t="s">
        <v>1401</v>
      </c>
      <c r="C48" s="2936">
        <f ca="1">C49+C53+C55</f>
        <v>0</v>
      </c>
      <c r="D48" s="1365"/>
      <c r="E48" s="1366"/>
      <c r="F48" s="1184"/>
      <c r="G48" s="792"/>
      <c r="H48" s="793"/>
      <c r="I48" s="1890" t="s">
        <v>1531</v>
      </c>
      <c r="J48" s="1891" t="s">
        <v>3090</v>
      </c>
      <c r="K48" s="1892" t="s">
        <v>1532</v>
      </c>
      <c r="L48" s="1893">
        <f ca="1">INDIRECT("'数据-取费表'!f"&amp;$G$1)</f>
        <v>33.71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4184</v>
      </c>
      <c r="R49" s="1889" t="s">
        <v>1530</v>
      </c>
    </row>
    <row r="50" spans="1:18" s="1845" customFormat="1" ht="13.5" thickBot="1">
      <c r="A50" s="1198"/>
      <c r="B50" s="1201"/>
      <c r="C50" s="1371"/>
      <c r="D50" s="1175"/>
      <c r="E50" s="1280" t="s">
        <v>1406</v>
      </c>
      <c r="F50" s="1281">
        <f ca="1">F7</f>
        <v>292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12</v>
      </c>
      <c r="I51" s="1901" t="s">
        <v>1541</v>
      </c>
      <c r="J51" s="1902">
        <f>IF(J49="",J50,J49+J50-YEAR('数据-取费表'!B2))</f>
        <v>49</v>
      </c>
      <c r="K51" s="1903" t="s">
        <v>1542</v>
      </c>
      <c r="L51" s="1904">
        <f ca="1">ROUND(-PV(INDIRECT("'数据-取费表'!h"&amp;$G$1),L48,(C39-C13*C76),0),0)</f>
        <v>321</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33.71</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33.71</v>
      </c>
      <c r="K53" s="3196" t="s">
        <v>1549</v>
      </c>
      <c r="L53" s="3197"/>
      <c r="O53" s="1887" t="s">
        <v>1046</v>
      </c>
      <c r="P53" s="1888" t="s">
        <v>1550</v>
      </c>
      <c r="Q53" s="1889">
        <f ca="1">Q47+Q48</f>
        <v>5697</v>
      </c>
      <c r="R53" s="1889" t="s">
        <v>1047</v>
      </c>
    </row>
    <row r="54" spans="1:18" s="1845" customFormat="1" ht="13.5" thickBot="1">
      <c r="A54" s="1409"/>
      <c r="B54" s="1828" t="s">
        <v>1388</v>
      </c>
      <c r="C54" s="1181"/>
      <c r="D54" s="1827"/>
      <c r="E54" s="294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41"/>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3431</v>
      </c>
      <c r="D56" s="1917"/>
      <c r="E56" s="1918"/>
      <c r="F56" s="1910"/>
      <c r="I56" s="1919" t="s">
        <v>1555</v>
      </c>
      <c r="J56" s="1920" t="s">
        <v>3060</v>
      </c>
      <c r="K56" s="1890" t="s">
        <v>1556</v>
      </c>
      <c r="L56" s="1893" t="str">
        <f ca="1">IF(L48&lt;J51,"——",L48-J53)</f>
        <v>——</v>
      </c>
      <c r="O56" s="1887" t="s">
        <v>1040</v>
      </c>
      <c r="P56" s="1888" t="s">
        <v>1529</v>
      </c>
      <c r="Q56" s="1889">
        <f ca="1">C40+J29</f>
        <v>5697</v>
      </c>
      <c r="R56" s="1889" t="s">
        <v>1530</v>
      </c>
    </row>
    <row r="57" spans="1:18" s="1845" customFormat="1" ht="24.75" thickBot="1">
      <c r="A57" s="1921"/>
      <c r="B57" s="1172" t="s">
        <v>1479</v>
      </c>
      <c r="C57" s="282">
        <f ca="1">C29</f>
        <v>4184</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117</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49.3</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35.15</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14.1</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5697</v>
      </c>
      <c r="R62" s="1889" t="s">
        <v>1047</v>
      </c>
    </row>
    <row r="63" spans="1:18" s="1845" customFormat="1" ht="13.5" thickBot="1">
      <c r="A63" s="372"/>
      <c r="B63" s="1178"/>
      <c r="C63" s="29"/>
      <c r="D63" s="1188"/>
      <c r="E63" s="1172" t="s">
        <v>1448</v>
      </c>
      <c r="F63" s="348">
        <f t="shared" ca="1" si="0"/>
        <v>4699.46</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62.8</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5.0999999999999996</v>
      </c>
      <c r="D65" s="1186" t="s">
        <v>1455</v>
      </c>
      <c r="E65" s="1172" t="s">
        <v>1423</v>
      </c>
      <c r="F65" s="376">
        <f t="shared" ca="1" si="0"/>
        <v>1.5E-3</v>
      </c>
      <c r="I65" s="1932" t="s">
        <v>1580</v>
      </c>
      <c r="J65" s="1933">
        <v>40</v>
      </c>
      <c r="K65" s="1933">
        <v>30</v>
      </c>
      <c r="L65" s="1933">
        <v>50</v>
      </c>
      <c r="M65" s="1935">
        <v>0.02</v>
      </c>
      <c r="O65" s="1887" t="s">
        <v>1040</v>
      </c>
      <c r="P65" s="1888" t="s">
        <v>1529</v>
      </c>
      <c r="Q65" s="1889">
        <f ca="1">C40+J29</f>
        <v>5697</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-117</v>
      </c>
      <c r="D67" s="1185" t="s">
        <v>1465</v>
      </c>
      <c r="E67" s="1190"/>
      <c r="F67" s="1191"/>
      <c r="O67" s="1897" t="s">
        <v>1042</v>
      </c>
      <c r="P67" s="1888" t="s">
        <v>1563</v>
      </c>
      <c r="Q67" s="1936">
        <f ca="1">L51</f>
        <v>321</v>
      </c>
      <c r="R67" s="1889" t="s">
        <v>1583</v>
      </c>
    </row>
    <row r="68" spans="1:18" s="1845" customFormat="1" ht="16.5" thickBot="1">
      <c r="A68" s="1169" t="s">
        <v>1032</v>
      </c>
      <c r="B68" s="1170" t="s">
        <v>1486</v>
      </c>
      <c r="C68" s="346">
        <f ca="1">ROUND(C67*(1-((1+F70)/(1+F68))^F69)/(F68-F70),0)</f>
        <v>-2010</v>
      </c>
      <c r="D68" s="1187" t="s">
        <v>1470</v>
      </c>
      <c r="E68" s="1172" t="s">
        <v>1471</v>
      </c>
      <c r="F68" s="357">
        <f ca="1">F40</f>
        <v>4.4999999999999998E-2</v>
      </c>
      <c r="O68" s="1897" t="s">
        <v>1043</v>
      </c>
      <c r="P68" s="1937" t="s">
        <v>1584</v>
      </c>
      <c r="Q68" s="1889">
        <f ca="1">ROUND(Q69-Q70*Q71,0)</f>
        <v>18</v>
      </c>
      <c r="R68" s="1889" t="s">
        <v>1051</v>
      </c>
    </row>
    <row r="69" spans="1:18" s="1845" customFormat="1" ht="13.5" thickBot="1">
      <c r="A69" s="1173"/>
      <c r="B69" s="1174"/>
      <c r="C69" s="351"/>
      <c r="D69" s="1192" t="s">
        <v>1474</v>
      </c>
      <c r="E69" s="1172" t="s">
        <v>1475</v>
      </c>
      <c r="F69" s="379">
        <f ca="1">F41</f>
        <v>33.71</v>
      </c>
      <c r="O69" s="1897" t="s">
        <v>1048</v>
      </c>
      <c r="P69" s="1937" t="s">
        <v>1585</v>
      </c>
      <c r="Q69" s="1889">
        <f ca="1">C39</f>
        <v>292</v>
      </c>
      <c r="R69" s="1889" t="s">
        <v>1530</v>
      </c>
    </row>
    <row r="70" spans="1:18" s="1845" customFormat="1" ht="13.5" thickBot="1">
      <c r="A70" s="1176"/>
      <c r="B70" s="1177"/>
      <c r="C70" s="355"/>
      <c r="D70" s="1188"/>
      <c r="E70" s="1172" t="s">
        <v>1478</v>
      </c>
      <c r="F70" s="1278"/>
      <c r="O70" s="1897" t="s">
        <v>1049</v>
      </c>
      <c r="P70" s="1937" t="s">
        <v>1586</v>
      </c>
      <c r="Q70" s="1889">
        <f ca="1">C13</f>
        <v>3431</v>
      </c>
      <c r="R70" s="1889" t="s">
        <v>1530</v>
      </c>
    </row>
    <row r="71" spans="1:18" s="1845" customFormat="1" ht="13.5" thickBot="1">
      <c r="A71" s="1193" t="s">
        <v>1033</v>
      </c>
      <c r="B71" s="1194" t="s">
        <v>1488</v>
      </c>
      <c r="C71" s="382">
        <f ca="1">ROUND(C68*10000/F71,0)</f>
        <v>-1611</v>
      </c>
      <c r="D71" s="1195" t="s">
        <v>1489</v>
      </c>
      <c r="E71" s="1196" t="s">
        <v>1490</v>
      </c>
      <c r="F71" s="385">
        <f ca="1">F43</f>
        <v>12474.67</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274</v>
      </c>
      <c r="D75" s="1845"/>
      <c r="E75" s="1845"/>
      <c r="F75" s="1845"/>
      <c r="K75" s="1871"/>
      <c r="L75" s="1845"/>
      <c r="O75" s="1887" t="s">
        <v>1046</v>
      </c>
      <c r="P75" s="1888" t="s">
        <v>1550</v>
      </c>
      <c r="Q75" s="1889">
        <f ca="1">Q65+Q66</f>
        <v>5697</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6.2000000000000055E-2</v>
      </c>
    </row>
    <row r="80" spans="1:18">
      <c r="B80" s="386" t="s">
        <v>1512</v>
      </c>
      <c r="C80" s="318">
        <f ca="1">ROUND(C75/C39,3)</f>
        <v>0.93799999999999994</v>
      </c>
    </row>
    <row r="81" spans="2:3">
      <c r="B81" s="314" t="s">
        <v>1513</v>
      </c>
      <c r="C81" s="282"/>
    </row>
    <row r="82" spans="2:3">
      <c r="B82" s="317" t="s">
        <v>1514</v>
      </c>
      <c r="C82" s="319">
        <f ca="1">1-C83</f>
        <v>0.39800000000000002</v>
      </c>
    </row>
    <row r="83" spans="2:3">
      <c r="B83" s="317" t="s">
        <v>1515</v>
      </c>
      <c r="C83" s="318">
        <f ca="1">ROUND(C13/C40,3)</f>
        <v>0.60199999999999998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62" t="s">
        <v>2555</v>
      </c>
      <c r="Q7" s="3264"/>
      <c r="R7" s="770" t="s">
        <v>17</v>
      </c>
      <c r="S7" s="771">
        <f t="shared" ref="S7:S14" si="0">F7</f>
        <v>0</v>
      </c>
      <c r="T7" s="770" t="s">
        <v>17</v>
      </c>
      <c r="U7" s="771">
        <f t="shared" ref="U7:U14" si="1">H7</f>
        <v>0</v>
      </c>
      <c r="V7" s="770" t="s">
        <v>17</v>
      </c>
      <c r="W7" s="771">
        <f t="shared" ref="W7:W14" si="2">J7</f>
        <v>0</v>
      </c>
      <c r="X7" s="772"/>
      <c r="Y7" s="3262" t="s">
        <v>2555</v>
      </c>
      <c r="Z7" s="3263"/>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6" t="s">
        <v>2561</v>
      </c>
      <c r="Q9" s="1798" t="str">
        <f t="shared" ref="Q9:Q14" si="6">B9</f>
        <v>用途</v>
      </c>
      <c r="R9" s="770" t="s">
        <v>17</v>
      </c>
      <c r="S9" s="771">
        <f t="shared" si="0"/>
        <v>100</v>
      </c>
      <c r="T9" s="770" t="s">
        <v>17</v>
      </c>
      <c r="U9" s="771">
        <f t="shared" si="1"/>
        <v>100</v>
      </c>
      <c r="V9" s="770" t="s">
        <v>17</v>
      </c>
      <c r="W9" s="771">
        <f t="shared" si="2"/>
        <v>100</v>
      </c>
      <c r="X9" s="772"/>
      <c r="Y9" s="3051"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6"/>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8" t="s">
        <v>2566</v>
      </c>
      <c r="Q14" s="1813" t="str">
        <f t="shared" si="6"/>
        <v>交通便捷度</v>
      </c>
      <c r="R14" s="774" t="s">
        <v>17</v>
      </c>
      <c r="S14" s="775">
        <f t="shared" si="0"/>
        <v>100</v>
      </c>
      <c r="T14" s="774" t="s">
        <v>17</v>
      </c>
      <c r="U14" s="775">
        <f t="shared" si="1"/>
        <v>100</v>
      </c>
      <c r="V14" s="774" t="s">
        <v>17</v>
      </c>
      <c r="W14" s="775">
        <f t="shared" si="2"/>
        <v>100</v>
      </c>
      <c r="X14" s="1816"/>
      <c r="Y14" s="3228"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9"/>
      <c r="Q15" s="1813"/>
      <c r="R15" s="774"/>
      <c r="S15" s="775"/>
      <c r="T15" s="774"/>
      <c r="U15" s="775"/>
      <c r="V15" s="774"/>
      <c r="W15" s="775"/>
      <c r="X15" s="1816"/>
      <c r="Y15" s="3229"/>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29"/>
      <c r="Q17" s="1813"/>
      <c r="R17" s="774"/>
      <c r="S17" s="775"/>
      <c r="T17" s="774"/>
      <c r="U17" s="775"/>
      <c r="V17" s="774"/>
      <c r="W17" s="775"/>
      <c r="X17" s="1816"/>
      <c r="Y17" s="3229"/>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29"/>
      <c r="Q19" s="1813"/>
      <c r="R19" s="774"/>
      <c r="S19" s="775"/>
      <c r="T19" s="774"/>
      <c r="U19" s="775"/>
      <c r="V19" s="774"/>
      <c r="W19" s="775"/>
      <c r="X19" s="1816"/>
      <c r="Y19" s="3229"/>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9"/>
      <c r="Q21" s="1813"/>
      <c r="R21" s="774"/>
      <c r="S21" s="775"/>
      <c r="T21" s="774"/>
      <c r="U21" s="775"/>
      <c r="V21" s="774"/>
      <c r="W21" s="775"/>
      <c r="X21" s="1816"/>
      <c r="Y21" s="3229"/>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9"/>
      <c r="Q24" s="1813">
        <f t="shared" ref="Q24:Q34"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84"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3"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3"/>
      <c r="Q28" s="1813" t="str">
        <f t="shared" si="11"/>
        <v>物业等级</v>
      </c>
      <c r="R28" s="774" t="s">
        <v>17</v>
      </c>
      <c r="S28" s="775">
        <f t="shared" si="12"/>
        <v>100</v>
      </c>
      <c r="T28" s="774" t="s">
        <v>17</v>
      </c>
      <c r="U28" s="775">
        <f t="shared" si="13"/>
        <v>100</v>
      </c>
      <c r="V28" s="774" t="s">
        <v>17</v>
      </c>
      <c r="W28" s="775">
        <f t="shared" si="14"/>
        <v>100</v>
      </c>
      <c r="X28" s="1816"/>
      <c r="Y28" s="3233"/>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3"/>
      <c r="Q29" s="1813" t="str">
        <f t="shared" si="11"/>
        <v>有无电梯</v>
      </c>
      <c r="R29" s="774" t="s">
        <v>17</v>
      </c>
      <c r="S29" s="775">
        <f t="shared" si="12"/>
        <v>100</v>
      </c>
      <c r="T29" s="774" t="s">
        <v>17</v>
      </c>
      <c r="U29" s="775">
        <f t="shared" si="13"/>
        <v>100</v>
      </c>
      <c r="V29" s="774" t="s">
        <v>17</v>
      </c>
      <c r="W29" s="775">
        <f t="shared" si="14"/>
        <v>100</v>
      </c>
      <c r="X29" s="1816"/>
      <c r="Y29" s="3233"/>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3"/>
      <c r="Q30" s="1813" t="str">
        <f t="shared" si="11"/>
        <v>建筑面积</v>
      </c>
      <c r="R30" s="774" t="s">
        <v>17</v>
      </c>
      <c r="S30" s="775" t="e">
        <f t="shared" si="12"/>
        <v>#N/A</v>
      </c>
      <c r="T30" s="774" t="s">
        <v>17</v>
      </c>
      <c r="U30" s="775" t="e">
        <f t="shared" si="13"/>
        <v>#N/A</v>
      </c>
      <c r="V30" s="774" t="s">
        <v>17</v>
      </c>
      <c r="W30" s="775" t="e">
        <f t="shared" si="14"/>
        <v>#N/A</v>
      </c>
      <c r="X30" s="1816"/>
      <c r="Y30" s="3233"/>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3"/>
      <c r="Q31" s="1798"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3" t="s">
        <v>2571</v>
      </c>
      <c r="Q32" s="1813">
        <f t="shared" si="11"/>
        <v>111</v>
      </c>
      <c r="R32" s="774" t="s">
        <v>17</v>
      </c>
      <c r="S32" s="775">
        <f t="shared" si="12"/>
        <v>100</v>
      </c>
      <c r="T32" s="774" t="s">
        <v>17</v>
      </c>
      <c r="U32" s="775">
        <f t="shared" si="13"/>
        <v>100</v>
      </c>
      <c r="V32" s="774" t="s">
        <v>17</v>
      </c>
      <c r="W32" s="775">
        <f t="shared" si="14"/>
        <v>100</v>
      </c>
      <c r="X32" s="1816"/>
      <c r="Y32" s="3233"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3"/>
      <c r="Q33" s="1813">
        <f t="shared" si="11"/>
        <v>111</v>
      </c>
      <c r="R33" s="774" t="s">
        <v>17</v>
      </c>
      <c r="S33" s="775">
        <f t="shared" si="12"/>
        <v>100</v>
      </c>
      <c r="T33" s="774" t="s">
        <v>17</v>
      </c>
      <c r="U33" s="775">
        <f t="shared" si="13"/>
        <v>100</v>
      </c>
      <c r="V33" s="774" t="s">
        <v>17</v>
      </c>
      <c r="W33" s="775">
        <f t="shared" si="14"/>
        <v>100</v>
      </c>
      <c r="X33" s="1816"/>
      <c r="Y33" s="3233"/>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30"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30"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30" s="117" customFormat="1" ht="15.75" thickBot="1">
      <c r="A7" s="408" t="s">
        <v>2554</v>
      </c>
      <c r="B7" s="409"/>
      <c r="C7" s="410">
        <f>'数据-取费表'!B2</f>
        <v>43157</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226"/>
      <c r="Q10" s="1798" t="str">
        <f t="shared" si="6"/>
        <v>土地使用年限（年）</v>
      </c>
      <c r="R10" s="770" t="s">
        <v>17</v>
      </c>
      <c r="S10" s="771">
        <f t="shared" si="0"/>
        <v>121</v>
      </c>
      <c r="T10" s="770" t="s">
        <v>17</v>
      </c>
      <c r="U10" s="771">
        <f t="shared" si="1"/>
        <v>121</v>
      </c>
      <c r="V10" s="770" t="s">
        <v>17</v>
      </c>
      <c r="W10" s="771">
        <f t="shared" si="2"/>
        <v>121</v>
      </c>
      <c r="X10" s="772"/>
      <c r="Y10" s="3051"/>
      <c r="Z10" s="55" t="str">
        <f t="shared" si="7"/>
        <v>土地使用年限（年）</v>
      </c>
      <c r="AA10" s="773">
        <f t="shared" si="3"/>
        <v>0.82644628099173556</v>
      </c>
      <c r="AB10" s="773">
        <f t="shared" si="4"/>
        <v>0.82644628099173556</v>
      </c>
      <c r="AC10" s="773">
        <f t="shared" si="5"/>
        <v>0.82644628099173556</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6"/>
      <c r="Q12" s="1798"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2565</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8" t="s">
        <v>2566</v>
      </c>
      <c r="Q15" s="1813" t="str">
        <f t="shared" si="6"/>
        <v>居住社区成熟度</v>
      </c>
      <c r="R15" s="774" t="s">
        <v>17</v>
      </c>
      <c r="S15" s="775">
        <f t="shared" si="0"/>
        <v>100</v>
      </c>
      <c r="T15" s="774" t="s">
        <v>17</v>
      </c>
      <c r="U15" s="775">
        <f t="shared" si="1"/>
        <v>100</v>
      </c>
      <c r="V15" s="774" t="s">
        <v>17</v>
      </c>
      <c r="W15" s="775">
        <f t="shared" si="2"/>
        <v>100</v>
      </c>
      <c r="X15" s="1816"/>
      <c r="Y15" s="3228"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9"/>
      <c r="Q17" s="1813" t="str">
        <f>B17</f>
        <v>商业繁华度</v>
      </c>
      <c r="R17" s="774" t="s">
        <v>17</v>
      </c>
      <c r="S17" s="775">
        <f>F17</f>
        <v>100</v>
      </c>
      <c r="T17" s="774" t="s">
        <v>17</v>
      </c>
      <c r="U17" s="775">
        <f>H17</f>
        <v>100</v>
      </c>
      <c r="V17" s="774" t="s">
        <v>17</v>
      </c>
      <c r="W17" s="775">
        <f>J17</f>
        <v>100</v>
      </c>
      <c r="X17" s="1816"/>
      <c r="Y17" s="3229"/>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9"/>
      <c r="Q19" s="1813" t="str">
        <f>B19</f>
        <v>办公集聚程度</v>
      </c>
      <c r="R19" s="774" t="s">
        <v>17</v>
      </c>
      <c r="S19" s="775">
        <f>F19</f>
        <v>100</v>
      </c>
      <c r="T19" s="774" t="s">
        <v>17</v>
      </c>
      <c r="U19" s="775">
        <f>H19</f>
        <v>100</v>
      </c>
      <c r="V19" s="774" t="s">
        <v>17</v>
      </c>
      <c r="W19" s="775">
        <f>J19</f>
        <v>100</v>
      </c>
      <c r="X19" s="1816"/>
      <c r="Y19" s="3229"/>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29"/>
      <c r="Q20" s="1813"/>
      <c r="R20" s="774"/>
      <c r="S20" s="775"/>
      <c r="T20" s="774"/>
      <c r="U20" s="775"/>
      <c r="V20" s="774"/>
      <c r="W20" s="775"/>
      <c r="X20" s="1816"/>
      <c r="Y20" s="3229"/>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9"/>
      <c r="Q21" s="1813" t="str">
        <f>B21</f>
        <v>交通便捷度</v>
      </c>
      <c r="R21" s="774" t="s">
        <v>17</v>
      </c>
      <c r="S21" s="775">
        <f>F21</f>
        <v>100</v>
      </c>
      <c r="T21" s="774" t="s">
        <v>17</v>
      </c>
      <c r="U21" s="775">
        <f>H21</f>
        <v>100</v>
      </c>
      <c r="V21" s="774" t="s">
        <v>17</v>
      </c>
      <c r="W21" s="775">
        <f>J21</f>
        <v>100</v>
      </c>
      <c r="X21" s="1816"/>
      <c r="Y21" s="3229"/>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9"/>
      <c r="Q23" s="1813" t="str">
        <f t="shared" ref="Q23:Q37" si="8">B23</f>
        <v>区域土地利用方向</v>
      </c>
      <c r="R23" s="774" t="s">
        <v>17</v>
      </c>
      <c r="S23" s="775">
        <f>F23</f>
        <v>100</v>
      </c>
      <c r="T23" s="774" t="s">
        <v>17</v>
      </c>
      <c r="U23" s="775">
        <f>H23</f>
        <v>100</v>
      </c>
      <c r="V23" s="774" t="s">
        <v>17</v>
      </c>
      <c r="W23" s="775">
        <f>J23</f>
        <v>100</v>
      </c>
      <c r="X23" s="1816"/>
      <c r="Y23" s="3229"/>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29"/>
      <c r="Q24" s="1813"/>
      <c r="R24" s="774"/>
      <c r="S24" s="775"/>
      <c r="T24" s="774"/>
      <c r="U24" s="775"/>
      <c r="V24" s="774"/>
      <c r="W24" s="775"/>
      <c r="X24" s="1816"/>
      <c r="Y24" s="3229"/>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9"/>
      <c r="Q25" s="1813" t="str">
        <f t="shared" si="8"/>
        <v>自然及人文环境状况</v>
      </c>
      <c r="R25" s="774" t="s">
        <v>17</v>
      </c>
      <c r="S25" s="775">
        <f>F25</f>
        <v>100</v>
      </c>
      <c r="T25" s="774" t="s">
        <v>17</v>
      </c>
      <c r="U25" s="775">
        <f>H25</f>
        <v>100</v>
      </c>
      <c r="V25" s="774" t="s">
        <v>17</v>
      </c>
      <c r="W25" s="775">
        <f>J25</f>
        <v>100</v>
      </c>
      <c r="X25" s="1816"/>
      <c r="Y25" s="3229"/>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29"/>
      <c r="Q26" s="1813"/>
      <c r="R26" s="774"/>
      <c r="S26" s="775"/>
      <c r="T26" s="774"/>
      <c r="U26" s="775"/>
      <c r="V26" s="774"/>
      <c r="W26" s="775"/>
      <c r="X26" s="1816"/>
      <c r="Y26" s="3229"/>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9"/>
      <c r="Q27" s="1798" t="str">
        <f t="shared" si="8"/>
        <v>公共配套设施</v>
      </c>
      <c r="R27" s="770" t="s">
        <v>17</v>
      </c>
      <c r="S27" s="771">
        <f>F27</f>
        <v>100</v>
      </c>
      <c r="T27" s="770" t="s">
        <v>17</v>
      </c>
      <c r="U27" s="771">
        <f>H27</f>
        <v>100</v>
      </c>
      <c r="V27" s="770" t="s">
        <v>17</v>
      </c>
      <c r="W27" s="771">
        <f>J27</f>
        <v>100</v>
      </c>
      <c r="X27" s="772"/>
      <c r="Y27" s="3229"/>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29"/>
      <c r="Q28" s="1798"/>
      <c r="R28" s="770"/>
      <c r="S28" s="771"/>
      <c r="T28" s="770"/>
      <c r="U28" s="771"/>
      <c r="V28" s="770"/>
      <c r="W28" s="771"/>
      <c r="X28" s="772"/>
      <c r="Y28" s="3229"/>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9"/>
      <c r="Q29" s="1798"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29"/>
      <c r="Q30" s="1798"/>
      <c r="R30" s="770"/>
      <c r="S30" s="771"/>
      <c r="T30" s="770"/>
      <c r="U30" s="771"/>
      <c r="V30" s="770"/>
      <c r="W30" s="771"/>
      <c r="X30" s="772"/>
      <c r="Y30" s="3229"/>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9"/>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9"/>
      <c r="Q32" s="1813" t="str">
        <f t="shared" si="8"/>
        <v>毗邻道路的类型与等级</v>
      </c>
      <c r="R32" s="774" t="s">
        <v>17</v>
      </c>
      <c r="S32" s="775">
        <f t="shared" si="10"/>
        <v>100</v>
      </c>
      <c r="T32" s="774" t="s">
        <v>17</v>
      </c>
      <c r="U32" s="775">
        <f t="shared" si="11"/>
        <v>100</v>
      </c>
      <c r="V32" s="774" t="s">
        <v>17</v>
      </c>
      <c r="W32" s="775">
        <f t="shared" si="12"/>
        <v>100</v>
      </c>
      <c r="X32" s="1816"/>
      <c r="Y32" s="3229"/>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29"/>
      <c r="Q33" s="1813"/>
      <c r="R33" s="774"/>
      <c r="S33" s="775"/>
      <c r="T33" s="774"/>
      <c r="U33" s="775"/>
      <c r="V33" s="774"/>
      <c r="W33" s="775"/>
      <c r="X33" s="1816"/>
      <c r="Y33" s="3229"/>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9"/>
      <c r="Q34" s="1813" t="str">
        <f t="shared" si="8"/>
        <v>土地级别</v>
      </c>
      <c r="R34" s="774" t="s">
        <v>17</v>
      </c>
      <c r="S34" s="775">
        <f t="shared" si="10"/>
        <v>100</v>
      </c>
      <c r="T34" s="774" t="s">
        <v>17</v>
      </c>
      <c r="U34" s="775">
        <f t="shared" si="11"/>
        <v>100</v>
      </c>
      <c r="V34" s="774" t="s">
        <v>17</v>
      </c>
      <c r="W34" s="775">
        <f t="shared" si="12"/>
        <v>100</v>
      </c>
      <c r="X34" s="1816"/>
      <c r="Y34" s="322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9"/>
      <c r="Q35" s="1813">
        <f t="shared" si="8"/>
        <v>111</v>
      </c>
      <c r="R35" s="774" t="s">
        <v>17</v>
      </c>
      <c r="S35" s="775">
        <f t="shared" si="10"/>
        <v>100</v>
      </c>
      <c r="T35" s="774" t="s">
        <v>17</v>
      </c>
      <c r="U35" s="775">
        <f t="shared" si="11"/>
        <v>100</v>
      </c>
      <c r="V35" s="774" t="s">
        <v>17</v>
      </c>
      <c r="W35" s="775">
        <f t="shared" si="12"/>
        <v>100</v>
      </c>
      <c r="X35" s="1816"/>
      <c r="Y35" s="322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4" t="s">
        <v>2571</v>
      </c>
      <c r="Q36" s="1813">
        <f t="shared" si="8"/>
        <v>111</v>
      </c>
      <c r="R36" s="774" t="s">
        <v>17</v>
      </c>
      <c r="S36" s="775">
        <f t="shared" si="10"/>
        <v>100</v>
      </c>
      <c r="T36" s="774" t="s">
        <v>17</v>
      </c>
      <c r="U36" s="775">
        <f t="shared" si="11"/>
        <v>100</v>
      </c>
      <c r="V36" s="774" t="s">
        <v>17</v>
      </c>
      <c r="W36" s="775">
        <f t="shared" si="12"/>
        <v>100</v>
      </c>
      <c r="X36" s="1816"/>
      <c r="Y36" s="3233"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3"/>
      <c r="Q37" s="1813">
        <f t="shared" si="8"/>
        <v>111</v>
      </c>
      <c r="R37" s="777" t="s">
        <v>17</v>
      </c>
      <c r="S37" s="778">
        <f t="shared" si="10"/>
        <v>100</v>
      </c>
      <c r="T37" s="777" t="s">
        <v>17</v>
      </c>
      <c r="U37" s="778">
        <f t="shared" si="11"/>
        <v>100</v>
      </c>
      <c r="V37" s="777" t="s">
        <v>17</v>
      </c>
      <c r="W37" s="778">
        <f t="shared" si="12"/>
        <v>100</v>
      </c>
      <c r="X37" s="779"/>
      <c r="Y37" s="3233"/>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3"/>
      <c r="Q38" s="1813" t="str">
        <f>B38</f>
        <v>宗地面积</v>
      </c>
      <c r="R38" s="774" t="s">
        <v>17</v>
      </c>
      <c r="S38" s="775" t="e">
        <f t="shared" si="10"/>
        <v>#N/A</v>
      </c>
      <c r="T38" s="774" t="s">
        <v>17</v>
      </c>
      <c r="U38" s="775" t="e">
        <f t="shared" si="11"/>
        <v>#N/A</v>
      </c>
      <c r="V38" s="774" t="s">
        <v>17</v>
      </c>
      <c r="W38" s="775" t="e">
        <f t="shared" si="12"/>
        <v>#N/A</v>
      </c>
      <c r="X38" s="1816"/>
      <c r="Y38" s="3233"/>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33"/>
      <c r="Q39" s="1813" t="str">
        <f t="shared" ref="Q39:Q45" si="14">B39</f>
        <v>宗地形状</v>
      </c>
      <c r="R39" s="774" t="s">
        <v>17</v>
      </c>
      <c r="S39" s="775">
        <f t="shared" si="10"/>
        <v>100</v>
      </c>
      <c r="T39" s="774" t="s">
        <v>17</v>
      </c>
      <c r="U39" s="775">
        <f t="shared" si="11"/>
        <v>100</v>
      </c>
      <c r="V39" s="774" t="s">
        <v>17</v>
      </c>
      <c r="W39" s="775">
        <f t="shared" si="12"/>
        <v>100</v>
      </c>
      <c r="X39" s="1816"/>
      <c r="Y39" s="3233"/>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33"/>
      <c r="Q40" s="1813" t="str">
        <f t="shared" si="14"/>
        <v>临街宽度及深度</v>
      </c>
      <c r="R40" s="774" t="s">
        <v>17</v>
      </c>
      <c r="S40" s="775">
        <f t="shared" si="10"/>
        <v>100</v>
      </c>
      <c r="T40" s="774" t="s">
        <v>17</v>
      </c>
      <c r="U40" s="775">
        <f t="shared" si="11"/>
        <v>100</v>
      </c>
      <c r="V40" s="774" t="s">
        <v>17</v>
      </c>
      <c r="W40" s="775">
        <f t="shared" si="12"/>
        <v>100</v>
      </c>
      <c r="X40" s="1816"/>
      <c r="Y40" s="3233"/>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33"/>
      <c r="Q41" s="1813"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33" t="s">
        <v>2571</v>
      </c>
      <c r="Q42" s="1813" t="str">
        <f t="shared" si="14"/>
        <v>工程地质条件</v>
      </c>
      <c r="R42" s="774" t="s">
        <v>17</v>
      </c>
      <c r="S42" s="775">
        <f t="shared" si="10"/>
        <v>100</v>
      </c>
      <c r="T42" s="774" t="s">
        <v>17</v>
      </c>
      <c r="U42" s="775">
        <f t="shared" si="11"/>
        <v>100</v>
      </c>
      <c r="V42" s="774" t="s">
        <v>17</v>
      </c>
      <c r="W42" s="775">
        <f t="shared" si="12"/>
        <v>100</v>
      </c>
      <c r="X42" s="1816"/>
      <c r="Y42" s="3233"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3"/>
      <c r="Q43" s="1813">
        <f t="shared" si="14"/>
        <v>111</v>
      </c>
      <c r="R43" s="774" t="s">
        <v>17</v>
      </c>
      <c r="S43" s="775">
        <f t="shared" si="10"/>
        <v>100</v>
      </c>
      <c r="T43" s="774" t="s">
        <v>17</v>
      </c>
      <c r="U43" s="775">
        <f t="shared" si="11"/>
        <v>100</v>
      </c>
      <c r="V43" s="774" t="s">
        <v>17</v>
      </c>
      <c r="W43" s="775">
        <f t="shared" si="12"/>
        <v>100</v>
      </c>
      <c r="X43" s="1816"/>
      <c r="Y43" s="323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3"/>
      <c r="Q44" s="1813">
        <f t="shared" si="14"/>
        <v>111</v>
      </c>
      <c r="R44" s="774" t="s">
        <v>17</v>
      </c>
      <c r="S44" s="775">
        <f t="shared" si="10"/>
        <v>100</v>
      </c>
      <c r="T44" s="774" t="s">
        <v>17</v>
      </c>
      <c r="U44" s="775">
        <f t="shared" si="11"/>
        <v>100</v>
      </c>
      <c r="V44" s="774" t="s">
        <v>17</v>
      </c>
      <c r="W44" s="775">
        <f t="shared" si="12"/>
        <v>100</v>
      </c>
      <c r="X44" s="1816"/>
      <c r="Y44" s="3233"/>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3"/>
      <c r="Q45" s="1813">
        <f t="shared" si="14"/>
        <v>111</v>
      </c>
      <c r="R45" s="777" t="s">
        <v>17</v>
      </c>
      <c r="S45" s="778">
        <f t="shared" si="10"/>
        <v>100</v>
      </c>
      <c r="T45" s="777" t="s">
        <v>17</v>
      </c>
      <c r="U45" s="778">
        <f t="shared" si="11"/>
        <v>100</v>
      </c>
      <c r="V45" s="777" t="s">
        <v>17</v>
      </c>
      <c r="W45" s="778">
        <f t="shared" si="12"/>
        <v>100</v>
      </c>
      <c r="X45" s="779"/>
      <c r="Y45" s="3233"/>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226" t="str">
        <f>A46</f>
        <v>成交单价</v>
      </c>
      <c r="Q46" s="3226"/>
      <c r="R46" s="3257">
        <f>E46</f>
        <v>0</v>
      </c>
      <c r="S46" s="3257"/>
      <c r="T46" s="3257">
        <f>G46</f>
        <v>0</v>
      </c>
      <c r="U46" s="3257"/>
      <c r="V46" s="3257">
        <f>I46</f>
        <v>0</v>
      </c>
      <c r="W46" s="3257"/>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226" t="str">
        <f>A47</f>
        <v>比较价值（元/平方米）</v>
      </c>
      <c r="Q47" s="3226"/>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223" t="str">
        <f>A48</f>
        <v>估价对象XX用房的比较价值（楼面单价，元/平方米）</v>
      </c>
      <c r="Q48" s="3224"/>
      <c r="R48" s="3306" t="e">
        <f>ROUND(AVERAGE(R47:V47),0)</f>
        <v>#DIV/0!</v>
      </c>
      <c r="S48" s="3306"/>
      <c r="T48" s="3306"/>
      <c r="U48" s="3306"/>
      <c r="V48" s="3306"/>
      <c r="W48" s="33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241" t="s">
        <v>2770</v>
      </c>
      <c r="H55" s="3307"/>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0</v>
      </c>
      <c r="F56" s="1106" t="e">
        <f t="shared" ref="F56:F65" si="15">ROUND(B56*E56/10000,0)</f>
        <v>#DIV/0!</v>
      </c>
      <c r="G56" s="3237"/>
      <c r="H56" s="3226"/>
      <c r="I56" s="1111">
        <v>1</v>
      </c>
      <c r="J56" s="1114">
        <v>1</v>
      </c>
      <c r="K56" s="1148"/>
      <c r="L56" s="944"/>
      <c r="M56" s="944"/>
      <c r="N56" s="944"/>
      <c r="O56" s="944"/>
    </row>
    <row r="57" spans="1:15" s="692" customFormat="1">
      <c r="A57" s="693" t="s">
        <v>2774</v>
      </c>
      <c r="B57" s="262" t="e">
        <f>ROUND($C$48*C57*D57,0)</f>
        <v>#DIV/0!</v>
      </c>
      <c r="C57" s="200">
        <f t="shared" ref="C57:C65" si="16">IF($C$55="北京市系数",I57,J57)</f>
        <v>0.8</v>
      </c>
      <c r="D57" s="1167">
        <v>0.25</v>
      </c>
      <c r="E57" s="694"/>
      <c r="F57" s="1106" t="e">
        <f t="shared" si="15"/>
        <v>#DIV/0!</v>
      </c>
      <c r="G57" s="3308" t="s">
        <v>2775</v>
      </c>
      <c r="H57" s="1107" t="str">
        <f>项目基本情况!B37</f>
        <v>一级</v>
      </c>
      <c r="I57" s="1111">
        <f>SUMIF(修正!A45:A56,H57,修正!B45:B56)</f>
        <v>0.8</v>
      </c>
      <c r="J57" s="1115"/>
      <c r="K57" s="1147"/>
      <c r="L57" s="944"/>
      <c r="M57" s="944"/>
      <c r="N57" s="944"/>
      <c r="O57" s="944"/>
    </row>
    <row r="58" spans="1:15" s="692" customFormat="1">
      <c r="A58" s="693" t="s">
        <v>2776</v>
      </c>
      <c r="B58" s="262" t="e">
        <f t="shared" ref="B58:B65" si="17">ROUND($C$48*C58*D58,0)</f>
        <v>#DIV/0!</v>
      </c>
      <c r="C58" s="200">
        <f t="shared" si="16"/>
        <v>0.5</v>
      </c>
      <c r="D58" s="1167">
        <v>0.25</v>
      </c>
      <c r="E58" s="694"/>
      <c r="F58" s="1106" t="e">
        <f t="shared" si="15"/>
        <v>#DIV/0!</v>
      </c>
      <c r="G58" s="3308"/>
      <c r="H58" s="1107" t="str">
        <f>项目基本情况!B37</f>
        <v>一级</v>
      </c>
      <c r="I58" s="1111">
        <f>SUMIF(修正!A45:A56,H58,修正!C45:C56)</f>
        <v>0.5</v>
      </c>
      <c r="J58" s="1115"/>
      <c r="K58" s="1148"/>
      <c r="L58" s="944"/>
      <c r="M58" s="944"/>
      <c r="N58" s="944"/>
      <c r="O58" s="944"/>
    </row>
    <row r="59" spans="1:15" s="692" customFormat="1">
      <c r="A59" s="693" t="s">
        <v>2777</v>
      </c>
      <c r="B59" s="262" t="e">
        <f t="shared" si="17"/>
        <v>#DIV/0!</v>
      </c>
      <c r="C59" s="200">
        <f t="shared" si="16"/>
        <v>0.36</v>
      </c>
      <c r="D59" s="1167">
        <v>0.25</v>
      </c>
      <c r="E59" s="694"/>
      <c r="F59" s="1106" t="e">
        <f t="shared" si="15"/>
        <v>#DIV/0!</v>
      </c>
      <c r="G59" s="3308"/>
      <c r="H59" s="1107" t="str">
        <f>项目基本情况!B37</f>
        <v>一级</v>
      </c>
      <c r="I59" s="1111">
        <f>SUMIF(修正!A45:A56,H59,修正!D45:D56)</f>
        <v>0.36</v>
      </c>
      <c r="J59" s="1115"/>
      <c r="K59" s="1147"/>
      <c r="L59" s="944"/>
      <c r="M59" s="944"/>
      <c r="N59" s="944"/>
      <c r="O59" s="944"/>
    </row>
    <row r="60" spans="1:15" s="692" customFormat="1">
      <c r="A60" s="693" t="s">
        <v>2778</v>
      </c>
      <c r="B60" s="262" t="e">
        <f t="shared" si="17"/>
        <v>#DIV/0!</v>
      </c>
      <c r="C60" s="200">
        <f t="shared" si="16"/>
        <v>0.3</v>
      </c>
      <c r="D60" s="1167">
        <v>0.25</v>
      </c>
      <c r="E60" s="694"/>
      <c r="F60" s="1106" t="e">
        <f t="shared" si="15"/>
        <v>#DIV/0!</v>
      </c>
      <c r="G60" s="3308"/>
      <c r="H60" s="1107" t="str">
        <f>项目基本情况!B37</f>
        <v>一级</v>
      </c>
      <c r="I60" s="1111">
        <f>SUMIF(修正!A45:A56,H60,修正!E45:E56)</f>
        <v>0.3</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5"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0.25</v>
      </c>
      <c r="D64" s="1167">
        <v>0.25</v>
      </c>
      <c r="E64" s="261">
        <f>'数据-汇总表'!E14</f>
        <v>12474.67</v>
      </c>
      <c r="F64" s="1106" t="e">
        <f t="shared" si="15"/>
        <v>#DIV/0!</v>
      </c>
      <c r="G64" s="2715" t="s">
        <v>2775</v>
      </c>
      <c r="H64" s="1107" t="str">
        <f>项目基本情况!B37</f>
        <v>一级</v>
      </c>
      <c r="I64" s="1111">
        <f>SUMIF(修正!A45:A56,H64,修正!H45:H56)</f>
        <v>0.25</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6"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12474.67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2789</v>
      </c>
      <c r="B71" s="332" t="str">
        <f>"北京市平均增长率"&amp;TEXT(SUMIF('基准地价修正-未出租'!N21:N25,A71,'基准地价修正-未出租'!P21:P25),"0.00%")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4"/>
      <c r="B4" s="3011" t="s">
        <v>1631</v>
      </c>
      <c r="C4" s="3011"/>
      <c r="D4" s="3011"/>
      <c r="E4" s="1964"/>
    </row>
    <row r="5" spans="1:5" ht="16.5" thickTop="1">
      <c r="A5" s="1962"/>
      <c r="B5" s="3009" t="s">
        <v>1623</v>
      </c>
      <c r="C5" s="1965" t="s">
        <v>1624</v>
      </c>
      <c r="D5" s="1043">
        <f ca="1">结果表!H101</f>
        <v>32487</v>
      </c>
      <c r="E5" s="1962"/>
    </row>
    <row r="6" spans="1:5" ht="15.75">
      <c r="A6" s="1962"/>
      <c r="B6" s="3009"/>
      <c r="C6" s="1965" t="s">
        <v>1625</v>
      </c>
      <c r="D6" s="1043" t="str">
        <f ca="1">NUMBERSTRING(INT(D5*10000),2)&amp;"元整"</f>
        <v>叁亿贰仟肆佰捌拾柒万元整</v>
      </c>
      <c r="E6" s="1962"/>
    </row>
    <row r="7" spans="1:5" ht="15.75">
      <c r="A7" s="1962"/>
      <c r="B7" s="3014"/>
      <c r="C7" s="1966" t="s">
        <v>1626</v>
      </c>
      <c r="D7" s="1044">
        <f ca="1">结果表!H102</f>
        <v>29895</v>
      </c>
      <c r="E7" s="1962"/>
    </row>
    <row r="8" spans="1:5" ht="15.75">
      <c r="A8" s="1962"/>
      <c r="B8" s="3015" t="str">
        <f>结果表!E103</f>
        <v>2.估价师知悉的法定优先受偿款</v>
      </c>
      <c r="C8" s="1967" t="s">
        <v>1627</v>
      </c>
      <c r="D8" s="1044">
        <f>结果表!H103</f>
        <v>0</v>
      </c>
      <c r="E8" s="1962"/>
    </row>
    <row r="9" spans="1:5" ht="15.75">
      <c r="A9" s="1962"/>
      <c r="B9" s="3017"/>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08" t="str">
        <f>结果表!E107</f>
        <v>3.房地产抵押价值</v>
      </c>
      <c r="C13" s="1970" t="s">
        <v>1624</v>
      </c>
      <c r="D13" s="1046">
        <f ca="1">结果表!H107</f>
        <v>32487</v>
      </c>
      <c r="E13" s="1962"/>
    </row>
    <row r="14" spans="1:5" ht="15.75">
      <c r="A14" s="1962"/>
      <c r="B14" s="3009"/>
      <c r="C14" s="1965" t="s">
        <v>1625</v>
      </c>
      <c r="D14" s="1043" t="str">
        <f ca="1">NUMBERSTRING(INT(D13*10000),2)&amp;"元整"</f>
        <v>叁亿贰仟肆佰捌拾柒万元整</v>
      </c>
      <c r="E14" s="1962"/>
    </row>
    <row r="15" spans="1:5" ht="15">
      <c r="A15" s="1962"/>
      <c r="B15" s="3014"/>
      <c r="C15" s="1966" t="s">
        <v>1635</v>
      </c>
      <c r="D15" s="1055">
        <f ca="1">结果表!H108</f>
        <v>12461</v>
      </c>
      <c r="E15" s="1962"/>
    </row>
    <row r="16" spans="1:5" ht="15">
      <c r="A16" s="1962"/>
      <c r="B16" s="3015" t="str">
        <f>结果表!E109</f>
        <v>——</v>
      </c>
      <c r="C16" s="1970" t="s">
        <v>1636</v>
      </c>
      <c r="D16" s="1971" t="str">
        <f>结果表!H109</f>
        <v>——</v>
      </c>
      <c r="E16" s="1962"/>
    </row>
    <row r="17" spans="1:5" ht="15.75">
      <c r="A17" s="1962"/>
      <c r="B17" s="3016"/>
      <c r="C17" s="1965" t="s">
        <v>1637</v>
      </c>
      <c r="D17" s="1043" t="e">
        <f>NUMBERSTRING(INT(D16*10000),2)&amp;"元整"</f>
        <v>#VALUE!</v>
      </c>
      <c r="E17" s="1962"/>
    </row>
    <row r="18" spans="1:5" ht="15">
      <c r="A18" s="1962"/>
      <c r="B18" s="3017"/>
      <c r="C18" s="1966" t="s">
        <v>1626</v>
      </c>
      <c r="D18" s="1055" t="str">
        <f>结果表!H110</f>
        <v>——</v>
      </c>
      <c r="E18" s="1962"/>
    </row>
    <row r="19" spans="1:5" ht="15.75">
      <c r="A19" s="1962"/>
      <c r="B19" s="3008" t="str">
        <f>结果表!E111</f>
        <v>——</v>
      </c>
      <c r="C19" s="1970" t="s">
        <v>1624</v>
      </c>
      <c r="D19" s="1044" t="str">
        <f>结果表!H111</f>
        <v>——</v>
      </c>
      <c r="E19" s="1962"/>
    </row>
    <row r="20" spans="1:5" ht="15.75">
      <c r="A20" s="1962"/>
      <c r="B20" s="3009"/>
      <c r="C20" s="1965" t="s">
        <v>1637</v>
      </c>
      <c r="D20" s="1043" t="e">
        <f>NUMBERSTRING(INT(D19*10000),2)&amp;"元整"</f>
        <v>#VALUE!</v>
      </c>
      <c r="E20" s="1962"/>
    </row>
    <row r="21" spans="1:5" ht="15.75" thickBot="1">
      <c r="A21" s="1962"/>
      <c r="B21" s="3010"/>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309" t="s">
        <v>2803</v>
      </c>
      <c r="D6" s="3310"/>
      <c r="E6" s="3311" t="s">
        <v>2803</v>
      </c>
      <c r="F6" s="3312"/>
      <c r="G6" s="3309" t="s">
        <v>2803</v>
      </c>
      <c r="H6" s="3310"/>
      <c r="I6" s="3309" t="s">
        <v>2803</v>
      </c>
      <c r="J6" s="3310"/>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226"/>
      <c r="Q10" s="1798" t="str">
        <f t="shared" si="6"/>
        <v>土地使用年限（年）</v>
      </c>
      <c r="R10" s="770" t="s">
        <v>17</v>
      </c>
      <c r="S10" s="771">
        <f t="shared" si="0"/>
        <v>121</v>
      </c>
      <c r="T10" s="770" t="s">
        <v>17</v>
      </c>
      <c r="U10" s="771">
        <f t="shared" si="1"/>
        <v>121</v>
      </c>
      <c r="V10" s="770" t="s">
        <v>17</v>
      </c>
      <c r="W10" s="771">
        <f t="shared" si="2"/>
        <v>121</v>
      </c>
      <c r="X10" s="772"/>
      <c r="Y10" s="3051"/>
      <c r="Z10" s="55" t="str">
        <f t="shared" si="7"/>
        <v>土地使用年限（年）</v>
      </c>
      <c r="AA10" s="773">
        <f t="shared" si="3"/>
        <v>0.82644628099173556</v>
      </c>
      <c r="AB10" s="773">
        <f t="shared" si="4"/>
        <v>0.82644628099173556</v>
      </c>
      <c r="AC10" s="773">
        <f t="shared" si="5"/>
        <v>0.82644628099173556</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8" t="s">
        <v>2566</v>
      </c>
      <c r="Q15" s="1813" t="str">
        <f t="shared" si="6"/>
        <v>产业集聚程度</v>
      </c>
      <c r="R15" s="774" t="s">
        <v>17</v>
      </c>
      <c r="S15" s="775">
        <f t="shared" si="0"/>
        <v>100</v>
      </c>
      <c r="T15" s="774" t="s">
        <v>17</v>
      </c>
      <c r="U15" s="775">
        <f t="shared" si="1"/>
        <v>100</v>
      </c>
      <c r="V15" s="774" t="s">
        <v>17</v>
      </c>
      <c r="W15" s="775">
        <f t="shared" si="2"/>
        <v>100</v>
      </c>
      <c r="X15" s="1816"/>
      <c r="Y15" s="3228"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9"/>
      <c r="Q19" s="1813" t="str">
        <f t="shared" ref="Q19:Q33" si="8">B19</f>
        <v>区域土地利用方向</v>
      </c>
      <c r="R19" s="774" t="s">
        <v>17</v>
      </c>
      <c r="S19" s="775">
        <f>F19</f>
        <v>100</v>
      </c>
      <c r="T19" s="774" t="s">
        <v>17</v>
      </c>
      <c r="U19" s="775">
        <f>H19</f>
        <v>100</v>
      </c>
      <c r="V19" s="774" t="s">
        <v>17</v>
      </c>
      <c r="W19" s="775">
        <f>J19</f>
        <v>100</v>
      </c>
      <c r="X19" s="1816"/>
      <c r="Y19" s="3229"/>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29"/>
      <c r="Q20" s="1813"/>
      <c r="R20" s="774"/>
      <c r="S20" s="775"/>
      <c r="T20" s="774"/>
      <c r="U20" s="775"/>
      <c r="V20" s="774"/>
      <c r="W20" s="775"/>
      <c r="X20" s="1816"/>
      <c r="Y20" s="3229"/>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9"/>
      <c r="Q21" s="1813" t="str">
        <f t="shared" si="8"/>
        <v>环境状况</v>
      </c>
      <c r="R21" s="774" t="s">
        <v>17</v>
      </c>
      <c r="S21" s="775">
        <f>F21</f>
        <v>100</v>
      </c>
      <c r="T21" s="774" t="s">
        <v>17</v>
      </c>
      <c r="U21" s="775">
        <f>H21</f>
        <v>100</v>
      </c>
      <c r="V21" s="774" t="s">
        <v>17</v>
      </c>
      <c r="W21" s="775">
        <f>J21</f>
        <v>100</v>
      </c>
      <c r="X21" s="1816"/>
      <c r="Y21" s="3229"/>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9"/>
      <c r="Q23" s="1798" t="str">
        <f t="shared" si="8"/>
        <v>公共配套设施</v>
      </c>
      <c r="R23" s="770" t="s">
        <v>17</v>
      </c>
      <c r="S23" s="771">
        <f>F23</f>
        <v>100</v>
      </c>
      <c r="T23" s="770" t="s">
        <v>17</v>
      </c>
      <c r="U23" s="771">
        <f>H23</f>
        <v>100</v>
      </c>
      <c r="V23" s="770" t="s">
        <v>17</v>
      </c>
      <c r="W23" s="771">
        <f>J23</f>
        <v>100</v>
      </c>
      <c r="X23" s="772"/>
      <c r="Y23" s="3229"/>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29"/>
      <c r="Q24" s="1798"/>
      <c r="R24" s="770"/>
      <c r="S24" s="771"/>
      <c r="T24" s="770"/>
      <c r="U24" s="771"/>
      <c r="V24" s="770"/>
      <c r="W24" s="771"/>
      <c r="X24" s="772"/>
      <c r="Y24" s="3229"/>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9"/>
      <c r="Q25" s="1798"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29"/>
      <c r="Q26" s="1798"/>
      <c r="R26" s="770"/>
      <c r="S26" s="771"/>
      <c r="T26" s="770"/>
      <c r="U26" s="771"/>
      <c r="V26" s="770"/>
      <c r="W26" s="771"/>
      <c r="X26" s="772"/>
      <c r="Y26" s="3229"/>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9"/>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9"/>
      <c r="Q28" s="1813" t="str">
        <f t="shared" si="8"/>
        <v>毗邻道路的类型与等级</v>
      </c>
      <c r="R28" s="774" t="s">
        <v>17</v>
      </c>
      <c r="S28" s="775">
        <f t="shared" si="10"/>
        <v>100</v>
      </c>
      <c r="T28" s="774" t="s">
        <v>17</v>
      </c>
      <c r="U28" s="775">
        <f t="shared" si="11"/>
        <v>100</v>
      </c>
      <c r="V28" s="774" t="s">
        <v>17</v>
      </c>
      <c r="W28" s="775">
        <f t="shared" si="12"/>
        <v>100</v>
      </c>
      <c r="X28" s="1816"/>
      <c r="Y28" s="3229"/>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29"/>
      <c r="Q29" s="1813"/>
      <c r="R29" s="774"/>
      <c r="S29" s="775"/>
      <c r="T29" s="774"/>
      <c r="U29" s="775"/>
      <c r="V29" s="774"/>
      <c r="W29" s="775"/>
      <c r="X29" s="1816"/>
      <c r="Y29" s="3229"/>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9"/>
      <c r="Q30" s="1813" t="str">
        <f t="shared" si="8"/>
        <v>土地级别</v>
      </c>
      <c r="R30" s="774" t="s">
        <v>17</v>
      </c>
      <c r="S30" s="775">
        <f t="shared" si="10"/>
        <v>100</v>
      </c>
      <c r="T30" s="774" t="s">
        <v>17</v>
      </c>
      <c r="U30" s="775">
        <f t="shared" si="11"/>
        <v>100</v>
      </c>
      <c r="V30" s="774" t="s">
        <v>17</v>
      </c>
      <c r="W30" s="775">
        <f t="shared" si="12"/>
        <v>100</v>
      </c>
      <c r="X30" s="1816"/>
      <c r="Y30" s="3229"/>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9"/>
      <c r="Q31" s="1813">
        <f t="shared" si="8"/>
        <v>111</v>
      </c>
      <c r="R31" s="774" t="s">
        <v>17</v>
      </c>
      <c r="S31" s="775">
        <f t="shared" si="10"/>
        <v>100</v>
      </c>
      <c r="T31" s="774" t="s">
        <v>17</v>
      </c>
      <c r="U31" s="775">
        <f t="shared" si="11"/>
        <v>100</v>
      </c>
      <c r="V31" s="774" t="s">
        <v>17</v>
      </c>
      <c r="W31" s="775">
        <f t="shared" si="12"/>
        <v>100</v>
      </c>
      <c r="X31" s="1816"/>
      <c r="Y31" s="3229"/>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4" t="s">
        <v>2571</v>
      </c>
      <c r="Q32" s="1813">
        <f t="shared" si="8"/>
        <v>111</v>
      </c>
      <c r="R32" s="774" t="s">
        <v>17</v>
      </c>
      <c r="S32" s="775">
        <f t="shared" si="10"/>
        <v>100</v>
      </c>
      <c r="T32" s="774" t="s">
        <v>17</v>
      </c>
      <c r="U32" s="775">
        <f t="shared" si="11"/>
        <v>100</v>
      </c>
      <c r="V32" s="774" t="s">
        <v>17</v>
      </c>
      <c r="W32" s="775">
        <f t="shared" si="12"/>
        <v>100</v>
      </c>
      <c r="X32" s="1816"/>
      <c r="Y32" s="3233"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3"/>
      <c r="Q33" s="1813">
        <f t="shared" si="8"/>
        <v>111</v>
      </c>
      <c r="R33" s="777" t="s">
        <v>17</v>
      </c>
      <c r="S33" s="778">
        <f t="shared" si="10"/>
        <v>100</v>
      </c>
      <c r="T33" s="777" t="s">
        <v>17</v>
      </c>
      <c r="U33" s="778">
        <f t="shared" si="11"/>
        <v>100</v>
      </c>
      <c r="V33" s="777" t="s">
        <v>17</v>
      </c>
      <c r="W33" s="778">
        <f t="shared" si="12"/>
        <v>100</v>
      </c>
      <c r="X33" s="779"/>
      <c r="Y33" s="3233"/>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3"/>
      <c r="Q34" s="1813" t="str">
        <f>B34</f>
        <v>宗地面积</v>
      </c>
      <c r="R34" s="774" t="s">
        <v>17</v>
      </c>
      <c r="S34" s="775" t="e">
        <f t="shared" si="10"/>
        <v>#N/A</v>
      </c>
      <c r="T34" s="774" t="s">
        <v>17</v>
      </c>
      <c r="U34" s="775" t="e">
        <f t="shared" si="11"/>
        <v>#N/A</v>
      </c>
      <c r="V34" s="774" t="s">
        <v>17</v>
      </c>
      <c r="W34" s="775" t="e">
        <f t="shared" si="12"/>
        <v>#N/A</v>
      </c>
      <c r="X34" s="1816"/>
      <c r="Y34" s="3233"/>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33"/>
      <c r="Q35" s="1813" t="str">
        <f t="shared" ref="Q35:Q40" si="14">B35</f>
        <v>宗地形状</v>
      </c>
      <c r="R35" s="774" t="s">
        <v>17</v>
      </c>
      <c r="S35" s="775">
        <f t="shared" si="10"/>
        <v>100</v>
      </c>
      <c r="T35" s="774" t="s">
        <v>17</v>
      </c>
      <c r="U35" s="775">
        <f t="shared" si="11"/>
        <v>100</v>
      </c>
      <c r="V35" s="774" t="s">
        <v>17</v>
      </c>
      <c r="W35" s="775">
        <f t="shared" si="12"/>
        <v>100</v>
      </c>
      <c r="X35" s="1816"/>
      <c r="Y35" s="3233"/>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33"/>
      <c r="Q36" s="1813"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33" t="s">
        <v>2571</v>
      </c>
      <c r="Q37" s="1813" t="str">
        <f t="shared" si="14"/>
        <v>工程地质条件</v>
      </c>
      <c r="R37" s="774" t="s">
        <v>17</v>
      </c>
      <c r="S37" s="775">
        <f t="shared" si="10"/>
        <v>100</v>
      </c>
      <c r="T37" s="774" t="s">
        <v>17</v>
      </c>
      <c r="U37" s="775">
        <f t="shared" si="11"/>
        <v>100</v>
      </c>
      <c r="V37" s="774" t="s">
        <v>17</v>
      </c>
      <c r="W37" s="775">
        <f t="shared" si="12"/>
        <v>100</v>
      </c>
      <c r="X37" s="1816"/>
      <c r="Y37" s="3233"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3"/>
      <c r="Q38" s="1813">
        <f t="shared" si="14"/>
        <v>111</v>
      </c>
      <c r="R38" s="774" t="s">
        <v>17</v>
      </c>
      <c r="S38" s="775">
        <f t="shared" si="10"/>
        <v>100</v>
      </c>
      <c r="T38" s="774" t="s">
        <v>17</v>
      </c>
      <c r="U38" s="775">
        <f t="shared" si="11"/>
        <v>100</v>
      </c>
      <c r="V38" s="774" t="s">
        <v>17</v>
      </c>
      <c r="W38" s="775">
        <f t="shared" si="12"/>
        <v>100</v>
      </c>
      <c r="X38" s="1816"/>
      <c r="Y38" s="323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3"/>
      <c r="Q39" s="1813">
        <f t="shared" si="14"/>
        <v>111</v>
      </c>
      <c r="R39" s="774" t="s">
        <v>17</v>
      </c>
      <c r="S39" s="775">
        <f t="shared" si="10"/>
        <v>100</v>
      </c>
      <c r="T39" s="774" t="s">
        <v>17</v>
      </c>
      <c r="U39" s="775">
        <f t="shared" si="11"/>
        <v>100</v>
      </c>
      <c r="V39" s="774" t="s">
        <v>17</v>
      </c>
      <c r="W39" s="775">
        <f t="shared" si="12"/>
        <v>100</v>
      </c>
      <c r="X39" s="1816"/>
      <c r="Y39" s="3233"/>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3"/>
      <c r="Q40" s="1813">
        <f t="shared" si="14"/>
        <v>111</v>
      </c>
      <c r="R40" s="777" t="s">
        <v>17</v>
      </c>
      <c r="S40" s="778">
        <f t="shared" si="10"/>
        <v>100</v>
      </c>
      <c r="T40" s="777" t="s">
        <v>17</v>
      </c>
      <c r="U40" s="778">
        <f t="shared" si="11"/>
        <v>100</v>
      </c>
      <c r="V40" s="777" t="s">
        <v>17</v>
      </c>
      <c r="W40" s="778">
        <f t="shared" si="12"/>
        <v>100</v>
      </c>
      <c r="X40" s="779"/>
      <c r="Y40" s="3233"/>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226" t="str">
        <f>A41</f>
        <v>成交单价</v>
      </c>
      <c r="Q41" s="3226"/>
      <c r="R41" s="3257">
        <f>E41</f>
        <v>0</v>
      </c>
      <c r="S41" s="3257"/>
      <c r="T41" s="3257">
        <f>G41</f>
        <v>0</v>
      </c>
      <c r="U41" s="3257"/>
      <c r="V41" s="3257">
        <f>I41</f>
        <v>0</v>
      </c>
      <c r="W41" s="3257"/>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226" t="str">
        <f>A42</f>
        <v>比较价值（元/平方米）</v>
      </c>
      <c r="Q42" s="3226"/>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306" t="e">
        <f>ROUND(AVERAGE(R42:V42),0)</f>
        <v>#DIV/0!</v>
      </c>
      <c r="S43" s="3306"/>
      <c r="T43" s="3306"/>
      <c r="U43" s="3306"/>
      <c r="V43" s="3306"/>
      <c r="W43" s="33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241" t="s">
        <v>2770</v>
      </c>
      <c r="H50" s="3307"/>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0</v>
      </c>
      <c r="F51" s="691" t="e">
        <f t="shared" ref="F51:F60" si="15">ROUND(B51*E51/10000,0)</f>
        <v>#DIV/0!</v>
      </c>
      <c r="G51" s="3237"/>
      <c r="H51" s="3226"/>
      <c r="I51" s="945">
        <v>1</v>
      </c>
      <c r="J51" s="945">
        <v>1</v>
      </c>
      <c r="K51" s="1148"/>
      <c r="L51" s="944"/>
      <c r="M51" s="944"/>
      <c r="N51" s="944"/>
      <c r="O51" s="944"/>
    </row>
    <row r="52" spans="1:17" s="692" customFormat="1">
      <c r="A52" s="693" t="s">
        <v>2774</v>
      </c>
      <c r="B52" s="262" t="e">
        <f>ROUND($C$43*C52*D52,0)</f>
        <v>#DIV/0!</v>
      </c>
      <c r="C52" s="200">
        <f t="shared" ref="C52:C60" si="16">IF($C$50="北京市系数",I52,J52)</f>
        <v>0.8</v>
      </c>
      <c r="D52" s="1167">
        <v>0.25</v>
      </c>
      <c r="E52" s="694"/>
      <c r="F52" s="691" t="e">
        <f t="shared" si="15"/>
        <v>#DIV/0!</v>
      </c>
      <c r="G52" s="3308" t="s">
        <v>2775</v>
      </c>
      <c r="H52" s="1107" t="str">
        <f>项目基本情况!B37</f>
        <v>一级</v>
      </c>
      <c r="I52" s="945">
        <f>SUMIF(修正!A45:A56,H52,修正!B45:B56)</f>
        <v>0.8</v>
      </c>
      <c r="J52" s="946"/>
      <c r="K52" s="1147"/>
      <c r="L52" s="944"/>
      <c r="M52" s="944"/>
      <c r="N52" s="944"/>
      <c r="O52" s="944"/>
    </row>
    <row r="53" spans="1:17" s="692" customFormat="1">
      <c r="A53" s="693" t="s">
        <v>2776</v>
      </c>
      <c r="B53" s="262" t="e">
        <f t="shared" ref="B53:B60" si="17">ROUND($C$43*C53*D53,0)</f>
        <v>#DIV/0!</v>
      </c>
      <c r="C53" s="200">
        <f t="shared" si="16"/>
        <v>0.5</v>
      </c>
      <c r="D53" s="1167">
        <v>0.25</v>
      </c>
      <c r="E53" s="694"/>
      <c r="F53" s="691" t="e">
        <f t="shared" si="15"/>
        <v>#DIV/0!</v>
      </c>
      <c r="G53" s="3308"/>
      <c r="H53" s="1107" t="str">
        <f>项目基本情况!B37</f>
        <v>一级</v>
      </c>
      <c r="I53" s="945">
        <f>SUMIF(修正!A45:A56,H53,修正!C45:C56)</f>
        <v>0.5</v>
      </c>
      <c r="J53" s="946"/>
      <c r="K53" s="1148"/>
      <c r="L53" s="944"/>
      <c r="M53" s="944"/>
      <c r="N53" s="944"/>
      <c r="O53" s="944"/>
    </row>
    <row r="54" spans="1:17" s="692" customFormat="1">
      <c r="A54" s="693" t="s">
        <v>2777</v>
      </c>
      <c r="B54" s="262" t="e">
        <f t="shared" si="17"/>
        <v>#DIV/0!</v>
      </c>
      <c r="C54" s="200">
        <f t="shared" si="16"/>
        <v>0.36</v>
      </c>
      <c r="D54" s="1167">
        <v>0.25</v>
      </c>
      <c r="E54" s="694"/>
      <c r="F54" s="691" t="e">
        <f t="shared" si="15"/>
        <v>#DIV/0!</v>
      </c>
      <c r="G54" s="3308"/>
      <c r="H54" s="1107" t="str">
        <f>项目基本情况!B37</f>
        <v>一级</v>
      </c>
      <c r="I54" s="945">
        <f>SUMIF(修正!A45:A56,H54,修正!D45:D56)</f>
        <v>0.36</v>
      </c>
      <c r="J54" s="946"/>
      <c r="K54" s="1147"/>
      <c r="L54" s="944"/>
      <c r="M54" s="944"/>
      <c r="N54" s="944"/>
      <c r="O54" s="944"/>
    </row>
    <row r="55" spans="1:17" s="692" customFormat="1">
      <c r="A55" s="693" t="s">
        <v>2778</v>
      </c>
      <c r="B55" s="262" t="e">
        <f t="shared" si="17"/>
        <v>#DIV/0!</v>
      </c>
      <c r="C55" s="200">
        <f t="shared" si="16"/>
        <v>0.3</v>
      </c>
      <c r="D55" s="1167">
        <v>0.25</v>
      </c>
      <c r="E55" s="694"/>
      <c r="F55" s="691" t="e">
        <f t="shared" si="15"/>
        <v>#DIV/0!</v>
      </c>
      <c r="G55" s="3308"/>
      <c r="H55" s="1107" t="str">
        <f>项目基本情况!B37</f>
        <v>一级</v>
      </c>
      <c r="I55" s="945">
        <f>SUMIF(修正!A45:A56,H55,修正!E45:E56)</f>
        <v>0.3</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5"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0.25</v>
      </c>
      <c r="D59" s="1167">
        <v>0.25</v>
      </c>
      <c r="E59" s="261">
        <f>'数据-汇总表'!E14</f>
        <v>12474.67</v>
      </c>
      <c r="F59" s="691" t="e">
        <f t="shared" si="15"/>
        <v>#DIV/0!</v>
      </c>
      <c r="G59" s="2715" t="s">
        <v>2775</v>
      </c>
      <c r="H59" s="1107" t="str">
        <f>项目基本情况!B37</f>
        <v>一级</v>
      </c>
      <c r="I59" s="945">
        <f>SUMIF(修正!A45:A56,H59,修正!H45:H56)</f>
        <v>0.25</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6"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9821.76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2808</v>
      </c>
      <c r="B66" s="332" t="str">
        <f>"北京市平均增长率"&amp;TEXT('基准地价修正-未出租'!P24,"0.00%")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3" t="s">
        <v>183</v>
      </c>
      <c r="B18" s="882" t="s">
        <v>560</v>
      </c>
      <c r="C18" s="883" t="s">
        <v>561</v>
      </c>
      <c r="D18" s="884"/>
      <c r="E18" s="882">
        <v>1</v>
      </c>
      <c r="F18" s="885" t="s">
        <v>562</v>
      </c>
      <c r="G18" s="886"/>
      <c r="H18" s="878"/>
      <c r="I18" s="878"/>
    </row>
    <row r="19" spans="1:9" s="887" customFormat="1" ht="19.5" customHeight="1">
      <c r="A19" s="3313"/>
      <c r="B19" s="3313" t="s">
        <v>563</v>
      </c>
      <c r="C19" s="883" t="s">
        <v>564</v>
      </c>
      <c r="D19" s="884"/>
      <c r="E19" s="882">
        <v>0.9</v>
      </c>
      <c r="F19" s="885" t="s">
        <v>565</v>
      </c>
      <c r="G19" s="886"/>
      <c r="H19" s="878"/>
      <c r="I19" s="878"/>
    </row>
    <row r="20" spans="1:9" s="887" customFormat="1" ht="19.5" customHeight="1">
      <c r="A20" s="3313"/>
      <c r="B20" s="3313"/>
      <c r="C20" s="883" t="s">
        <v>566</v>
      </c>
      <c r="D20" s="884"/>
      <c r="E20" s="882">
        <v>1.1000000000000001</v>
      </c>
      <c r="F20" s="885" t="s">
        <v>567</v>
      </c>
      <c r="G20" s="886"/>
      <c r="H20" s="878"/>
      <c r="I20" s="878"/>
    </row>
    <row r="21" spans="1:9" s="887" customFormat="1" ht="19.5" customHeight="1">
      <c r="A21" s="3313"/>
      <c r="B21" s="3313"/>
      <c r="C21" s="883" t="s">
        <v>568</v>
      </c>
      <c r="D21" s="884"/>
      <c r="E21" s="882">
        <v>0.8</v>
      </c>
      <c r="F21" s="885" t="s">
        <v>569</v>
      </c>
      <c r="G21" s="886"/>
      <c r="H21" s="878"/>
      <c r="I21" s="878"/>
    </row>
    <row r="22" spans="1:9" s="887" customFormat="1" ht="19.5" customHeight="1">
      <c r="A22" s="3313"/>
      <c r="B22" s="3313"/>
      <c r="C22" s="883" t="s">
        <v>570</v>
      </c>
      <c r="D22" s="884"/>
      <c r="E22" s="882">
        <v>0.5</v>
      </c>
      <c r="F22" s="885"/>
      <c r="G22" s="886"/>
      <c r="H22" s="878"/>
      <c r="I22" s="878"/>
    </row>
    <row r="23" spans="1:9" s="887" customFormat="1" ht="19.5" customHeight="1">
      <c r="A23" s="3313" t="s">
        <v>184</v>
      </c>
      <c r="B23" s="882" t="s">
        <v>560</v>
      </c>
      <c r="C23" s="883" t="s">
        <v>571</v>
      </c>
      <c r="D23" s="884"/>
      <c r="E23" s="882">
        <v>1</v>
      </c>
      <c r="F23" s="885" t="s">
        <v>572</v>
      </c>
      <c r="G23" s="886"/>
      <c r="H23" s="878"/>
      <c r="I23" s="878"/>
    </row>
    <row r="24" spans="1:9" s="887" customFormat="1" ht="19.5" customHeight="1">
      <c r="A24" s="3313"/>
      <c r="B24" s="3313" t="s">
        <v>563</v>
      </c>
      <c r="C24" s="883" t="s">
        <v>573</v>
      </c>
      <c r="D24" s="884"/>
      <c r="E24" s="882">
        <v>0.5</v>
      </c>
      <c r="F24" s="885"/>
      <c r="G24" s="886"/>
      <c r="H24" s="878"/>
      <c r="I24" s="878"/>
    </row>
    <row r="25" spans="1:9" s="887" customFormat="1" ht="19.5" customHeight="1">
      <c r="A25" s="3313"/>
      <c r="B25" s="3313"/>
      <c r="C25" s="883" t="s">
        <v>574</v>
      </c>
      <c r="D25" s="884"/>
      <c r="E25" s="882">
        <v>1.1000000000000001</v>
      </c>
      <c r="F25" s="885"/>
      <c r="G25" s="886"/>
      <c r="H25" s="878"/>
      <c r="I25" s="878"/>
    </row>
    <row r="26" spans="1:9" s="887" customFormat="1" ht="19.5" customHeight="1">
      <c r="A26" s="3313"/>
      <c r="B26" s="3313"/>
      <c r="C26" s="883" t="s">
        <v>575</v>
      </c>
      <c r="D26" s="884"/>
      <c r="E26" s="882">
        <v>1.1000000000000001</v>
      </c>
      <c r="F26" s="885"/>
      <c r="G26" s="886"/>
      <c r="H26" s="878"/>
      <c r="I26" s="878"/>
    </row>
    <row r="27" spans="1:9" s="887" customFormat="1" ht="19.5" customHeight="1">
      <c r="A27" s="3313"/>
      <c r="B27" s="3313"/>
      <c r="C27" s="883" t="s">
        <v>576</v>
      </c>
      <c r="D27" s="884"/>
      <c r="E27" s="882">
        <v>0.9</v>
      </c>
      <c r="F27" s="885" t="s">
        <v>577</v>
      </c>
      <c r="G27" s="886"/>
      <c r="H27" s="878"/>
      <c r="I27" s="878"/>
    </row>
    <row r="28" spans="1:9" s="887" customFormat="1" ht="19.5" customHeight="1">
      <c r="A28" s="3313"/>
      <c r="B28" s="3313"/>
      <c r="C28" s="883" t="s">
        <v>578</v>
      </c>
      <c r="D28" s="884"/>
      <c r="E28" s="882">
        <v>0.9</v>
      </c>
      <c r="F28" s="885" t="s">
        <v>579</v>
      </c>
      <c r="G28" s="886"/>
      <c r="H28" s="878"/>
      <c r="I28" s="878"/>
    </row>
    <row r="29" spans="1:9" s="887" customFormat="1" ht="19.5" customHeight="1">
      <c r="A29" s="3313"/>
      <c r="B29" s="3313"/>
      <c r="C29" s="883" t="s">
        <v>580</v>
      </c>
      <c r="D29" s="884"/>
      <c r="E29" s="882">
        <v>0.9</v>
      </c>
      <c r="F29" s="885" t="s">
        <v>581</v>
      </c>
      <c r="G29" s="886"/>
      <c r="H29" s="878"/>
      <c r="I29" s="878"/>
    </row>
    <row r="30" spans="1:9" s="887" customFormat="1" ht="19.5" customHeight="1">
      <c r="A30" s="3313"/>
      <c r="B30" s="3313"/>
      <c r="C30" s="883" t="s">
        <v>582</v>
      </c>
      <c r="D30" s="884"/>
      <c r="E30" s="882">
        <v>0.9</v>
      </c>
      <c r="F30" s="885" t="s">
        <v>583</v>
      </c>
      <c r="G30" s="886"/>
      <c r="H30" s="878"/>
      <c r="I30" s="878"/>
    </row>
    <row r="31" spans="1:9" s="887" customFormat="1" ht="19.5" customHeight="1">
      <c r="A31" s="3313"/>
      <c r="B31" s="3313"/>
      <c r="C31" s="883" t="s">
        <v>584</v>
      </c>
      <c r="D31" s="884"/>
      <c r="E31" s="882">
        <v>0.8</v>
      </c>
      <c r="F31" s="885" t="s">
        <v>585</v>
      </c>
      <c r="G31" s="886"/>
      <c r="H31" s="878"/>
      <c r="I31" s="878"/>
    </row>
    <row r="32" spans="1:9" s="887" customFormat="1" ht="19.5" customHeight="1">
      <c r="A32" s="3313"/>
      <c r="B32" s="3313"/>
      <c r="C32" s="883" t="s">
        <v>586</v>
      </c>
      <c r="D32" s="884"/>
      <c r="E32" s="882">
        <v>0.8</v>
      </c>
      <c r="F32" s="885" t="s">
        <v>587</v>
      </c>
      <c r="G32" s="886"/>
      <c r="H32" s="878"/>
      <c r="I32" s="878"/>
    </row>
    <row r="33" spans="1:9" s="887" customFormat="1" ht="19.5" customHeight="1">
      <c r="A33" s="3313" t="s">
        <v>185</v>
      </c>
      <c r="B33" s="882" t="s">
        <v>560</v>
      </c>
      <c r="C33" s="883" t="s">
        <v>588</v>
      </c>
      <c r="D33" s="884"/>
      <c r="E33" s="882">
        <v>1</v>
      </c>
      <c r="F33" s="885" t="s">
        <v>589</v>
      </c>
      <c r="G33" s="886"/>
      <c r="H33" s="878"/>
      <c r="I33" s="878"/>
    </row>
    <row r="34" spans="1:9" s="887" customFormat="1" ht="19.5" customHeight="1">
      <c r="A34" s="3313"/>
      <c r="B34" s="882" t="s">
        <v>563</v>
      </c>
      <c r="C34" s="883" t="s">
        <v>590</v>
      </c>
      <c r="D34" s="884"/>
      <c r="E34" s="882">
        <v>1.5</v>
      </c>
      <c r="F34" s="885" t="s">
        <v>591</v>
      </c>
      <c r="G34" s="886"/>
      <c r="H34" s="878"/>
      <c r="I34" s="878"/>
    </row>
    <row r="35" spans="1:9" s="887" customFormat="1" ht="19.5" customHeight="1">
      <c r="A35" s="3313" t="s">
        <v>186</v>
      </c>
      <c r="B35" s="882" t="s">
        <v>560</v>
      </c>
      <c r="C35" s="883" t="s">
        <v>592</v>
      </c>
      <c r="D35" s="884"/>
      <c r="E35" s="882">
        <v>1</v>
      </c>
      <c r="F35" s="885" t="s">
        <v>593</v>
      </c>
      <c r="G35" s="886"/>
      <c r="H35" s="878"/>
      <c r="I35" s="878"/>
    </row>
    <row r="36" spans="1:9" s="887" customFormat="1" ht="19.5" customHeight="1">
      <c r="A36" s="3313"/>
      <c r="B36" s="3313" t="s">
        <v>563</v>
      </c>
      <c r="C36" s="883" t="s">
        <v>594</v>
      </c>
      <c r="D36" s="884"/>
      <c r="E36" s="882">
        <v>1</v>
      </c>
      <c r="F36" s="885" t="s">
        <v>595</v>
      </c>
      <c r="G36" s="886"/>
      <c r="H36" s="878"/>
      <c r="I36" s="878"/>
    </row>
    <row r="37" spans="1:9" s="887" customFormat="1" ht="19.5" customHeight="1">
      <c r="A37" s="3313"/>
      <c r="B37" s="3313"/>
      <c r="C37" s="883" t="s">
        <v>596</v>
      </c>
      <c r="D37" s="884"/>
      <c r="E37" s="882">
        <v>1.5</v>
      </c>
      <c r="F37" s="885" t="s">
        <v>597</v>
      </c>
      <c r="G37" s="886"/>
      <c r="H37" s="878"/>
      <c r="I37" s="878"/>
    </row>
    <row r="38" spans="1:9" s="887" customFormat="1" ht="19.5" customHeight="1">
      <c r="A38" s="3313"/>
      <c r="B38" s="3313"/>
      <c r="C38" s="883" t="s">
        <v>598</v>
      </c>
      <c r="D38" s="884"/>
      <c r="E38" s="882">
        <v>1</v>
      </c>
      <c r="F38" s="885" t="s">
        <v>599</v>
      </c>
      <c r="G38" s="886"/>
      <c r="H38" s="878"/>
      <c r="I38" s="878"/>
    </row>
    <row r="39" spans="1:9" s="887" customFormat="1" ht="19.5" customHeight="1">
      <c r="A39" s="3313"/>
      <c r="B39" s="331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3" t="s">
        <v>614</v>
      </c>
      <c r="C61" s="818" t="s">
        <v>615</v>
      </c>
      <c r="D61" s="818" t="s">
        <v>616</v>
      </c>
      <c r="E61" s="895">
        <v>0.5</v>
      </c>
      <c r="F61" s="882">
        <v>80</v>
      </c>
    </row>
    <row r="62" spans="1:8" s="878" customFormat="1" ht="24">
      <c r="A62" s="882">
        <v>2</v>
      </c>
      <c r="B62" s="3313"/>
      <c r="C62" s="818" t="s">
        <v>617</v>
      </c>
      <c r="D62" s="818" t="s">
        <v>618</v>
      </c>
      <c r="E62" s="895">
        <v>0.5</v>
      </c>
      <c r="F62" s="882">
        <v>80</v>
      </c>
    </row>
    <row r="63" spans="1:8" s="878" customFormat="1" ht="36">
      <c r="A63" s="882">
        <v>3</v>
      </c>
      <c r="B63" s="3313"/>
      <c r="C63" s="818" t="s">
        <v>619</v>
      </c>
      <c r="D63" s="818" t="s">
        <v>620</v>
      </c>
      <c r="E63" s="895">
        <v>0.5</v>
      </c>
      <c r="F63" s="882">
        <v>80</v>
      </c>
    </row>
    <row r="64" spans="1:8" s="878" customFormat="1" ht="36">
      <c r="A64" s="882">
        <v>4</v>
      </c>
      <c r="B64" s="3313"/>
      <c r="C64" s="818" t="s">
        <v>621</v>
      </c>
      <c r="D64" s="818" t="s">
        <v>622</v>
      </c>
      <c r="E64" s="895">
        <v>0.4</v>
      </c>
      <c r="F64" s="882">
        <v>60</v>
      </c>
    </row>
    <row r="65" spans="1:6" s="878" customFormat="1" ht="36">
      <c r="A65" s="882">
        <v>5</v>
      </c>
      <c r="B65" s="3313"/>
      <c r="C65" s="818" t="s">
        <v>623</v>
      </c>
      <c r="D65" s="818" t="s">
        <v>624</v>
      </c>
      <c r="E65" s="895">
        <v>0.2</v>
      </c>
      <c r="F65" s="882">
        <v>30</v>
      </c>
    </row>
    <row r="66" spans="1:6" s="878" customFormat="1" ht="36">
      <c r="A66" s="882">
        <v>6</v>
      </c>
      <c r="B66" s="3313"/>
      <c r="C66" s="818" t="s">
        <v>625</v>
      </c>
      <c r="D66" s="818" t="s">
        <v>626</v>
      </c>
      <c r="E66" s="895">
        <v>0.3</v>
      </c>
      <c r="F66" s="882">
        <v>50</v>
      </c>
    </row>
    <row r="67" spans="1:6" s="878" customFormat="1" ht="36">
      <c r="A67" s="882">
        <v>7</v>
      </c>
      <c r="B67" s="3313"/>
      <c r="C67" s="818" t="s">
        <v>627</v>
      </c>
      <c r="D67" s="818" t="s">
        <v>628</v>
      </c>
      <c r="E67" s="895">
        <v>0.2</v>
      </c>
      <c r="F67" s="882">
        <v>30</v>
      </c>
    </row>
    <row r="68" spans="1:6" s="878" customFormat="1" ht="36">
      <c r="A68" s="882">
        <v>8</v>
      </c>
      <c r="B68" s="3313"/>
      <c r="C68" s="818" t="s">
        <v>629</v>
      </c>
      <c r="D68" s="818" t="s">
        <v>630</v>
      </c>
      <c r="E68" s="895">
        <v>0.2</v>
      </c>
      <c r="F68" s="882">
        <v>30</v>
      </c>
    </row>
    <row r="69" spans="1:6" s="878" customFormat="1" ht="36">
      <c r="A69" s="882">
        <v>9</v>
      </c>
      <c r="B69" s="3313"/>
      <c r="C69" s="818" t="s">
        <v>631</v>
      </c>
      <c r="D69" s="818" t="s">
        <v>632</v>
      </c>
      <c r="E69" s="895">
        <v>0.2</v>
      </c>
      <c r="F69" s="882">
        <v>30</v>
      </c>
    </row>
    <row r="70" spans="1:6" s="878" customFormat="1" ht="48">
      <c r="A70" s="882">
        <v>10</v>
      </c>
      <c r="B70" s="3313"/>
      <c r="C70" s="818" t="s">
        <v>633</v>
      </c>
      <c r="D70" s="818" t="s">
        <v>634</v>
      </c>
      <c r="E70" s="895">
        <v>0.2</v>
      </c>
      <c r="F70" s="882">
        <v>30</v>
      </c>
    </row>
    <row r="71" spans="1:6" s="878" customFormat="1" ht="48">
      <c r="A71" s="882">
        <v>11</v>
      </c>
      <c r="B71" s="3313"/>
      <c r="C71" s="818" t="s">
        <v>635</v>
      </c>
      <c r="D71" s="818" t="s">
        <v>636</v>
      </c>
      <c r="E71" s="895">
        <v>0.2</v>
      </c>
      <c r="F71" s="882">
        <v>30</v>
      </c>
    </row>
    <row r="72" spans="1:6" s="878" customFormat="1" ht="36">
      <c r="A72" s="882">
        <v>12</v>
      </c>
      <c r="B72" s="3313"/>
      <c r="C72" s="818" t="s">
        <v>637</v>
      </c>
      <c r="D72" s="818" t="s">
        <v>638</v>
      </c>
      <c r="E72" s="895">
        <v>0.5</v>
      </c>
      <c r="F72" s="882">
        <v>80</v>
      </c>
    </row>
    <row r="73" spans="1:6" s="878" customFormat="1" ht="24">
      <c r="A73" s="882">
        <v>13</v>
      </c>
      <c r="B73" s="3313"/>
      <c r="C73" s="818" t="s">
        <v>639</v>
      </c>
      <c r="D73" s="818" t="s">
        <v>640</v>
      </c>
      <c r="E73" s="895">
        <v>0.4</v>
      </c>
      <c r="F73" s="882">
        <v>60</v>
      </c>
    </row>
    <row r="74" spans="1:6" s="878" customFormat="1" ht="24">
      <c r="A74" s="882">
        <v>14</v>
      </c>
      <c r="B74" s="3313"/>
      <c r="C74" s="818" t="s">
        <v>641</v>
      </c>
      <c r="D74" s="818" t="s">
        <v>642</v>
      </c>
      <c r="E74" s="895">
        <v>0.2</v>
      </c>
      <c r="F74" s="882">
        <v>30</v>
      </c>
    </row>
    <row r="75" spans="1:6" s="878" customFormat="1" ht="24">
      <c r="A75" s="882">
        <v>15</v>
      </c>
      <c r="B75" s="3313"/>
      <c r="C75" s="818" t="s">
        <v>643</v>
      </c>
      <c r="D75" s="818" t="s">
        <v>644</v>
      </c>
      <c r="E75" s="895">
        <v>0.2</v>
      </c>
      <c r="F75" s="882">
        <v>30</v>
      </c>
    </row>
    <row r="76" spans="1:6" s="878" customFormat="1" ht="24">
      <c r="A76" s="882">
        <v>16</v>
      </c>
      <c r="B76" s="3313" t="s">
        <v>645</v>
      </c>
      <c r="C76" s="818" t="s">
        <v>646</v>
      </c>
      <c r="D76" s="818" t="s">
        <v>647</v>
      </c>
      <c r="E76" s="895">
        <v>0.5</v>
      </c>
      <c r="F76" s="882">
        <v>80</v>
      </c>
    </row>
    <row r="77" spans="1:6" s="878" customFormat="1" ht="24">
      <c r="A77" s="882">
        <v>17</v>
      </c>
      <c r="B77" s="3313"/>
      <c r="C77" s="818" t="s">
        <v>648</v>
      </c>
      <c r="D77" s="818" t="s">
        <v>649</v>
      </c>
      <c r="E77" s="895">
        <v>0.5</v>
      </c>
      <c r="F77" s="882">
        <v>80</v>
      </c>
    </row>
    <row r="78" spans="1:6" s="878" customFormat="1" ht="24">
      <c r="A78" s="882">
        <v>18</v>
      </c>
      <c r="B78" s="3313"/>
      <c r="C78" s="818" t="s">
        <v>650</v>
      </c>
      <c r="D78" s="818" t="s">
        <v>651</v>
      </c>
      <c r="E78" s="895">
        <v>0.2</v>
      </c>
      <c r="F78" s="882">
        <v>30</v>
      </c>
    </row>
    <row r="79" spans="1:6" s="878" customFormat="1" ht="24">
      <c r="A79" s="882">
        <v>19</v>
      </c>
      <c r="B79" s="3313"/>
      <c r="C79" s="818" t="s">
        <v>652</v>
      </c>
      <c r="D79" s="818" t="s">
        <v>653</v>
      </c>
      <c r="E79" s="895">
        <v>0.5</v>
      </c>
      <c r="F79" s="882">
        <v>80</v>
      </c>
    </row>
    <row r="80" spans="1:6" s="878" customFormat="1" ht="36">
      <c r="A80" s="882">
        <v>20</v>
      </c>
      <c r="B80" s="3313"/>
      <c r="C80" s="818" t="s">
        <v>654</v>
      </c>
      <c r="D80" s="818" t="s">
        <v>655</v>
      </c>
      <c r="E80" s="895">
        <v>0.2</v>
      </c>
      <c r="F80" s="882">
        <v>30</v>
      </c>
    </row>
    <row r="81" spans="1:6" s="878" customFormat="1" ht="36">
      <c r="A81" s="882">
        <v>21</v>
      </c>
      <c r="B81" s="3313"/>
      <c r="C81" s="818" t="s">
        <v>656</v>
      </c>
      <c r="D81" s="818" t="s">
        <v>657</v>
      </c>
      <c r="E81" s="895">
        <v>0.2</v>
      </c>
      <c r="F81" s="882">
        <v>30</v>
      </c>
    </row>
    <row r="82" spans="1:6" s="878" customFormat="1" ht="48">
      <c r="A82" s="882">
        <v>22</v>
      </c>
      <c r="B82" s="3313"/>
      <c r="C82" s="818" t="s">
        <v>658</v>
      </c>
      <c r="D82" s="818" t="s">
        <v>659</v>
      </c>
      <c r="E82" s="895">
        <v>0.2</v>
      </c>
      <c r="F82" s="882">
        <v>30</v>
      </c>
    </row>
    <row r="83" spans="1:6" s="878" customFormat="1" ht="48">
      <c r="A83" s="882">
        <v>23</v>
      </c>
      <c r="B83" s="3313"/>
      <c r="C83" s="818" t="s">
        <v>660</v>
      </c>
      <c r="D83" s="818" t="s">
        <v>661</v>
      </c>
      <c r="E83" s="895">
        <v>0.2</v>
      </c>
      <c r="F83" s="882">
        <v>30</v>
      </c>
    </row>
    <row r="84" spans="1:6" s="878" customFormat="1" ht="36">
      <c r="A84" s="882">
        <v>24</v>
      </c>
      <c r="B84" s="3313"/>
      <c r="C84" s="818" t="s">
        <v>662</v>
      </c>
      <c r="D84" s="818" t="s">
        <v>663</v>
      </c>
      <c r="E84" s="895">
        <v>0.2</v>
      </c>
      <c r="F84" s="882">
        <v>30</v>
      </c>
    </row>
    <row r="85" spans="1:6" s="878" customFormat="1" ht="36">
      <c r="A85" s="882">
        <v>25</v>
      </c>
      <c r="B85" s="3313"/>
      <c r="C85" s="818" t="s">
        <v>664</v>
      </c>
      <c r="D85" s="818" t="s">
        <v>665</v>
      </c>
      <c r="E85" s="895">
        <v>0.5</v>
      </c>
      <c r="F85" s="882">
        <v>80</v>
      </c>
    </row>
    <row r="86" spans="1:6" s="878" customFormat="1" ht="36">
      <c r="A86" s="882">
        <v>26</v>
      </c>
      <c r="B86" s="3313"/>
      <c r="C86" s="818" t="s">
        <v>666</v>
      </c>
      <c r="D86" s="818" t="s">
        <v>667</v>
      </c>
      <c r="E86" s="895">
        <v>0.2</v>
      </c>
      <c r="F86" s="882">
        <v>30</v>
      </c>
    </row>
    <row r="87" spans="1:6" s="878" customFormat="1" ht="36">
      <c r="A87" s="882">
        <v>27</v>
      </c>
      <c r="B87" s="3313"/>
      <c r="C87" s="818" t="s">
        <v>668</v>
      </c>
      <c r="D87" s="818" t="s">
        <v>669</v>
      </c>
      <c r="E87" s="895">
        <v>0.2</v>
      </c>
      <c r="F87" s="882">
        <v>30</v>
      </c>
    </row>
    <row r="88" spans="1:6" s="878" customFormat="1" ht="36">
      <c r="A88" s="882">
        <v>28</v>
      </c>
      <c r="B88" s="3313"/>
      <c r="C88" s="818" t="s">
        <v>670</v>
      </c>
      <c r="D88" s="818" t="s">
        <v>671</v>
      </c>
      <c r="E88" s="895">
        <v>0.2</v>
      </c>
      <c r="F88" s="882">
        <v>30</v>
      </c>
    </row>
    <row r="89" spans="1:6" s="878" customFormat="1" ht="24">
      <c r="A89" s="882">
        <v>29</v>
      </c>
      <c r="B89" s="3313"/>
      <c r="C89" s="818" t="s">
        <v>672</v>
      </c>
      <c r="D89" s="818" t="s">
        <v>673</v>
      </c>
      <c r="E89" s="895">
        <v>0.2</v>
      </c>
      <c r="F89" s="882">
        <v>30</v>
      </c>
    </row>
    <row r="90" spans="1:6" s="878" customFormat="1" ht="24">
      <c r="A90" s="882">
        <v>30</v>
      </c>
      <c r="B90" s="3313"/>
      <c r="C90" s="818" t="s">
        <v>674</v>
      </c>
      <c r="D90" s="818" t="s">
        <v>675</v>
      </c>
      <c r="E90" s="895">
        <v>0.2</v>
      </c>
      <c r="F90" s="882">
        <v>30</v>
      </c>
    </row>
    <row r="91" spans="1:6" s="878" customFormat="1" ht="36">
      <c r="A91" s="882">
        <v>31</v>
      </c>
      <c r="B91" s="3313"/>
      <c r="C91" s="818" t="s">
        <v>676</v>
      </c>
      <c r="D91" s="818" t="s">
        <v>677</v>
      </c>
      <c r="E91" s="895">
        <v>0.2</v>
      </c>
      <c r="F91" s="882">
        <v>30</v>
      </c>
    </row>
    <row r="92" spans="1:6" s="878" customFormat="1" ht="24">
      <c r="A92" s="882">
        <v>32</v>
      </c>
      <c r="B92" s="3313" t="s">
        <v>678</v>
      </c>
      <c r="C92" s="882" t="s">
        <v>679</v>
      </c>
      <c r="D92" s="818" t="s">
        <v>680</v>
      </c>
      <c r="E92" s="895">
        <v>0.2</v>
      </c>
      <c r="F92" s="882">
        <v>30</v>
      </c>
    </row>
    <row r="93" spans="1:6" s="878" customFormat="1" ht="36">
      <c r="A93" s="882">
        <v>33</v>
      </c>
      <c r="B93" s="3313"/>
      <c r="C93" s="882" t="s">
        <v>681</v>
      </c>
      <c r="D93" s="818" t="s">
        <v>682</v>
      </c>
      <c r="E93" s="895">
        <v>0.2</v>
      </c>
      <c r="F93" s="882">
        <v>30</v>
      </c>
    </row>
    <row r="94" spans="1:6" s="878" customFormat="1" ht="48">
      <c r="A94" s="882">
        <v>34</v>
      </c>
      <c r="B94" s="3313"/>
      <c r="C94" s="882" t="s">
        <v>683</v>
      </c>
      <c r="D94" s="818" t="s">
        <v>684</v>
      </c>
      <c r="E94" s="895">
        <v>0.2</v>
      </c>
      <c r="F94" s="882">
        <v>30</v>
      </c>
    </row>
    <row r="95" spans="1:6" s="878" customFormat="1" ht="36">
      <c r="A95" s="882">
        <v>35</v>
      </c>
      <c r="B95" s="3313"/>
      <c r="C95" s="882" t="s">
        <v>685</v>
      </c>
      <c r="D95" s="818" t="s">
        <v>686</v>
      </c>
      <c r="E95" s="895">
        <v>0.2</v>
      </c>
      <c r="F95" s="882">
        <v>30</v>
      </c>
    </row>
    <row r="96" spans="1:6" s="878" customFormat="1" ht="48">
      <c r="A96" s="882">
        <v>36</v>
      </c>
      <c r="B96" s="3313"/>
      <c r="C96" s="818" t="s">
        <v>687</v>
      </c>
      <c r="D96" s="818" t="s">
        <v>688</v>
      </c>
      <c r="E96" s="895">
        <v>0.2</v>
      </c>
      <c r="F96" s="882">
        <v>30</v>
      </c>
    </row>
    <row r="97" spans="1:6" s="878" customFormat="1" ht="36">
      <c r="A97" s="882">
        <v>37</v>
      </c>
      <c r="B97" s="3313"/>
      <c r="C97" s="882" t="s">
        <v>689</v>
      </c>
      <c r="D97" s="818" t="s">
        <v>690</v>
      </c>
      <c r="E97" s="895">
        <v>0.2</v>
      </c>
      <c r="F97" s="882">
        <v>30</v>
      </c>
    </row>
    <row r="98" spans="1:6" s="878" customFormat="1" ht="36">
      <c r="A98" s="882">
        <v>38</v>
      </c>
      <c r="B98" s="3313"/>
      <c r="C98" s="882" t="s">
        <v>691</v>
      </c>
      <c r="D98" s="818" t="s">
        <v>692</v>
      </c>
      <c r="E98" s="895">
        <v>0.2</v>
      </c>
      <c r="F98" s="882">
        <v>30</v>
      </c>
    </row>
    <row r="99" spans="1:6" s="878" customFormat="1" ht="36">
      <c r="A99" s="882">
        <v>39</v>
      </c>
      <c r="B99" s="3313" t="s">
        <v>693</v>
      </c>
      <c r="C99" s="882" t="s">
        <v>694</v>
      </c>
      <c r="D99" s="818" t="s">
        <v>695</v>
      </c>
      <c r="E99" s="895">
        <v>0.3</v>
      </c>
      <c r="F99" s="882">
        <v>50</v>
      </c>
    </row>
    <row r="100" spans="1:6" s="878" customFormat="1" ht="24">
      <c r="A100" s="882">
        <v>40</v>
      </c>
      <c r="B100" s="3313"/>
      <c r="C100" s="882" t="s">
        <v>696</v>
      </c>
      <c r="D100" s="818" t="s">
        <v>697</v>
      </c>
      <c r="E100" s="895">
        <v>0.2</v>
      </c>
      <c r="F100" s="882">
        <v>30</v>
      </c>
    </row>
    <row r="101" spans="1:6" s="878" customFormat="1" ht="36">
      <c r="A101" s="882">
        <v>41</v>
      </c>
      <c r="B101" s="331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3" t="s">
        <v>708</v>
      </c>
      <c r="C105" s="882" t="s">
        <v>709</v>
      </c>
      <c r="D105" s="818" t="s">
        <v>710</v>
      </c>
      <c r="E105" s="895">
        <v>0.2</v>
      </c>
      <c r="F105" s="882">
        <v>30</v>
      </c>
    </row>
    <row r="106" spans="1:6" s="878" customFormat="1" ht="36">
      <c r="A106" s="882">
        <v>46</v>
      </c>
      <c r="B106" s="3313"/>
      <c r="C106" s="882" t="s">
        <v>711</v>
      </c>
      <c r="D106" s="818" t="s">
        <v>712</v>
      </c>
      <c r="E106" s="895">
        <v>0.2</v>
      </c>
      <c r="F106" s="882">
        <v>30</v>
      </c>
    </row>
    <row r="107" spans="1:6" s="878" customFormat="1" ht="36">
      <c r="A107" s="882">
        <v>47</v>
      </c>
      <c r="B107" s="3313" t="s">
        <v>713</v>
      </c>
      <c r="C107" s="882" t="s">
        <v>714</v>
      </c>
      <c r="D107" s="818" t="s">
        <v>715</v>
      </c>
      <c r="E107" s="895">
        <v>0.3</v>
      </c>
      <c r="F107" s="882">
        <v>50</v>
      </c>
    </row>
    <row r="108" spans="1:6" s="878" customFormat="1" ht="36">
      <c r="A108" s="882">
        <v>48</v>
      </c>
      <c r="B108" s="331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3" t="s">
        <v>724</v>
      </c>
      <c r="C111" s="882" t="s">
        <v>725</v>
      </c>
      <c r="D111" s="818" t="s">
        <v>726</v>
      </c>
      <c r="E111" s="895">
        <v>0.2</v>
      </c>
      <c r="F111" s="882">
        <v>30</v>
      </c>
    </row>
    <row r="112" spans="1:6" s="878" customFormat="1" ht="24">
      <c r="A112" s="882">
        <v>52</v>
      </c>
      <c r="B112" s="3313"/>
      <c r="C112" s="882" t="s">
        <v>727</v>
      </c>
      <c r="D112" s="818" t="s">
        <v>728</v>
      </c>
      <c r="E112" s="895">
        <v>0.2</v>
      </c>
      <c r="F112" s="882">
        <v>30</v>
      </c>
    </row>
    <row r="113" spans="1:6" s="878" customFormat="1" ht="24">
      <c r="A113" s="882">
        <v>53</v>
      </c>
      <c r="B113" s="331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3" t="s">
        <v>737</v>
      </c>
      <c r="C116" s="882" t="s">
        <v>738</v>
      </c>
      <c r="D116" s="818" t="s">
        <v>739</v>
      </c>
      <c r="E116" s="895">
        <v>0.2</v>
      </c>
      <c r="F116" s="882">
        <v>30</v>
      </c>
    </row>
    <row r="117" spans="1:6" ht="36">
      <c r="A117" s="882">
        <v>57</v>
      </c>
      <c r="B117" s="331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SUMPRODUCT((A105:A204=ROUNDDOWN('基准地价修正-未出租'!G3,1))*(B104:M104='基准地价修正-未出租'!G2)*(B105:M204))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3009</v>
      </c>
    </row>
    <row r="2" spans="1:5" ht="15.75">
      <c r="A2" s="2916" t="s">
        <v>3001</v>
      </c>
      <c r="B2" s="2917">
        <f ca="1">SUMIF(B6:B13,"&lt;&gt;#ref!",B6:B13)</f>
        <v>28761</v>
      </c>
      <c r="C2" s="2916" t="s">
        <v>3002</v>
      </c>
      <c r="D2" s="2916" t="s">
        <v>3003</v>
      </c>
      <c r="E2" s="2917" t="e">
        <f ca="1">SUM(E6:E13)</f>
        <v>#REF!</v>
      </c>
    </row>
    <row r="3" spans="1:5" ht="15.75">
      <c r="A3" s="2916" t="s">
        <v>3004</v>
      </c>
      <c r="B3" s="2917" t="e">
        <f ca="1">ROUND(B2*10000/E2,0)</f>
        <v>#REF!</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f ca="1">SUMIF(INDIRECT("'"&amp;A6&amp;"'"&amp;"!A:A"),"总价",INDIRECT("'"&amp;A6&amp;"'"&amp;"!B:B"))</f>
        <v>28761</v>
      </c>
      <c r="C6" s="2916" t="s">
        <v>3002</v>
      </c>
      <c r="D6" s="2918"/>
      <c r="E6" s="2581">
        <f ca="1">SUMIF(INDIRECT("'"&amp;A6&amp;"'"&amp;"!C:C"),"建筑面积",INDIRECT("'"&amp;A6&amp;"'"&amp;"!D:D"))</f>
        <v>10867.1</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9" t="s">
        <v>1150</v>
      </c>
      <c r="C1" s="3319"/>
      <c r="D1" s="3319"/>
      <c r="E1" s="3319"/>
      <c r="F1" s="3319"/>
      <c r="G1" s="3318" t="s">
        <v>1151</v>
      </c>
      <c r="H1" s="3318"/>
      <c r="I1" s="3318"/>
      <c r="J1" s="3318"/>
      <c r="K1" s="3318"/>
      <c r="L1" s="3318"/>
      <c r="N1" s="3318" t="s">
        <v>1152</v>
      </c>
      <c r="O1" s="3318"/>
      <c r="P1" s="3318"/>
      <c r="Q1" s="3318"/>
      <c r="R1" s="1449"/>
      <c r="S1" s="3318" t="s">
        <v>1153</v>
      </c>
      <c r="T1" s="3318"/>
      <c r="U1" s="3318"/>
      <c r="V1" s="3318"/>
      <c r="X1" s="3317" t="s">
        <v>1154</v>
      </c>
      <c r="Y1" s="3318"/>
      <c r="Z1" s="3318"/>
      <c r="AA1" s="3318"/>
      <c r="AB1" s="3318"/>
      <c r="AD1" s="3317" t="s">
        <v>1155</v>
      </c>
      <c r="AE1" s="3318"/>
      <c r="AF1" s="3318"/>
      <c r="AG1" s="3318"/>
      <c r="AH1" s="331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55" customFormat="1" ht="14.25">
      <c r="A3" s="2964" t="s">
        <v>3048</v>
      </c>
      <c r="B3" s="2956"/>
      <c r="C3" s="2956"/>
      <c r="D3" s="2957"/>
      <c r="E3" s="2957"/>
      <c r="F3" s="2956"/>
      <c r="G3" s="2958"/>
      <c r="H3" s="2959"/>
      <c r="I3" s="2960">
        <f>ROUND(AVERAGE($I6:$I21),2)</f>
        <v>2.4500000000000002</v>
      </c>
      <c r="J3" s="2960">
        <f>ROUND(AVERAGE($J6:$J21),2)</f>
        <v>1.65</v>
      </c>
      <c r="K3" s="2960">
        <f>ROUND(AVERAGE($K6:$K21),2)</f>
        <v>2.71</v>
      </c>
      <c r="L3" s="2960">
        <f>ROUND(AVERAGE($L6:$L21),2)</f>
        <v>1.39</v>
      </c>
      <c r="N3" s="2958"/>
      <c r="O3" s="2961"/>
      <c r="P3" s="2961"/>
      <c r="Q3" s="2961"/>
      <c r="R3" s="2961"/>
      <c r="S3" s="2958"/>
      <c r="T3" s="2961"/>
      <c r="U3" s="2961"/>
      <c r="V3" s="2961"/>
      <c r="W3" s="2953"/>
      <c r="X3" s="2962">
        <f>ROUND(SUMPRODUCT(PRODUCT(1+N3:N$20)),4)</f>
        <v>1.4274</v>
      </c>
      <c r="Y3" s="2962">
        <f>ROUND(SUMPRODUCT(PRODUCT(1+O3:O$20)),4)</f>
        <v>1.2685</v>
      </c>
      <c r="Z3" s="2962">
        <f t="shared" ref="Z3:Z18" si="0">Y3</f>
        <v>1.2685</v>
      </c>
      <c r="AA3" s="2962">
        <f>ROUND(SUMPRODUCT(PRODUCT(1+P3:P$20)),4)</f>
        <v>1.4825999999999999</v>
      </c>
      <c r="AB3" s="2962">
        <f>ROUND(SUMPRODUCT(PRODUCT(1+Q3:Q$20)),4)</f>
        <v>1.2309000000000001</v>
      </c>
      <c r="AD3" s="2963">
        <f>ROUND(AVERAGE(I3:I$21)/100,4)</f>
        <v>2.3099999999999999E-2</v>
      </c>
      <c r="AE3" s="2963">
        <f>ROUND(AVERAGE(J3:J$21)/100,4)</f>
        <v>1.5599999999999999E-2</v>
      </c>
      <c r="AF3" s="2963">
        <f t="shared" ref="AF3:AF19" si="1">AE3</f>
        <v>1.5599999999999999E-2</v>
      </c>
      <c r="AG3" s="2963">
        <f>ROUND(AVERAGE(K3:K$21)/100,4)</f>
        <v>2.5600000000000001E-2</v>
      </c>
      <c r="AH3" s="2963">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54" t="s">
        <v>3049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20">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15"/>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15"/>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16"/>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14">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15"/>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15"/>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16"/>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14">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15"/>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15"/>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16"/>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1">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2"/>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2"/>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23"/>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14">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15"/>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15"/>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16"/>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14">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15">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15">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16">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14">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15">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15">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16">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14">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15">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15">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16">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14">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15">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15">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16">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14">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15">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15">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16">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14">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15">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15">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16">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14">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15">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15">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16">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14">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15">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15">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16">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14">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15">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15">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16">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14">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15">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15">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16">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25" t="s">
        <v>3012</v>
      </c>
      <c r="D1" s="3326"/>
      <c r="E1" s="3326"/>
      <c r="F1" s="3326"/>
      <c r="G1" s="3326"/>
      <c r="H1" s="3326"/>
      <c r="I1" s="3326"/>
      <c r="J1" s="3326"/>
      <c r="K1" s="3326"/>
      <c r="L1" s="3326"/>
      <c r="M1" s="3326"/>
      <c r="N1" s="3326"/>
      <c r="O1" s="3326"/>
      <c r="P1" s="3326"/>
      <c r="Q1" s="3326"/>
      <c r="R1" s="3326"/>
      <c r="S1" s="3327"/>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88" t="s">
        <v>33</v>
      </c>
      <c r="D22" s="3189"/>
      <c r="E22" s="3189"/>
      <c r="F22" s="3189"/>
      <c r="G22" s="3189"/>
      <c r="H22" s="3189"/>
      <c r="I22" s="3189"/>
      <c r="J22" s="3189"/>
      <c r="K22" s="3189"/>
      <c r="L22" s="3189"/>
      <c r="M22" s="3189"/>
      <c r="N22" s="3189"/>
      <c r="O22" s="3189"/>
      <c r="P22" s="3189"/>
      <c r="Q22" s="3324"/>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35839</v>
      </c>
      <c r="C2" s="2" t="s">
        <v>133</v>
      </c>
      <c r="D2" s="243"/>
      <c r="E2" s="243"/>
      <c r="F2" s="243"/>
      <c r="G2" s="243"/>
    </row>
    <row r="3" spans="1:7" s="244" customFormat="1" ht="18" customHeight="1" thickBot="1">
      <c r="A3" s="247" t="s">
        <v>85</v>
      </c>
      <c r="B3" s="248">
        <f ca="1">ROUND(B2*10000/'数据-汇总表'!E3,0)</f>
        <v>13746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521</v>
      </c>
      <c r="D10" s="1035">
        <f>'数据-汇总表'!E6</f>
        <v>26071.75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521</v>
      </c>
      <c r="D19" s="1039">
        <f>'数据-汇总表'!E3</f>
        <v>26071.75</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929</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2802</v>
      </c>
      <c r="D27" s="279">
        <f>C29</f>
        <v>2.5999999999999999E-3</v>
      </c>
      <c r="E27" s="280" t="s">
        <v>126</v>
      </c>
      <c r="F27" s="290">
        <f>'数据-取费表'!Q16</f>
        <v>0.13</v>
      </c>
      <c r="G27" s="291" t="s">
        <v>1069</v>
      </c>
    </row>
    <row r="28" spans="1:7" s="258" customFormat="1" ht="13.5" customHeight="1">
      <c r="A28" s="954" t="s">
        <v>794</v>
      </c>
      <c r="B28" s="292" t="s">
        <v>1062</v>
      </c>
      <c r="C28" s="293">
        <f>ROUND((C5+C19+C20)*F27*'数据-取费表'!B21/'数据-取费表'!B20,0)</f>
        <v>2802</v>
      </c>
      <c r="D28" s="279"/>
      <c r="E28" s="280"/>
      <c r="F28" s="290"/>
      <c r="G28" s="291"/>
    </row>
    <row r="29" spans="1:7" s="258" customFormat="1" ht="13.5" customHeight="1">
      <c r="A29" s="954" t="s">
        <v>792</v>
      </c>
      <c r="B29" s="292" t="s">
        <v>1063</v>
      </c>
      <c r="C29" s="282">
        <f>ROUND(C21*F27*'数据-取费表'!B21/'数据-取费表'!B20,4)</f>
        <v>2.5999999999999999E-3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8115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7198</v>
      </c>
      <c r="D34" s="261"/>
      <c r="E34" s="264"/>
      <c r="F34" s="301">
        <f>IF('数据-取费表'!B24=0,1,'数据-取费表'!N16)</f>
        <v>1</v>
      </c>
      <c r="G34" s="263" t="s">
        <v>116</v>
      </c>
    </row>
    <row r="35" spans="1:7" ht="13.5" customHeight="1">
      <c r="A35" s="954" t="s">
        <v>796</v>
      </c>
      <c r="B35" s="259" t="s">
        <v>60</v>
      </c>
      <c r="C35" s="264">
        <f>ROUND(C34*F35,0)</f>
        <v>288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521</v>
      </c>
      <c r="D37" s="261">
        <f>'数据-汇总表'!E3</f>
        <v>26071.75</v>
      </c>
      <c r="E37" s="293">
        <f>'数据-取费表'!B35</f>
        <v>200</v>
      </c>
      <c r="F37" s="303"/>
      <c r="G37" s="305" t="s">
        <v>119</v>
      </c>
    </row>
    <row r="38" spans="1:7" ht="13.5" customHeight="1">
      <c r="A38" s="954" t="s">
        <v>799</v>
      </c>
      <c r="B38" s="259" t="s">
        <v>63</v>
      </c>
      <c r="C38" s="264">
        <f>ROUND(C34*F38,0)</f>
        <v>108</v>
      </c>
      <c r="D38" s="264"/>
      <c r="E38" s="264"/>
      <c r="F38" s="303">
        <f>'数据-取费表'!B36</f>
        <v>1.4999999999999999E-2</v>
      </c>
      <c r="G38" s="263" t="s">
        <v>117</v>
      </c>
    </row>
    <row r="39" spans="1:7" s="258" customFormat="1" ht="13.5" customHeight="1">
      <c r="A39" s="951" t="s">
        <v>783</v>
      </c>
      <c r="B39" s="254" t="s">
        <v>104</v>
      </c>
      <c r="C39" s="276">
        <f>ROUND(C33*F20,0)</f>
        <v>162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177</v>
      </c>
      <c r="D42" s="282"/>
      <c r="E42" s="282"/>
      <c r="F42" s="283"/>
      <c r="G42" s="3193" t="s">
        <v>121</v>
      </c>
    </row>
    <row r="43" spans="1:7" ht="13.5" customHeight="1">
      <c r="A43" s="954" t="s">
        <v>792</v>
      </c>
      <c r="B43" s="259" t="s">
        <v>1064</v>
      </c>
      <c r="C43" s="282">
        <f ca="1">ROUND(IF('数据-取费表'!B22&lt;=1,C39*F22*'数据-取费表'!B21/2,C39*(POWER((1+F22),'数据-取费表'!B21/2)-1)),0)</f>
        <v>4</v>
      </c>
      <c r="D43" s="282"/>
      <c r="E43" s="282"/>
      <c r="F43" s="283"/>
      <c r="G43" s="3194"/>
    </row>
    <row r="44" spans="1:7" ht="13.5" customHeight="1">
      <c r="A44" s="954" t="s">
        <v>793</v>
      </c>
      <c r="B44" s="259" t="s">
        <v>1066</v>
      </c>
      <c r="C44" s="282">
        <f ca="1">ROUND(IF('数据-取费表'!B22&lt;=1,C40*F22*'数据-取费表'!B21/2,C40*(POWER((1+F22),'数据-取费表'!B21/2)-1)),4)</f>
        <v>4.0000000000000002E-4</v>
      </c>
      <c r="D44" s="282"/>
      <c r="E44" s="282"/>
      <c r="F44" s="283"/>
      <c r="G44" s="3195"/>
    </row>
    <row r="45" spans="1:7" s="258" customFormat="1" ht="13.5" customHeight="1">
      <c r="A45" s="951" t="s">
        <v>786</v>
      </c>
      <c r="B45" s="288" t="s">
        <v>112</v>
      </c>
      <c r="C45" s="289">
        <f>C46</f>
        <v>1076</v>
      </c>
      <c r="D45" s="279">
        <f>C47</f>
        <v>2.5999999999999999E-3</v>
      </c>
      <c r="E45" s="280" t="s">
        <v>129</v>
      </c>
      <c r="F45" s="290"/>
      <c r="G45" s="291" t="s">
        <v>1072</v>
      </c>
    </row>
    <row r="46" spans="1:7" s="258" customFormat="1" ht="13.5" customHeight="1">
      <c r="A46" s="954" t="s">
        <v>794</v>
      </c>
      <c r="B46" s="292" t="s">
        <v>1065</v>
      </c>
      <c r="C46" s="293">
        <f>ROUND((C33+C39)*F27,0)</f>
        <v>1076</v>
      </c>
      <c r="D46" s="307"/>
      <c r="E46" s="280"/>
      <c r="F46" s="290"/>
      <c r="G46" s="291"/>
    </row>
    <row r="47" spans="1:7" s="258" customFormat="1" ht="13.5" customHeight="1">
      <c r="A47" s="954" t="s">
        <v>792</v>
      </c>
      <c r="B47" s="292" t="s">
        <v>1067</v>
      </c>
      <c r="C47" s="282">
        <f>ROUND(C40*F27,4)</f>
        <v>2.5999999999999999E-3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10322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8464</v>
      </c>
      <c r="D51" s="276"/>
      <c r="E51" s="276"/>
      <c r="F51" s="308"/>
      <c r="G51" s="278" t="s">
        <v>64</v>
      </c>
    </row>
    <row r="52" spans="1:7" s="252" customFormat="1" ht="16.5" thickBot="1">
      <c r="A52" s="309" t="s">
        <v>65</v>
      </c>
      <c r="B52" s="310"/>
      <c r="C52" s="311">
        <f ca="1">C31+C51</f>
        <v>35839</v>
      </c>
      <c r="D52" s="310"/>
      <c r="E52" s="310"/>
      <c r="F52" s="310"/>
      <c r="G52" s="312"/>
    </row>
    <row r="55" spans="1:7" ht="15">
      <c r="B55" s="314" t="s">
        <v>66</v>
      </c>
      <c r="C55" s="315"/>
    </row>
    <row r="56" spans="1:7">
      <c r="B56" s="317" t="s">
        <v>67</v>
      </c>
      <c r="C56" s="318">
        <f ca="1">ROUND(C51/C52,3)</f>
        <v>0.23599999999999999</v>
      </c>
    </row>
    <row r="57" spans="1:7">
      <c r="B57" s="317" t="s">
        <v>68</v>
      </c>
      <c r="C57" s="319">
        <f ca="1">1-C56</f>
        <v>0.76400000000000001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871</v>
      </c>
      <c r="B1" s="332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43157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1642</v>
      </c>
      <c r="B2" s="3028" t="s">
        <v>1643</v>
      </c>
      <c r="C2" s="3028" t="s">
        <v>1644</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7" t="s">
        <v>1639</v>
      </c>
      <c r="E3" s="1047" t="s">
        <v>1645</v>
      </c>
      <c r="F3" s="1047" t="s">
        <v>1639</v>
      </c>
      <c r="G3" s="1047" t="s">
        <v>1640</v>
      </c>
      <c r="H3" s="1047" t="s">
        <v>1639</v>
      </c>
      <c r="I3" s="1047" t="s">
        <v>1640</v>
      </c>
    </row>
    <row r="4" spans="1:9" ht="15">
      <c r="A4" s="1976" t="str">
        <f>项目基本情况!S2</f>
        <v>北京市房地产</v>
      </c>
      <c r="B4" s="1047">
        <f>项目基本情况!C17</f>
        <v>26071.75</v>
      </c>
      <c r="C4" s="1047">
        <f>项目基本情况!C18</f>
        <v>9821.76</v>
      </c>
      <c r="D4" s="1047" t="e">
        <f ca="1">结果表!D118</f>
        <v>#REF!</v>
      </c>
      <c r="E4" s="1047" t="e">
        <f ca="1">结果表!E118</f>
        <v>#REF!</v>
      </c>
      <c r="F4" s="1047" t="e">
        <f ca="1">结果表!F118</f>
        <v>#REF!</v>
      </c>
      <c r="G4" s="1047" t="e">
        <f ca="1">结果表!G118</f>
        <v>#REF!</v>
      </c>
      <c r="H4" s="1047">
        <f ca="1">结果表!H118</f>
        <v>32487</v>
      </c>
      <c r="I4" s="1047">
        <f ca="1">结果表!I118</f>
        <v>29895</v>
      </c>
    </row>
    <row r="5" spans="1:9" ht="30" customHeight="1">
      <c r="A5" s="3022" t="s">
        <v>1641</v>
      </c>
      <c r="B5" s="3022"/>
      <c r="C5" s="3022"/>
      <c r="D5" s="3023" t="e">
        <f ca="1">结果表!D119</f>
        <v>#REF!</v>
      </c>
      <c r="E5" s="3023"/>
      <c r="F5" s="3023" t="e">
        <f ca="1">结果表!F119</f>
        <v>#REF!</v>
      </c>
      <c r="G5" s="3023"/>
      <c r="H5" s="3023" t="str">
        <f ca="1">结果表!H119</f>
        <v>叁亿贰仟肆佰捌拾柒万元整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1641</v>
      </c>
      <c r="B7" s="3022"/>
      <c r="C7" s="3022"/>
      <c r="D7" s="3024" t="str">
        <f>结果表!D121</f>
        <v>零元整</v>
      </c>
      <c r="E7" s="3025"/>
      <c r="F7" s="3025"/>
      <c r="G7" s="3025"/>
      <c r="H7" s="3025"/>
      <c r="I7" s="3026"/>
    </row>
    <row r="8" spans="1:9" ht="15.75">
      <c r="A8" s="3021" t="str">
        <f>结果表!A122</f>
        <v>房地产抵押价值</v>
      </c>
      <c r="B8" s="3021"/>
      <c r="C8" s="3021"/>
      <c r="D8" s="3021">
        <f ca="1">结果表!D122</f>
        <v>32487</v>
      </c>
      <c r="E8" s="3021"/>
      <c r="F8" s="3021"/>
      <c r="G8" s="3021"/>
      <c r="H8" s="3021"/>
      <c r="I8" s="3021"/>
    </row>
    <row r="9" spans="1:9" ht="15">
      <c r="A9" s="3022" t="s">
        <v>1641</v>
      </c>
      <c r="B9" s="3022"/>
      <c r="C9" s="3022"/>
      <c r="D9" s="3023" t="str">
        <f ca="1">结果表!D123</f>
        <v>叁亿贰仟肆佰捌拾柒万元整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1641</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1641</v>
      </c>
      <c r="B13" s="3018"/>
      <c r="C13" s="3018"/>
      <c r="D13" s="3019" t="e">
        <f>结果表!D127</f>
        <v>#VALUE!</v>
      </c>
      <c r="E13" s="3019"/>
      <c r="F13" s="3019"/>
      <c r="G13" s="3019"/>
      <c r="H13" s="3019"/>
      <c r="I13" s="3019"/>
    </row>
    <row r="14" spans="1:9" ht="15" thickTop="1">
      <c r="A14" s="3020" t="s">
        <v>1646</v>
      </c>
      <c r="B14" s="3020"/>
      <c r="C14" s="3020"/>
      <c r="D14" s="3020"/>
      <c r="E14" s="3020"/>
      <c r="F14" s="3020"/>
      <c r="G14" s="3020"/>
      <c r="H14" s="3020"/>
      <c r="I14" s="3020"/>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5" t="s">
        <v>1663</v>
      </c>
      <c r="B1" s="3035"/>
      <c r="C1" s="3035"/>
      <c r="D1" s="3035"/>
    </row>
    <row r="2" spans="1:4" ht="18">
      <c r="A2" s="3036" t="s">
        <v>1647</v>
      </c>
      <c r="B2" s="3036"/>
      <c r="C2" s="3036"/>
      <c r="D2" s="3036"/>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3036" t="s">
        <v>1653</v>
      </c>
      <c r="B6" s="3036"/>
      <c r="C6" s="3036"/>
      <c r="D6" s="3036"/>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37" t="s">
        <v>1656</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1657</v>
      </c>
      <c r="B16" s="3031"/>
      <c r="C16" s="3031"/>
      <c r="D16" s="3031"/>
    </row>
    <row r="17" spans="1:4" ht="144" customHeight="1">
      <c r="A17" s="3031" t="s">
        <v>1658</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1659</v>
      </c>
      <c r="B22" s="3033"/>
      <c r="C22" s="3033"/>
      <c r="D22" s="3033"/>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43" t="s">
        <v>1670</v>
      </c>
      <c r="B15" s="3038" t="s">
        <v>136</v>
      </c>
      <c r="C15" s="3039"/>
    </row>
    <row r="16" spans="1:7" ht="13.5">
      <c r="A16" s="3044"/>
      <c r="B16" s="3038" t="s">
        <v>69</v>
      </c>
      <c r="C16" s="3039"/>
    </row>
    <row r="17" spans="1:3" ht="13.5">
      <c r="A17" s="3044"/>
      <c r="B17" s="3041" t="s">
        <v>1671</v>
      </c>
      <c r="C17" s="2003" t="s">
        <v>1670</v>
      </c>
    </row>
    <row r="18" spans="1:3" ht="13.5">
      <c r="A18" s="3044"/>
      <c r="B18" s="3041"/>
      <c r="C18" s="2003" t="s">
        <v>1672</v>
      </c>
    </row>
    <row r="19" spans="1:3" ht="13.5">
      <c r="A19" s="3044"/>
      <c r="B19" s="3041"/>
      <c r="C19" s="2003" t="s">
        <v>1673</v>
      </c>
    </row>
    <row r="20" spans="1:3" ht="13.5">
      <c r="A20" s="3045"/>
      <c r="B20" s="3040" t="s">
        <v>1674</v>
      </c>
      <c r="C20" s="3039"/>
    </row>
    <row r="21" spans="1:3" ht="13.5">
      <c r="A21" s="2004" t="s">
        <v>1675</v>
      </c>
      <c r="B21" s="2005"/>
      <c r="C21" s="2006"/>
    </row>
    <row r="22" spans="1:3" ht="13.5">
      <c r="A22" s="3042" t="s">
        <v>1676</v>
      </c>
      <c r="B22" s="3040" t="s">
        <v>1677</v>
      </c>
      <c r="C22" s="3039"/>
    </row>
    <row r="23" spans="1:3" ht="13.5">
      <c r="A23" s="3042"/>
      <c r="B23" s="3040" t="s">
        <v>1678</v>
      </c>
      <c r="C23" s="3039"/>
    </row>
    <row r="24" spans="1:3" ht="13.5">
      <c r="A24" s="3042"/>
      <c r="B24" s="3040" t="s">
        <v>1679</v>
      </c>
      <c r="C24" s="3039"/>
    </row>
    <row r="25" spans="1:3" ht="13.5">
      <c r="A25" s="3042"/>
      <c r="B25" s="3041" t="s">
        <v>1680</v>
      </c>
      <c r="C25" s="2003" t="s">
        <v>1681</v>
      </c>
    </row>
    <row r="26" spans="1:3" ht="13.5">
      <c r="A26" s="3042"/>
      <c r="B26" s="3041"/>
      <c r="C26" s="2003" t="s">
        <v>1682</v>
      </c>
    </row>
    <row r="27" spans="1:3" ht="13.5">
      <c r="A27" s="3042"/>
      <c r="B27" s="3041"/>
      <c r="C27" s="2003" t="s">
        <v>1683</v>
      </c>
    </row>
    <row r="28" spans="1:3" ht="13.5">
      <c r="A28" s="3042"/>
      <c r="B28" s="3041"/>
      <c r="C28" s="2003" t="s">
        <v>1684</v>
      </c>
    </row>
    <row r="29" spans="1:3" ht="13.5">
      <c r="A29" s="3042"/>
      <c r="B29" s="3041"/>
      <c r="C29" s="2003" t="s">
        <v>1685</v>
      </c>
    </row>
    <row r="30" spans="1:3" ht="13.5">
      <c r="A30" s="3042"/>
      <c r="B30" s="3041"/>
      <c r="C30" s="2003" t="s">
        <v>1686</v>
      </c>
    </row>
    <row r="31" spans="1:3" ht="13.5">
      <c r="A31" s="3042"/>
      <c r="B31" s="3041"/>
      <c r="C31" s="2003" t="s">
        <v>1687</v>
      </c>
    </row>
    <row r="32" spans="1:3" ht="13.5">
      <c r="A32" s="3042"/>
      <c r="B32" s="3041"/>
      <c r="C32" s="2003" t="s">
        <v>1688</v>
      </c>
    </row>
    <row r="33" spans="1:3" ht="13.5">
      <c r="A33" s="3042"/>
      <c r="B33" s="3041"/>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43181</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6" t="s">
        <v>846</v>
      </c>
      <c r="B25" s="3046"/>
      <c r="C25" s="3046"/>
      <c r="D25" s="3046"/>
      <c r="E25" s="3046"/>
      <c r="F25" s="3046"/>
      <c r="G25" s="3046"/>
    </row>
    <row r="26" spans="1:7" s="1028" customFormat="1" ht="24" customHeight="1">
      <c r="A26" s="3047" t="s">
        <v>847</v>
      </c>
      <c r="B26" s="3047"/>
      <c r="C26" s="3048"/>
      <c r="D26" s="3049" t="s">
        <v>848</v>
      </c>
      <c r="E26" s="3047"/>
      <c r="F26" s="304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结果表-未出租</vt:lpstr>
      <vt:lpstr>结果表-车位</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基准地价修正</vt:lpstr>
      <vt:lpstr>成本法-未出租</vt:lpstr>
      <vt:lpstr>收益法-未出租</vt:lpstr>
      <vt:lpstr>基准地价修正-未出租</vt:lpstr>
      <vt:lpstr>比较法-车位</vt:lpstr>
      <vt:lpstr>收益法-车位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'收益法-车位'!Print_Area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2018-03-22T05:55:34Z</dcterms:modified>
</cp:coreProperties>
</file>