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33" i="43" l="1"/>
  <c r="U3" i="43"/>
  <c r="Y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F63" i="71" s="1"/>
  <c r="F64" i="71" s="1"/>
  <c r="V64" i="71" s="1"/>
  <c r="P61" i="71"/>
  <c r="E62" i="71"/>
  <c r="O61" i="71"/>
  <c r="C62" i="7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P49" i="71"/>
  <c r="E50" i="7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C43" i="71" s="1"/>
  <c r="N41" i="71"/>
  <c r="B42" i="71"/>
  <c r="B43" i="71" s="1"/>
  <c r="B44" i="71" s="1"/>
  <c r="S44" i="71" s="1"/>
  <c r="D41" i="71"/>
  <c r="Q40" i="71"/>
  <c r="P40" i="71"/>
  <c r="O40" i="71"/>
  <c r="N40" i="71"/>
  <c r="Q39" i="71"/>
  <c r="P39" i="71"/>
  <c r="AA39" i="71"/>
  <c r="O39" i="71"/>
  <c r="Y39" i="71"/>
  <c r="Z39" i="71" s="1"/>
  <c r="N39" i="71"/>
  <c r="Q38" i="71"/>
  <c r="P38" i="71"/>
  <c r="AA38" i="71" s="1"/>
  <c r="O38" i="71"/>
  <c r="Y38" i="71" s="1"/>
  <c r="Z38" i="71" s="1"/>
  <c r="N38" i="71"/>
  <c r="Q37" i="71"/>
  <c r="F38" i="71" s="1"/>
  <c r="P37" i="71"/>
  <c r="O37" i="71"/>
  <c r="N37" i="71"/>
  <c r="D37" i="71"/>
  <c r="Q36" i="71"/>
  <c r="AB36" i="71" s="1"/>
  <c r="P36" i="71"/>
  <c r="O36" i="71"/>
  <c r="Y36" i="71" s="1"/>
  <c r="Z36" i="71" s="1"/>
  <c r="N36" i="71"/>
  <c r="Q35" i="71"/>
  <c r="P35" i="71"/>
  <c r="O35" i="71"/>
  <c r="N35" i="71"/>
  <c r="Q34" i="71"/>
  <c r="P34" i="71"/>
  <c r="O34" i="71"/>
  <c r="N34" i="71"/>
  <c r="Q33" i="71"/>
  <c r="F34" i="71" s="1"/>
  <c r="P33" i="71"/>
  <c r="O33" i="71"/>
  <c r="N33" i="71"/>
  <c r="B34" i="71" s="1"/>
  <c r="B35" i="71" s="1"/>
  <c r="B36" i="71" s="1"/>
  <c r="S36" i="71" s="1"/>
  <c r="D33" i="71"/>
  <c r="Q32" i="71"/>
  <c r="AB32" i="71" s="1"/>
  <c r="P32" i="71"/>
  <c r="O32" i="71"/>
  <c r="Y32" i="71" s="1"/>
  <c r="Z32" i="71" s="1"/>
  <c r="N32" i="71"/>
  <c r="Q31" i="71"/>
  <c r="P31" i="71"/>
  <c r="O31" i="71"/>
  <c r="N31" i="71"/>
  <c r="Q30" i="71"/>
  <c r="P30" i="71"/>
  <c r="O30" i="71"/>
  <c r="N30" i="71"/>
  <c r="X30" i="71" s="1"/>
  <c r="Q29" i="71"/>
  <c r="F30" i="71" s="1"/>
  <c r="P29" i="71"/>
  <c r="O29" i="71"/>
  <c r="N29" i="71"/>
  <c r="X26" i="71" s="1"/>
  <c r="D29" i="71"/>
  <c r="O28" i="71"/>
  <c r="N28" i="71"/>
  <c r="B30" i="71"/>
  <c r="B31" i="71" s="1"/>
  <c r="B32" i="71" s="1"/>
  <c r="S32" i="71" s="1"/>
  <c r="X33" i="71"/>
  <c r="N68" i="71"/>
  <c r="C30" i="71"/>
  <c r="C31" i="71" s="1"/>
  <c r="AA31" i="71"/>
  <c r="C34" i="71"/>
  <c r="X34" i="71"/>
  <c r="X36" i="71"/>
  <c r="C38" i="71"/>
  <c r="D38" i="71" s="1"/>
  <c r="Y37" i="71"/>
  <c r="Z37" i="71" s="1"/>
  <c r="X38" i="71"/>
  <c r="V52" i="71"/>
  <c r="Y26" i="71"/>
  <c r="Z26" i="71" s="1"/>
  <c r="B28" i="71"/>
  <c r="B27" i="71" s="1"/>
  <c r="B26" i="71"/>
  <c r="X28" i="71"/>
  <c r="C39" i="71"/>
  <c r="D39" i="71" s="1"/>
  <c r="D42" i="71"/>
  <c r="D46" i="71"/>
  <c r="D50" i="71"/>
  <c r="P28" i="71"/>
  <c r="E55" i="71"/>
  <c r="E56" i="71" s="1"/>
  <c r="U56" i="71" s="1"/>
  <c r="E63" i="71"/>
  <c r="E64" i="71" s="1"/>
  <c r="U64" i="71" s="1"/>
  <c r="U68" i="71"/>
  <c r="Q28" i="71"/>
  <c r="D58" i="71"/>
  <c r="D62" i="71"/>
  <c r="T68" i="71"/>
  <c r="O68" i="71"/>
  <c r="D68" i="71"/>
  <c r="C67" i="71"/>
  <c r="O67" i="71" s="1"/>
  <c r="Q68" i="71"/>
  <c r="C71" i="71"/>
  <c r="C70" i="71" s="1"/>
  <c r="D70" i="71" s="1"/>
  <c r="C75" i="71"/>
  <c r="C74" i="71" s="1"/>
  <c r="D74" i="71" s="1"/>
  <c r="D76" i="71"/>
  <c r="C79" i="71"/>
  <c r="C83" i="71"/>
  <c r="C87" i="71"/>
  <c r="S28" i="71"/>
  <c r="AB26" i="71"/>
  <c r="E28" i="71"/>
  <c r="E27" i="71" s="1"/>
  <c r="E26" i="71" s="1"/>
  <c r="AA3" i="71"/>
  <c r="AA26" i="71"/>
  <c r="AA28" i="71"/>
  <c r="C66" i="71"/>
  <c r="O66" i="71" s="1"/>
  <c r="C64" i="71"/>
  <c r="D64" i="71" s="1"/>
  <c r="D63" i="71"/>
  <c r="D83" i="71"/>
  <c r="C82" i="71"/>
  <c r="D82" i="71" s="1"/>
  <c r="D75" i="71"/>
  <c r="D87" i="71"/>
  <c r="C86" i="71"/>
  <c r="D86" i="71" s="1"/>
  <c r="D79" i="71"/>
  <c r="C78" i="71"/>
  <c r="D78" i="71" s="1"/>
  <c r="D71" i="71"/>
  <c r="C60" i="71"/>
  <c r="D60" i="71" s="1"/>
  <c r="D59" i="71"/>
  <c r="C52" i="71"/>
  <c r="D52" i="71" s="1"/>
  <c r="D51" i="71"/>
  <c r="C44" i="71"/>
  <c r="T44" i="71" s="1"/>
  <c r="D43" i="71"/>
  <c r="C40" i="71"/>
  <c r="T40" i="71" s="1"/>
  <c r="C32" i="71"/>
  <c r="T32" i="71" s="1"/>
  <c r="D31" i="71"/>
  <c r="V28" i="71"/>
  <c r="D66" i="71"/>
  <c r="D32" i="71"/>
  <c r="D40" i="71"/>
  <c r="T52" i="71"/>
  <c r="T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J11" i="35" s="1"/>
  <c r="W11" i="35" s="1"/>
  <c r="B61" i="35"/>
  <c r="B59" i="35"/>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J45" i="39"/>
  <c r="W45" i="39" s="1"/>
  <c r="J44" i="39"/>
  <c r="AC44" i="39" s="1"/>
  <c r="F36" i="39"/>
  <c r="S36" i="39" s="1"/>
  <c r="H36" i="39"/>
  <c r="AB36" i="39" s="1"/>
  <c r="J35" i="39"/>
  <c r="AC35" i="39" s="1"/>
  <c r="F35" i="39"/>
  <c r="AA35" i="39" s="1"/>
  <c r="J36" i="39"/>
  <c r="AC36" i="39" s="1"/>
  <c r="W40"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W22" i="35"/>
  <c r="F36" i="34"/>
  <c r="J35" i="34"/>
  <c r="U34" i="34"/>
  <c r="H39" i="33"/>
  <c r="AB39" i="33" s="1"/>
  <c r="F26" i="33"/>
  <c r="AA26" i="33" s="1"/>
  <c r="U35" i="33"/>
  <c r="S40" i="33"/>
  <c r="W33" i="33"/>
  <c r="W39" i="33"/>
  <c r="H39" i="37"/>
  <c r="AB39" i="37" s="1"/>
  <c r="S27" i="35"/>
  <c r="F11" i="40"/>
  <c r="AA11" i="40" s="1"/>
  <c r="H11" i="40"/>
  <c r="AB11" i="40" s="1"/>
  <c r="AB39" i="40"/>
  <c r="AA9" i="40"/>
  <c r="U38"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H17" i="40"/>
  <c r="U17" i="40" s="1"/>
  <c r="J15" i="40"/>
  <c r="W15" i="40" s="1"/>
  <c r="J11" i="40"/>
  <c r="AB8" i="39"/>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S38" i="33"/>
  <c r="E113" i="33"/>
  <c r="F32" i="33"/>
  <c r="AA32" i="33" s="1"/>
  <c r="J19" i="33"/>
  <c r="AC19" i="33" s="1"/>
  <c r="J15" i="33"/>
  <c r="AC15" i="33" s="1"/>
  <c r="F11" i="33"/>
  <c r="AA11" i="33" s="1"/>
  <c r="S26" i="33"/>
  <c r="U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H32" i="36"/>
  <c r="AB32"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J27" i="37"/>
  <c r="AC27" i="37" s="1"/>
  <c r="AA44" i="33"/>
  <c r="AA14" i="33"/>
  <c r="J36" i="37"/>
  <c r="AC36" i="37" s="1"/>
  <c r="J10" i="36"/>
  <c r="AC10" i="36" s="1"/>
  <c r="AB26" i="33"/>
  <c r="AB30" i="21"/>
  <c r="W31" i="34"/>
  <c r="W13" i="36"/>
  <c r="S11" i="36"/>
  <c r="AB46" i="34"/>
  <c r="AA14" i="34"/>
  <c r="AB45" i="33"/>
  <c r="AC28" i="21"/>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AZ520" i="3" s="1"/>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s="1"/>
  <c r="AZ501" i="3" s="1"/>
  <c r="BQ499" i="3"/>
  <c r="BL499" i="3" s="1"/>
  <c r="BQ497" i="3"/>
  <c r="BL497" i="3" s="1"/>
  <c r="AZ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c r="S28" i="31"/>
  <c r="S27" i="31"/>
  <c r="S26" i="31"/>
  <c r="U35" i="35"/>
  <c r="AA12" i="35"/>
  <c r="U33" i="37"/>
  <c r="U39" i="37"/>
  <c r="W26" i="37"/>
  <c r="U26" i="37"/>
  <c r="AB13" i="34"/>
  <c r="AA13" i="33"/>
  <c r="AC45" i="33"/>
  <c r="U11" i="33"/>
  <c r="U19" i="21"/>
  <c r="W44" i="21"/>
  <c r="U26" i="21"/>
  <c r="AC46" i="21"/>
  <c r="U12" i="21"/>
  <c r="AB38" i="21"/>
  <c r="F43" i="33"/>
  <c r="AA43" i="33"/>
  <c r="W15" i="34"/>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G71" i="37"/>
  <c r="J15" i="37"/>
  <c r="W15" i="37" s="1"/>
  <c r="AT6" i="3"/>
  <c r="H5" i="3"/>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BL549" i="3"/>
  <c r="AZ494" i="3"/>
  <c r="AZ514" i="3"/>
  <c r="AZ530"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55" i="3"/>
  <c r="AZ67" i="3"/>
  <c r="AZ71" i="3"/>
  <c r="AZ83" i="3"/>
  <c r="AZ136" i="3"/>
  <c r="AZ144" i="3"/>
  <c r="AZ160" i="3"/>
  <c r="AZ176" i="3"/>
  <c r="AZ192" i="3"/>
  <c r="AZ85" i="3"/>
  <c r="AZ93" i="3"/>
  <c r="AZ101" i="3"/>
  <c r="AZ128" i="3"/>
  <c r="G534" i="3"/>
  <c r="G530" i="3"/>
  <c r="G522" i="3"/>
  <c r="G516" i="3"/>
  <c r="G512" i="3"/>
  <c r="G506" i="3"/>
  <c r="G498" i="3"/>
  <c r="G494" i="3"/>
  <c r="G16" i="3"/>
  <c r="G15" i="3"/>
  <c r="BA304" i="3"/>
  <c r="BA305" i="3"/>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38" i="3"/>
  <c r="AZ142" i="3"/>
  <c r="AZ146" i="3"/>
  <c r="AZ154" i="3"/>
  <c r="AZ170" i="3"/>
  <c r="AZ186" i="3"/>
  <c r="AZ202" i="3"/>
  <c r="AZ206" i="3"/>
  <c r="AZ500" i="3"/>
  <c r="BA16" i="3"/>
  <c r="AZ16" i="3"/>
  <c r="BL303" i="3"/>
  <c r="G304" i="3"/>
  <c r="BA306" i="3"/>
  <c r="AZ306" i="3"/>
  <c r="BL307" i="3"/>
  <c r="AZ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BL366" i="3"/>
  <c r="AZ366" i="3" s="1"/>
  <c r="G367" i="3"/>
  <c r="BA369" i="3"/>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BL388" i="3"/>
  <c r="AZ388" i="3" s="1"/>
  <c r="G389" i="3"/>
  <c r="BA391" i="3"/>
  <c r="AZ391" i="3" s="1"/>
  <c r="BL392" i="3"/>
  <c r="AZ392" i="3" s="1"/>
  <c r="G393" i="3"/>
  <c r="AZ275" i="3"/>
  <c r="AZ287" i="3"/>
  <c r="AZ295" i="3"/>
  <c r="AZ299" i="3"/>
  <c r="BO5" i="3"/>
  <c r="BM5" i="3"/>
  <c r="BJ5" i="3"/>
  <c r="BH5" i="3"/>
  <c r="BF5" i="3"/>
  <c r="BD5" i="3"/>
  <c r="AZ317" i="3"/>
  <c r="AZ341" i="3"/>
  <c r="AC5" i="3"/>
  <c r="AZ549" i="3"/>
  <c r="AZ506" i="3"/>
  <c r="AZ496" i="3"/>
  <c r="G548" i="3"/>
  <c r="G538" i="3"/>
  <c r="G520" i="3"/>
  <c r="G502" i="3"/>
  <c r="BS5" i="3"/>
  <c r="BP5" i="3"/>
  <c r="BN5" i="3"/>
  <c r="BK5" i="3"/>
  <c r="BI5" i="3"/>
  <c r="BG5" i="3"/>
  <c r="BE5" i="3"/>
  <c r="BC5" i="3"/>
  <c r="G17" i="3"/>
  <c r="BA17" i="3"/>
  <c r="BT5" i="3"/>
  <c r="BA15" i="3"/>
  <c r="BB5" i="3"/>
  <c r="BR5" i="3"/>
  <c r="AZ380" i="3"/>
  <c r="AZ499" i="3"/>
  <c r="G509" i="3"/>
  <c r="AZ491" i="3"/>
  <c r="AZ390" i="3"/>
  <c r="U36" i="40"/>
  <c r="F83" i="43"/>
  <c r="H85" i="43" s="1"/>
  <c r="F50" i="43"/>
  <c r="H54" i="43" s="1"/>
  <c r="G54" i="43" s="1"/>
  <c r="F72" i="43"/>
  <c r="H75" i="43" s="1"/>
  <c r="U17" i="39"/>
  <c r="S14" i="35"/>
  <c r="U43" i="21"/>
  <c r="U35" i="21"/>
  <c r="AC35" i="21"/>
  <c r="G8" i="1"/>
  <c r="G10" i="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23" i="3"/>
  <c r="AZ235" i="3"/>
  <c r="AZ240" i="3"/>
  <c r="AZ251" i="3"/>
  <c r="AZ256" i="3"/>
  <c r="AZ268" i="3"/>
  <c r="AZ271" i="3"/>
  <c r="AZ296" i="3"/>
  <c r="AZ117" i="3"/>
  <c r="AZ133" i="3"/>
  <c r="AZ29" i="3"/>
  <c r="AZ31" i="3"/>
  <c r="AZ33" i="3"/>
  <c r="AZ37" i="3"/>
  <c r="AZ42" i="3"/>
  <c r="AZ45" i="3"/>
  <c r="AZ53" i="3"/>
  <c r="AZ58" i="3"/>
  <c r="AZ69"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C12" i="39"/>
  <c r="W12" i="39"/>
  <c r="AC39" i="40"/>
  <c r="W39" i="40"/>
  <c r="AZ401" i="3"/>
  <c r="AZ417" i="3"/>
  <c r="AZ428" i="3"/>
  <c r="W12" i="33"/>
  <c r="AC12" i="33"/>
  <c r="AA32" i="36"/>
  <c r="S32" i="36"/>
  <c r="AZ408" i="3"/>
  <c r="AZ437" i="3"/>
  <c r="AZ441" i="3"/>
  <c r="AZ490" i="3"/>
  <c r="AA39" i="34"/>
  <c r="BL14" i="3"/>
  <c r="AZ266" i="3"/>
  <c r="U30" i="33"/>
  <c r="AC13" i="34"/>
  <c r="AA47" i="34"/>
  <c r="W28" i="37"/>
  <c r="S19" i="39"/>
  <c r="F12" i="33"/>
  <c r="H12" i="39"/>
  <c r="AB12" i="39" s="1"/>
  <c r="F39" i="40"/>
  <c r="AA39" i="40" s="1"/>
  <c r="BA14" i="3"/>
  <c r="AZ14" i="3" s="1"/>
  <c r="AZ367" i="3"/>
  <c r="AZ224" i="3"/>
  <c r="AZ238" i="3"/>
  <c r="AZ254" i="3"/>
  <c r="AZ297" i="3"/>
  <c r="AZ149" i="3"/>
  <c r="AZ165" i="3"/>
  <c r="AZ181" i="3"/>
  <c r="AZ197" i="3"/>
  <c r="AZ26" i="3"/>
  <c r="AZ35" i="3"/>
  <c r="AZ41" i="3"/>
  <c r="B12" i="1"/>
  <c r="E12" i="1" s="1"/>
  <c r="B10" i="1"/>
  <c r="E10" i="1" s="1"/>
  <c r="AZ80" i="3"/>
  <c r="AZ84" i="3"/>
  <c r="AZ88" i="3"/>
  <c r="K12" i="1"/>
  <c r="M12" i="1" s="1"/>
  <c r="S13" i="1"/>
  <c r="AR13" i="1" s="1"/>
  <c r="R13" i="1"/>
  <c r="J51" i="67"/>
  <c r="C42" i="1"/>
  <c r="AC34" i="33"/>
  <c r="AA34" i="33"/>
  <c r="B41" i="1"/>
  <c r="F48" i="9" s="1"/>
  <c r="O52" i="9" s="1"/>
  <c r="AB37" i="40"/>
  <c r="S35" i="40"/>
  <c r="U35" i="40"/>
  <c r="AC36" i="40"/>
  <c r="W38" i="40"/>
  <c r="AA32" i="40"/>
  <c r="S17" i="40"/>
  <c r="S23" i="40"/>
  <c r="AC17" i="40"/>
  <c r="AC15" i="40"/>
  <c r="S30" i="40"/>
  <c r="S28"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3" i="36"/>
  <c r="U26" i="36"/>
  <c r="S33" i="36"/>
  <c r="AA26" i="36"/>
  <c r="AA34" i="36"/>
  <c r="AC26" i="36"/>
  <c r="W14" i="36"/>
  <c r="AB14" i="36"/>
  <c r="U22" i="36"/>
  <c r="S16" i="36"/>
  <c r="AA25" i="36"/>
  <c r="S24" i="36"/>
  <c r="U24" i="36"/>
  <c r="AB20" i="36"/>
  <c r="U16" i="36"/>
  <c r="S14" i="36"/>
  <c r="AA25" i="35"/>
  <c r="S23" i="35"/>
  <c r="W24" i="35"/>
  <c r="AB13" i="35"/>
  <c r="U29" i="35"/>
  <c r="U28" i="35"/>
  <c r="AB27" i="35"/>
  <c r="U32" i="35"/>
  <c r="AA33" i="35"/>
  <c r="AC30" i="35"/>
  <c r="S32" i="35"/>
  <c r="S28" i="35"/>
  <c r="AB16" i="35"/>
  <c r="U22"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S39" i="40"/>
  <c r="S12" i="33"/>
  <c r="AA12" i="33"/>
  <c r="J32" i="39"/>
  <c r="H32" i="39"/>
  <c r="AB32" i="39" s="1"/>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AB17" i="33" s="1"/>
  <c r="F17" i="33"/>
  <c r="S17" i="33" s="1"/>
  <c r="AC17" i="33"/>
  <c r="S37" i="21"/>
  <c r="AA23" i="21"/>
  <c r="J23" i="21"/>
  <c r="W23" i="21" s="1"/>
  <c r="H23" i="21"/>
  <c r="AB23" i="21" s="1"/>
  <c r="S13" i="21"/>
  <c r="AP7" i="1"/>
  <c r="AB45" i="21"/>
  <c r="AB9" i="21"/>
  <c r="U9" i="21"/>
  <c r="S32" i="21"/>
  <c r="AC9" i="21"/>
  <c r="U32" i="21"/>
  <c r="U32" i="39"/>
  <c r="AC32" i="39"/>
  <c r="W32" i="39"/>
  <c r="W19" i="37"/>
  <c r="AC19" i="37"/>
  <c r="AC23" i="37"/>
  <c r="J11" i="37"/>
  <c r="AC11" i="37" s="1"/>
  <c r="J11" i="34"/>
  <c r="W11" i="34" s="1"/>
  <c r="AB36" i="33"/>
  <c r="W27" i="33"/>
  <c r="W25" i="33"/>
  <c r="AA23" i="33"/>
  <c r="S23" i="33"/>
  <c r="AB19" i="33"/>
  <c r="AA17" i="33"/>
  <c r="U17" i="33"/>
  <c r="AC23" i="21"/>
  <c r="H109" i="9"/>
  <c r="H112" i="9"/>
  <c r="D21" i="53" s="1"/>
  <c r="B39" i="72" s="1"/>
  <c r="H111" i="9"/>
  <c r="D126" i="9" s="1"/>
  <c r="AD3" i="71"/>
  <c r="J1" i="73"/>
  <c r="H69" i="43"/>
  <c r="H50" i="43"/>
  <c r="G50"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AO13" i="1"/>
  <c r="F3" i="73"/>
  <c r="E9" i="76"/>
  <c r="M9" i="15"/>
  <c r="F7" i="73"/>
  <c r="B10" i="76"/>
  <c r="C76" i="15"/>
  <c r="D6" i="73"/>
  <c r="B13" i="76"/>
  <c r="F40" i="15"/>
  <c r="F5" i="73"/>
  <c r="F6" i="67"/>
  <c r="M28" i="15"/>
  <c r="B11" i="76"/>
  <c r="E2" i="68"/>
  <c r="D5" i="73"/>
  <c r="M22" i="67"/>
  <c r="F36" i="67"/>
  <c r="E8" i="76"/>
  <c r="M26" i="67"/>
  <c r="L48" i="15"/>
  <c r="E13" i="76"/>
  <c r="B9" i="76"/>
  <c r="M23" i="15"/>
  <c r="F37" i="67"/>
  <c r="E7" i="76"/>
  <c r="J15" i="67"/>
  <c r="F8" i="67"/>
  <c r="F8" i="15"/>
  <c r="F4" i="73"/>
  <c r="F38" i="15"/>
  <c r="M24" i="15"/>
  <c r="L47" i="15"/>
  <c r="B8" i="76"/>
  <c r="M8" i="67"/>
  <c r="F26" i="67"/>
  <c r="D3" i="73"/>
  <c r="E11" i="76"/>
  <c r="M26" i="15"/>
  <c r="F26" i="15"/>
  <c r="D7" i="73"/>
  <c r="F20" i="31"/>
  <c r="D4" i="73"/>
  <c r="F38" i="67"/>
  <c r="E12" i="76"/>
  <c r="B7" i="76"/>
  <c r="E2" i="69"/>
  <c r="F6" i="15"/>
  <c r="E10" i="76"/>
  <c r="M6" i="15"/>
  <c r="J15" i="15"/>
  <c r="B12" i="76"/>
  <c r="M29" i="15"/>
  <c r="C76" i="67"/>
  <c r="F6" i="73"/>
  <c r="U23" i="21" l="1"/>
  <c r="W12" i="40"/>
  <c r="AC12" i="40"/>
  <c r="M50" i="43"/>
  <c r="N50" i="43" s="1"/>
  <c r="K50" i="43"/>
  <c r="J50" i="43" s="1"/>
  <c r="AZ327" i="3"/>
  <c r="U23" i="35"/>
  <c r="AB23" i="35"/>
  <c r="AZ362" i="3"/>
  <c r="AZ495" i="3"/>
  <c r="AZ507" i="3"/>
  <c r="AZ523" i="3"/>
  <c r="AZ531" i="3"/>
  <c r="AZ539" i="3"/>
  <c r="AZ547" i="3"/>
  <c r="AZ563" i="3"/>
  <c r="J23" i="35"/>
  <c r="F9" i="36"/>
  <c r="F44" i="39"/>
  <c r="G574" i="3"/>
  <c r="G558" i="3"/>
  <c r="G542" i="3"/>
  <c r="BL15" i="3"/>
  <c r="F6" i="1"/>
  <c r="BA398" i="3"/>
  <c r="AZ398" i="3" s="1"/>
  <c r="G401" i="3"/>
  <c r="G402" i="3"/>
  <c r="G406" i="3"/>
  <c r="G408" i="3"/>
  <c r="G409" i="3"/>
  <c r="BL409" i="3"/>
  <c r="BA410" i="3"/>
  <c r="AZ410" i="3" s="1"/>
  <c r="BL412" i="3"/>
  <c r="AZ412" i="3" s="1"/>
  <c r="BA413" i="3"/>
  <c r="AZ413" i="3" s="1"/>
  <c r="G416" i="3"/>
  <c r="BL416" i="3"/>
  <c r="M54" i="43"/>
  <c r="K54" i="43"/>
  <c r="J54" i="43" s="1"/>
  <c r="AZ15" i="3"/>
  <c r="AZ387" i="3"/>
  <c r="AZ369" i="3"/>
  <c r="AZ382" i="3"/>
  <c r="AZ371" i="3"/>
  <c r="AZ364" i="3"/>
  <c r="AZ361" i="3"/>
  <c r="AZ342" i="3"/>
  <c r="AZ336" i="3"/>
  <c r="AZ321" i="3"/>
  <c r="AZ304" i="3"/>
  <c r="AZ124" i="3"/>
  <c r="AZ394" i="3"/>
  <c r="AZ325" i="3"/>
  <c r="AC12" i="37"/>
  <c r="AZ526" i="3"/>
  <c r="AZ566" i="3"/>
  <c r="AZ574" i="3"/>
  <c r="AZ582" i="3"/>
  <c r="AZ502" i="3"/>
  <c r="AZ584" i="3"/>
  <c r="AA14" i="37"/>
  <c r="BL586" i="3"/>
  <c r="AZ586" i="3" s="1"/>
  <c r="BA585" i="3"/>
  <c r="AZ585" i="3" s="1"/>
  <c r="BA551" i="3"/>
  <c r="AZ551" i="3" s="1"/>
  <c r="BL550" i="3"/>
  <c r="BA550" i="3"/>
  <c r="AZ550" i="3" s="1"/>
  <c r="A15" i="62"/>
  <c r="B61" i="72" s="1"/>
  <c r="AZ403" i="3"/>
  <c r="AZ409" i="3"/>
  <c r="AZ416" i="3"/>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BL368" i="3"/>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BL125" i="3"/>
  <c r="BA126" i="3"/>
  <c r="AZ126" i="3" s="1"/>
  <c r="BL127" i="3"/>
  <c r="AZ127" i="3" s="1"/>
  <c r="BA129" i="3"/>
  <c r="AZ129" i="3" s="1"/>
  <c r="BA130" i="3"/>
  <c r="AZ130" i="3" s="1"/>
  <c r="BL131" i="3"/>
  <c r="AZ131" i="3" s="1"/>
  <c r="G135" i="3"/>
  <c r="G138" i="3"/>
  <c r="G139" i="3"/>
  <c r="G142" i="3"/>
  <c r="G143" i="3"/>
  <c r="G146" i="3"/>
  <c r="G147" i="3"/>
  <c r="AZ442" i="3"/>
  <c r="AZ446" i="3"/>
  <c r="AZ481" i="3"/>
  <c r="AZ487" i="3"/>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G28" i="3"/>
  <c r="G29" i="3"/>
  <c r="G30" i="3"/>
  <c r="BL30" i="3"/>
  <c r="BL32" i="3"/>
  <c r="AZ32" i="3" s="1"/>
  <c r="G35" i="3"/>
  <c r="G36" i="3"/>
  <c r="BL36" i="3"/>
  <c r="G37" i="3"/>
  <c r="G38" i="3"/>
  <c r="BL38" i="3"/>
  <c r="G41" i="3"/>
  <c r="G42" i="3"/>
  <c r="G43" i="3"/>
  <c r="G44" i="3"/>
  <c r="BL44" i="3"/>
  <c r="BA46" i="3"/>
  <c r="AZ46" i="3" s="1"/>
  <c r="BA47" i="3"/>
  <c r="AZ47" i="3" s="1"/>
  <c r="BA49" i="3"/>
  <c r="AZ49" i="3" s="1"/>
  <c r="BA50" i="3"/>
  <c r="AZ50" i="3" s="1"/>
  <c r="BA51" i="3"/>
  <c r="AZ51" i="3" s="1"/>
  <c r="G54" i="3"/>
  <c r="BL54" i="3"/>
  <c r="AZ54" i="3" s="1"/>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C55" i="71"/>
  <c r="D54" i="71"/>
  <c r="AZ153" i="3"/>
  <c r="AZ185" i="3"/>
  <c r="AZ207" i="3"/>
  <c r="AZ25" i="3"/>
  <c r="AZ30" i="3"/>
  <c r="AZ36" i="3"/>
  <c r="AZ44" i="3"/>
  <c r="AZ57" i="3"/>
  <c r="AZ70" i="3"/>
  <c r="BL77" i="3"/>
  <c r="AZ77" i="3" s="1"/>
  <c r="BL79" i="3"/>
  <c r="AZ79" i="3" s="1"/>
  <c r="G82" i="3"/>
  <c r="G83" i="3"/>
  <c r="G84" i="3"/>
  <c r="G85" i="3"/>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C21" i="68"/>
  <c r="F28" i="71"/>
  <c r="F27" i="71" s="1"/>
  <c r="F26" i="71" s="1"/>
  <c r="AB25" i="71"/>
  <c r="AB27" i="71"/>
  <c r="C28" i="71"/>
  <c r="Y25" i="71"/>
  <c r="Z25" i="71" s="1"/>
  <c r="Y27" i="71"/>
  <c r="Z27" i="71" s="1"/>
  <c r="AA25" i="71"/>
  <c r="AA27" i="71"/>
  <c r="E34" i="71"/>
  <c r="E35" i="71" s="1"/>
  <c r="E36" i="71" s="1"/>
  <c r="U36" i="71" s="1"/>
  <c r="AA33" i="71"/>
  <c r="AA30" i="71"/>
  <c r="AA32" i="71"/>
  <c r="E38" i="71"/>
  <c r="E39" i="71" s="1"/>
  <c r="E40" i="71" s="1"/>
  <c r="U40" i="71" s="1"/>
  <c r="AA37" i="71"/>
  <c r="P68" i="71"/>
  <c r="E67" i="71"/>
  <c r="T72" i="71"/>
  <c r="D72" i="71"/>
  <c r="U76" i="71"/>
  <c r="E75" i="71"/>
  <c r="E74" i="71" s="1"/>
  <c r="T80" i="71"/>
  <c r="D80" i="71"/>
  <c r="E23" i="71"/>
  <c r="E22" i="71" s="1"/>
  <c r="E21" i="71" s="1"/>
  <c r="E20" i="71" s="1"/>
  <c r="E19" i="71" s="1"/>
  <c r="E18" i="71" s="1"/>
  <c r="E17" i="71" s="1"/>
  <c r="E16" i="71" s="1"/>
  <c r="V24" i="71"/>
  <c r="AZ87" i="3"/>
  <c r="AZ100" i="3"/>
  <c r="S21" i="34"/>
  <c r="D44" i="71"/>
  <c r="O65" i="71"/>
  <c r="D67" i="71"/>
  <c r="AB28" i="71"/>
  <c r="D30" i="71"/>
  <c r="Y28" i="71"/>
  <c r="Z28" i="71" s="1"/>
  <c r="C35" i="71"/>
  <c r="D34" i="71"/>
  <c r="AB29" i="71"/>
  <c r="X29" i="71"/>
  <c r="Y30" i="71"/>
  <c r="Z30" i="71" s="1"/>
  <c r="Y29" i="71"/>
  <c r="Z29" i="71" s="1"/>
  <c r="AB30" i="71"/>
  <c r="Y31" i="71"/>
  <c r="Z31" i="71" s="1"/>
  <c r="AB31" i="71"/>
  <c r="Y34" i="71"/>
  <c r="Z34" i="71" s="1"/>
  <c r="AB35" i="71"/>
  <c r="X35" i="71"/>
  <c r="B67" i="71"/>
  <c r="U72" i="71"/>
  <c r="E71" i="71"/>
  <c r="E70" i="71" s="1"/>
  <c r="U80" i="71"/>
  <c r="E79" i="71"/>
  <c r="E78" i="71" s="1"/>
  <c r="F31" i="71"/>
  <c r="F32" i="71" s="1"/>
  <c r="V32" i="71" s="1"/>
  <c r="F35" i="71"/>
  <c r="F36" i="71" s="1"/>
  <c r="V36" i="71" s="1"/>
  <c r="F39" i="71"/>
  <c r="F40" i="71" s="1"/>
  <c r="V40" i="71" s="1"/>
  <c r="E47" i="71"/>
  <c r="E48" i="71" s="1"/>
  <c r="U48" i="71" s="1"/>
  <c r="B51" i="71"/>
  <c r="B52" i="71" s="1"/>
  <c r="S52" i="71" s="1"/>
  <c r="K56" i="9"/>
  <c r="G6" i="1"/>
  <c r="I24" i="43"/>
  <c r="F54" i="9"/>
  <c r="F28" i="15"/>
  <c r="F32" i="67"/>
  <c r="F60" i="67" s="1"/>
  <c r="F28" i="67"/>
  <c r="C28" i="67" s="1"/>
  <c r="G26" i="12"/>
  <c r="G22" i="69"/>
  <c r="F28" i="6"/>
  <c r="V20" i="71"/>
  <c r="S41" i="34"/>
  <c r="AA41" i="34"/>
  <c r="AB43" i="33"/>
  <c r="U43" i="33"/>
  <c r="AZ557" i="3"/>
  <c r="AZ513" i="3"/>
  <c r="AZ517" i="3"/>
  <c r="AZ567" i="3"/>
  <c r="AZ571" i="3"/>
  <c r="AZ575" i="3"/>
  <c r="AZ579" i="3"/>
  <c r="AC14" i="37"/>
  <c r="W14" i="37"/>
  <c r="S13" i="35"/>
  <c r="AA13" i="35"/>
  <c r="AB46" i="33"/>
  <c r="U46" i="33"/>
  <c r="AC44" i="33"/>
  <c r="W44" i="33"/>
  <c r="W30" i="34"/>
  <c r="AC30" i="34"/>
  <c r="AC29" i="33"/>
  <c r="W29" i="33"/>
  <c r="D17" i="71"/>
  <c r="C16" i="71"/>
  <c r="M23" i="43" s="1"/>
  <c r="D19" i="53"/>
  <c r="B38" i="72" s="1"/>
  <c r="D16" i="53"/>
  <c r="B34" i="72" s="1"/>
  <c r="D6" i="52"/>
  <c r="AB15" i="21"/>
  <c r="AC17" i="37"/>
  <c r="D68" i="9"/>
  <c r="M18" i="15"/>
  <c r="F30" i="69"/>
  <c r="F48" i="69" s="1"/>
  <c r="M18" i="67"/>
  <c r="F31" i="12"/>
  <c r="F30" i="11"/>
  <c r="C48" i="11" s="1"/>
  <c r="W30" i="40"/>
  <c r="W17" i="21"/>
  <c r="AC15" i="21"/>
  <c r="AB20" i="35"/>
  <c r="S23" i="39"/>
  <c r="AA39" i="39"/>
  <c r="W27" i="40"/>
  <c r="BA5" i="3"/>
  <c r="S20" i="35"/>
  <c r="AA36" i="35"/>
  <c r="AA22" i="36"/>
  <c r="U12" i="39"/>
  <c r="AA12" i="39"/>
  <c r="AB19" i="40"/>
  <c r="AA27" i="40"/>
  <c r="AA19" i="40"/>
  <c r="AB27" i="40"/>
  <c r="U13" i="37"/>
  <c r="BL493" i="3"/>
  <c r="AZ493" i="3" s="1"/>
  <c r="AZ379" i="3"/>
  <c r="AZ372" i="3"/>
  <c r="AZ337" i="3"/>
  <c r="AZ305" i="3"/>
  <c r="AZ343" i="3"/>
  <c r="W40" i="37"/>
  <c r="AB28" i="37"/>
  <c r="S25" i="21"/>
  <c r="AA25" i="21"/>
  <c r="AZ581" i="3"/>
  <c r="U31" i="33"/>
  <c r="U31" i="34"/>
  <c r="AB14" i="40"/>
  <c r="U14" i="40"/>
  <c r="AC47" i="34"/>
  <c r="W47" i="34"/>
  <c r="AA45" i="33"/>
  <c r="S45" i="33"/>
  <c r="W31" i="33"/>
  <c r="AC31" i="33"/>
  <c r="AB23" i="40"/>
  <c r="U23" i="40"/>
  <c r="B94" i="43"/>
  <c r="B73" i="43"/>
  <c r="B99" i="43"/>
  <c r="B76" i="43"/>
  <c r="C27" i="39"/>
  <c r="U12" i="33"/>
  <c r="AB12" i="33"/>
  <c r="AB33" i="33"/>
  <c r="U33" i="33"/>
  <c r="J12" i="34"/>
  <c r="F12" i="34"/>
  <c r="H12" i="34"/>
  <c r="H12" i="35"/>
  <c r="J12" i="35"/>
  <c r="AB9" i="39"/>
  <c r="U9" i="39"/>
  <c r="G28" i="6"/>
  <c r="F29" i="6"/>
  <c r="AC36" i="34"/>
  <c r="U32" i="33"/>
  <c r="W36" i="39"/>
  <c r="AC45" i="39"/>
  <c r="S44" i="34"/>
  <c r="F11" i="35"/>
  <c r="S29" i="35"/>
  <c r="AA29" i="35"/>
  <c r="W40" i="33"/>
  <c r="U23" i="34"/>
  <c r="AB23" i="34"/>
  <c r="AB33" i="35"/>
  <c r="U33" i="35"/>
  <c r="W11" i="40"/>
  <c r="AC11" i="40"/>
  <c r="S39" i="37"/>
  <c r="AA39" i="37"/>
  <c r="AA34" i="21"/>
  <c r="S34" i="21"/>
  <c r="J9" i="34"/>
  <c r="F9" i="34"/>
  <c r="AA9" i="34" s="1"/>
  <c r="H9" i="34"/>
  <c r="AC28" i="35"/>
  <c r="W28" i="35"/>
  <c r="J34" i="35"/>
  <c r="H34" i="35"/>
  <c r="F34" i="35"/>
  <c r="AC28" i="36"/>
  <c r="W28" i="36"/>
  <c r="W16" i="36"/>
  <c r="AC16" i="36"/>
  <c r="AB30" i="37"/>
  <c r="U30" i="37"/>
  <c r="H45" i="39"/>
  <c r="F45" i="39"/>
  <c r="AC8" i="40"/>
  <c r="W8" i="40"/>
  <c r="AB9" i="40"/>
  <c r="U9" i="40"/>
  <c r="AB34" i="40"/>
  <c r="U34" i="40"/>
  <c r="AB40" i="40"/>
  <c r="U40" i="40"/>
  <c r="AZ399" i="3"/>
  <c r="AZ404" i="3"/>
  <c r="AZ411" i="3"/>
  <c r="AZ414" i="3"/>
  <c r="AZ421" i="3"/>
  <c r="AZ423" i="3"/>
  <c r="AZ427" i="3"/>
  <c r="AZ430" i="3"/>
  <c r="AZ440" i="3"/>
  <c r="AZ449" i="3"/>
  <c r="AZ453" i="3"/>
  <c r="AZ455" i="3"/>
  <c r="AZ460" i="3"/>
  <c r="AZ471" i="3"/>
  <c r="AZ476" i="3"/>
  <c r="AZ478" i="3"/>
  <c r="AZ484" i="3"/>
  <c r="AZ492" i="3"/>
  <c r="F12" i="21"/>
  <c r="J12" i="21"/>
  <c r="B101" i="43"/>
  <c r="B79" i="43"/>
  <c r="B97" i="43"/>
  <c r="B75" i="43"/>
  <c r="H36" i="35"/>
  <c r="J36" i="35"/>
  <c r="J23" i="36"/>
  <c r="H23" i="36"/>
  <c r="F23" i="36"/>
  <c r="H33" i="36"/>
  <c r="J33" i="36"/>
  <c r="AC33" i="36" s="1"/>
  <c r="W9" i="40"/>
  <c r="AC9" i="40"/>
  <c r="AA34" i="40"/>
  <c r="S34" i="40"/>
  <c r="AA40" i="40"/>
  <c r="S40" i="40"/>
  <c r="W40" i="40"/>
  <c r="AC40" i="40"/>
  <c r="AA31" i="35"/>
  <c r="S31" i="35"/>
  <c r="W31" i="35"/>
  <c r="AC31" i="35"/>
  <c r="G551" i="3"/>
  <c r="G5" i="3" s="1"/>
  <c r="B3" i="3" s="1"/>
  <c r="BL548" i="3"/>
  <c r="BL5" i="3" s="1"/>
  <c r="AZ385" i="3"/>
  <c r="AZ210" i="3"/>
  <c r="AZ225" i="3"/>
  <c r="AZ239" i="3"/>
  <c r="AZ255" i="3"/>
  <c r="AZ270" i="3"/>
  <c r="AZ274" i="3"/>
  <c r="AZ277" i="3"/>
  <c r="AZ298" i="3"/>
  <c r="AZ301" i="3"/>
  <c r="AZ122" i="3"/>
  <c r="AZ125" i="3"/>
  <c r="AZ22" i="3"/>
  <c r="AZ38" i="3"/>
  <c r="AZ48" i="3"/>
  <c r="AZ52" i="3"/>
  <c r="AZ62" i="3"/>
  <c r="AZ65" i="3"/>
  <c r="AZ76" i="3"/>
  <c r="AZ78" i="3"/>
  <c r="AZ91" i="3"/>
  <c r="AZ98" i="3"/>
  <c r="AZ104" i="3"/>
  <c r="AZ108" i="3"/>
  <c r="U18" i="36"/>
  <c r="X25" i="71"/>
  <c r="X27" i="71"/>
  <c r="E30" i="71"/>
  <c r="E31" i="71" s="1"/>
  <c r="E32" i="71" s="1"/>
  <c r="U32" i="71" s="1"/>
  <c r="AA29" i="71"/>
  <c r="AA34" i="71"/>
  <c r="Y35" i="71"/>
  <c r="Z35" i="71" s="1"/>
  <c r="Y33" i="71"/>
  <c r="Z33" i="71" s="1"/>
  <c r="B38" i="71"/>
  <c r="B39" i="71" s="1"/>
  <c r="B40" i="71" s="1"/>
  <c r="S40" i="71" s="1"/>
  <c r="X37" i="71"/>
  <c r="AB38" i="71"/>
  <c r="AB37" i="71"/>
  <c r="X31" i="71"/>
  <c r="X32" i="71"/>
  <c r="AB34" i="71"/>
  <c r="AB33" i="71"/>
  <c r="AA35" i="71"/>
  <c r="AA36" i="71"/>
  <c r="X9" i="71"/>
  <c r="X10" i="71"/>
  <c r="X39" i="71"/>
  <c r="AB10" i="71"/>
  <c r="AB9" i="71"/>
  <c r="V68" i="71"/>
  <c r="F67" i="71"/>
  <c r="X22" i="71"/>
  <c r="AA24" i="71"/>
  <c r="AA22" i="71"/>
  <c r="X21" i="71"/>
  <c r="AA21" i="71"/>
  <c r="X18" i="71"/>
  <c r="AA18" i="71"/>
  <c r="AB18" i="71"/>
  <c r="X14" i="71"/>
  <c r="AA13" i="71"/>
  <c r="X17" i="71"/>
  <c r="AA17" i="71"/>
  <c r="Y9" i="71"/>
  <c r="Z9" i="71" s="1"/>
  <c r="AA9" i="71"/>
  <c r="AA10" i="71"/>
  <c r="AB39" i="71"/>
  <c r="AB24" i="71"/>
  <c r="Y21" i="71"/>
  <c r="Z21" i="71" s="1"/>
  <c r="AB21" i="71"/>
  <c r="Y18" i="71"/>
  <c r="Z18" i="71" s="1"/>
  <c r="Y14" i="71"/>
  <c r="Z14" i="71" s="1"/>
  <c r="Y17" i="71"/>
  <c r="Z17" i="71" s="1"/>
  <c r="AB17" i="71"/>
  <c r="X24" i="71"/>
  <c r="Y24" i="71"/>
  <c r="Z24" i="71" s="1"/>
  <c r="AB15" i="71"/>
  <c r="AA11" i="71"/>
  <c r="X11" i="71"/>
  <c r="X13" i="71"/>
  <c r="AB12" i="71"/>
  <c r="AB14" i="71"/>
  <c r="Y12" i="71"/>
  <c r="Z12" i="71" s="1"/>
  <c r="Y13" i="71"/>
  <c r="Z13" i="71" s="1"/>
  <c r="Y23" i="71"/>
  <c r="Z23" i="71" s="1"/>
  <c r="Y22" i="71"/>
  <c r="Z22" i="71" s="1"/>
  <c r="AA23" i="71"/>
  <c r="AB23" i="71"/>
  <c r="X15" i="71"/>
  <c r="AA15" i="71"/>
  <c r="AA12" i="71"/>
  <c r="AA14" i="71"/>
  <c r="X12" i="71"/>
  <c r="AB11" i="71"/>
  <c r="AB13" i="71"/>
  <c r="Y10" i="71"/>
  <c r="Z10"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C27" i="67"/>
  <c r="C27" i="15"/>
  <c r="B13" i="70"/>
  <c r="F64" i="67"/>
  <c r="F68" i="15"/>
  <c r="C36" i="68"/>
  <c r="D9" i="68"/>
  <c r="F9" i="15"/>
  <c r="F7" i="67"/>
  <c r="F42" i="67"/>
  <c r="M24" i="67"/>
  <c r="F36" i="15"/>
  <c r="L48" i="67"/>
  <c r="M22" i="15"/>
  <c r="G1" i="73"/>
  <c r="M8" i="15"/>
  <c r="F27" i="69"/>
  <c r="F13" i="15"/>
  <c r="F13" i="67"/>
  <c r="F16" i="15"/>
  <c r="F7" i="15"/>
  <c r="M28" i="67"/>
  <c r="F37" i="15"/>
  <c r="F43" i="67"/>
  <c r="M9" i="67"/>
  <c r="F43" i="15"/>
  <c r="F16" i="67"/>
  <c r="F42" i="15"/>
  <c r="F9" i="67"/>
  <c r="F40" i="67"/>
  <c r="M6" i="67"/>
  <c r="M29" i="67"/>
  <c r="C36" i="69"/>
  <c r="L47" i="67"/>
  <c r="D9" i="69"/>
  <c r="M23" i="67"/>
  <c r="K53" i="43" l="1"/>
  <c r="M53" i="43"/>
  <c r="N53" i="43" s="1"/>
  <c r="M52" i="43"/>
  <c r="N52" i="43" s="1"/>
  <c r="K52" i="43"/>
  <c r="K55" i="43"/>
  <c r="M55" i="43"/>
  <c r="N55" i="43" s="1"/>
  <c r="M51" i="43"/>
  <c r="N51" i="43" s="1"/>
  <c r="K51" i="43"/>
  <c r="E66" i="71"/>
  <c r="P67" i="71"/>
  <c r="C27" i="71"/>
  <c r="D28" i="71"/>
  <c r="U28" i="71" s="1"/>
  <c r="T28" i="71"/>
  <c r="AZ368" i="3"/>
  <c r="AZ462" i="3"/>
  <c r="N54" i="43"/>
  <c r="D54" i="43"/>
  <c r="AA44" i="39"/>
  <c r="S44" i="39"/>
  <c r="AC23" i="35"/>
  <c r="W23" i="35"/>
  <c r="M57" i="43"/>
  <c r="N57" i="43" s="1"/>
  <c r="K57" i="43"/>
  <c r="J57" i="43" s="1"/>
  <c r="D57" i="43" s="1"/>
  <c r="M56" i="43"/>
  <c r="N56" i="43" s="1"/>
  <c r="K56" i="43"/>
  <c r="J56" i="43" s="1"/>
  <c r="K58" i="43"/>
  <c r="J58" i="43" s="1"/>
  <c r="M58" i="43"/>
  <c r="N58" i="43" s="1"/>
  <c r="N67" i="71"/>
  <c r="B66" i="71"/>
  <c r="D35" i="71"/>
  <c r="C36" i="71"/>
  <c r="D55" i="71"/>
  <c r="C56" i="71"/>
  <c r="AA9" i="36"/>
  <c r="S9" i="36"/>
  <c r="F7" i="36"/>
  <c r="J7" i="37"/>
  <c r="H7" i="36"/>
  <c r="J26" i="43"/>
  <c r="E26" i="43"/>
  <c r="H26" i="43"/>
  <c r="C30" i="11"/>
  <c r="N370" i="46"/>
  <c r="G26" i="43"/>
  <c r="F68" i="67"/>
  <c r="F65" i="15"/>
  <c r="F64" i="15"/>
  <c r="C6" i="67"/>
  <c r="C32" i="67" s="1"/>
  <c r="F31" i="67"/>
  <c r="M7" i="67"/>
  <c r="J6" i="67" s="1"/>
  <c r="J18" i="67" s="1"/>
  <c r="F50" i="67"/>
  <c r="C49" i="67" s="1"/>
  <c r="N59" i="67"/>
  <c r="L59" i="67"/>
  <c r="Q74" i="67" s="1"/>
  <c r="M59" i="67"/>
  <c r="L58" i="67"/>
  <c r="Q73" i="67" s="1"/>
  <c r="F71" i="15"/>
  <c r="F31" i="15"/>
  <c r="F50" i="15"/>
  <c r="M7" i="15"/>
  <c r="J6" i="15" s="1"/>
  <c r="J18" i="15" s="1"/>
  <c r="C6" i="15"/>
  <c r="J53" i="67"/>
  <c r="Q52" i="67" s="1"/>
  <c r="J57" i="67"/>
  <c r="J55" i="67" s="1"/>
  <c r="J58" i="67" s="1"/>
  <c r="Q50" i="67" s="1"/>
  <c r="I54" i="67"/>
  <c r="L56" i="67"/>
  <c r="F71" i="6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86" i="3"/>
  <c r="E36" i="3"/>
  <c r="E34" i="3"/>
  <c r="E112" i="3"/>
  <c r="E49" i="3"/>
  <c r="E123" i="3"/>
  <c r="E206" i="3"/>
  <c r="E147" i="3"/>
  <c r="E232" i="3"/>
  <c r="E289" i="3"/>
  <c r="E251" i="3"/>
  <c r="E340" i="3"/>
  <c r="E370" i="3"/>
  <c r="E364" i="3"/>
  <c r="AF6" i="3"/>
  <c r="E50" i="3"/>
  <c r="E102" i="3"/>
  <c r="E20" i="3"/>
  <c r="E80" i="3"/>
  <c r="E62" i="3"/>
  <c r="E176" i="3"/>
  <c r="E158" i="3"/>
  <c r="E218" i="3"/>
  <c r="E287" i="3"/>
  <c r="E265" i="3"/>
  <c r="E365" i="3"/>
  <c r="E524" i="3"/>
  <c r="E101" i="3"/>
  <c r="E83" i="3"/>
  <c r="E52" i="3"/>
  <c r="E113" i="3"/>
  <c r="E308" i="3"/>
  <c r="E326" i="3"/>
  <c r="E2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H6" i="3" s="1"/>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3" i="36"/>
  <c r="U33" i="36"/>
  <c r="AB23" i="36"/>
  <c r="U23" i="36"/>
  <c r="W36" i="35"/>
  <c r="AC36" i="35"/>
  <c r="AC12" i="21"/>
  <c r="W12" i="21"/>
  <c r="S45" i="39"/>
  <c r="AA45" i="39"/>
  <c r="S34" i="35"/>
  <c r="AA34" i="35"/>
  <c r="AC34" i="35"/>
  <c r="W34" i="35"/>
  <c r="U12" i="35"/>
  <c r="AB12" i="35"/>
  <c r="S12" i="34"/>
  <c r="AA12" i="34"/>
  <c r="C15" i="71"/>
  <c r="T16" i="71"/>
  <c r="AA23" i="36"/>
  <c r="S23" i="36"/>
  <c r="AC23" i="36"/>
  <c r="W23" i="36"/>
  <c r="AB36" i="35"/>
  <c r="U36" i="35"/>
  <c r="S12" i="21"/>
  <c r="AA12" i="21"/>
  <c r="AB45" i="39"/>
  <c r="U45" i="39"/>
  <c r="U34" i="35"/>
  <c r="AB34" i="35"/>
  <c r="AB9" i="34"/>
  <c r="U9" i="34"/>
  <c r="AC9" i="34"/>
  <c r="W9" i="34"/>
  <c r="S11" i="35"/>
  <c r="AA11" i="35"/>
  <c r="W12" i="35"/>
  <c r="AC12" i="35"/>
  <c r="U12" i="34"/>
  <c r="AB12" i="34"/>
  <c r="W12" i="34"/>
  <c r="AC12" i="34"/>
  <c r="AZ548" i="3"/>
  <c r="AZ5" i="3" s="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Q60" i="67"/>
  <c r="M11" i="67"/>
  <c r="J10" i="67" s="1"/>
  <c r="F11" i="15"/>
  <c r="M11" i="15"/>
  <c r="J10" i="15" s="1"/>
  <c r="F11" i="67"/>
  <c r="F1" i="15"/>
  <c r="Q52" i="15"/>
  <c r="C32" i="15"/>
  <c r="Q60" i="15"/>
  <c r="Q73" i="15"/>
  <c r="Q74" i="15"/>
  <c r="Q61" i="15"/>
  <c r="AE11" i="1"/>
  <c r="AE9" i="1"/>
  <c r="F27" i="68"/>
  <c r="AE7" i="1"/>
  <c r="AE8" i="1"/>
  <c r="AE12" i="1"/>
  <c r="AE10" i="1"/>
  <c r="C16" i="67"/>
  <c r="C16" i="15"/>
  <c r="J51" i="43" l="1"/>
  <c r="D51" i="43"/>
  <c r="J52" i="43"/>
  <c r="D52" i="43"/>
  <c r="D56" i="71"/>
  <c r="T56" i="71"/>
  <c r="T36" i="71"/>
  <c r="D36" i="71"/>
  <c r="N65" i="71"/>
  <c r="N66" i="71"/>
  <c r="D27" i="71"/>
  <c r="C26" i="71"/>
  <c r="D26" i="71" s="1"/>
  <c r="P65" i="71"/>
  <c r="P66" i="71"/>
  <c r="J55" i="43"/>
  <c r="D55" i="43"/>
  <c r="J53" i="43"/>
  <c r="D53" i="43"/>
  <c r="J5" i="67"/>
  <c r="Q61" i="67"/>
  <c r="F1" i="67"/>
  <c r="J5" i="15"/>
  <c r="J24" i="15" s="1"/>
  <c r="E3" i="6"/>
  <c r="AY6" i="3"/>
  <c r="E11" i="71"/>
  <c r="E10" i="71" s="1"/>
  <c r="E9" i="71" s="1"/>
  <c r="E8" i="71" s="1"/>
  <c r="E7" i="71" s="1"/>
  <c r="E6" i="71" s="1"/>
  <c r="E5" i="71" s="1"/>
  <c r="V12" i="71"/>
  <c r="D15" i="71"/>
  <c r="C14" i="71"/>
  <c r="Q66" i="71"/>
  <c r="Q65" i="71"/>
  <c r="B11" i="71"/>
  <c r="B10" i="71" s="1"/>
  <c r="B9" i="71" s="1"/>
  <c r="B8" i="71" s="1"/>
  <c r="B7" i="71" s="1"/>
  <c r="B6" i="71" s="1"/>
  <c r="B5" i="71" s="1"/>
  <c r="S12" i="7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AE6" i="1"/>
  <c r="M27" i="15"/>
  <c r="F41" i="15"/>
  <c r="E50" i="43" l="1"/>
  <c r="B48"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14" i="67"/>
  <c r="C17" i="15"/>
  <c r="C17" i="67"/>
  <c r="F41" i="67"/>
  <c r="C34" i="69"/>
  <c r="T15" i="43" l="1"/>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T6" i="43"/>
  <c r="V6" i="43" s="1"/>
  <c r="C33" i="43"/>
  <c r="E33" i="43" s="1"/>
  <c r="C37" i="43"/>
  <c r="C39" i="43"/>
  <c r="C38" i="43"/>
  <c r="F69" i="67"/>
  <c r="C25" i="1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8" i="43" l="1"/>
  <c r="G38" i="43"/>
  <c r="I38" i="43" s="1"/>
  <c r="G37" i="43"/>
  <c r="I37" i="43" s="1"/>
  <c r="E37" i="43"/>
  <c r="G41" i="43"/>
  <c r="I41" i="43" s="1"/>
  <c r="E41" i="43"/>
  <c r="G39" i="43"/>
  <c r="I39" i="43" s="1"/>
  <c r="E39" i="43"/>
  <c r="C6" i="69"/>
  <c r="C7" i="69" s="1"/>
  <c r="V3" i="43"/>
  <c r="E42" i="43"/>
  <c r="G42" i="43"/>
  <c r="I42" i="43" s="1"/>
  <c r="G40" i="43"/>
  <c r="I40" i="43" s="1"/>
  <c r="E40" i="43"/>
  <c r="C34" i="43"/>
  <c r="E34" i="43" s="1"/>
  <c r="C31"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7" i="21"/>
  <c r="F7" i="21"/>
  <c r="J48" i="35"/>
  <c r="C30" i="43" l="1"/>
  <c r="C5" i="69"/>
  <c r="C23" i="69"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E2" i="76" l="1"/>
  <c r="B2" i="43"/>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B6" i="76"/>
  <c r="F35" i="67"/>
  <c r="M21" i="67"/>
  <c r="M21" i="15"/>
  <c r="F35" i="15"/>
  <c r="B2" i="76" l="1"/>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C20" i="9"/>
  <c r="D35" i="9"/>
  <c r="D2" i="21"/>
  <c r="C103" i="9" l="1"/>
  <c r="C56" i="6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 i="35"/>
  <c r="D19" i="9"/>
  <c r="D102" i="9" l="1"/>
  <c r="D21" i="9"/>
  <c r="G19" i="9"/>
  <c r="G21" i="9" s="1"/>
  <c r="D22" i="9"/>
  <c r="M24" i="4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11" i="1"/>
  <c r="AO6" i="1"/>
  <c r="AO7" i="1"/>
  <c r="AO8" i="1"/>
  <c r="AO12" i="1"/>
  <c r="AO10"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F119" i="9" s="1"/>
  <c r="F5" i="52" s="1"/>
  <c r="B53" i="72" s="1"/>
  <c r="I118" i="9"/>
  <c r="I4" i="52" s="1"/>
  <c r="G4" i="52" l="1"/>
  <c r="B52" i="72" s="1"/>
  <c r="H118" i="9"/>
  <c r="E118" i="9"/>
  <c r="F4" i="52"/>
  <c r="B51" i="72" s="1"/>
  <c r="C105" i="9"/>
  <c r="H102" i="9"/>
  <c r="C5" i="74" l="1"/>
  <c r="D7" i="53"/>
  <c r="B21" i="72" s="1"/>
  <c r="C104" i="9"/>
  <c r="H101" i="9"/>
  <c r="H4" i="52"/>
  <c r="H119" i="9"/>
  <c r="H5" i="52" s="1"/>
  <c r="D118" i="9"/>
  <c r="E4" i="52"/>
  <c r="B48" i="72" s="1"/>
  <c r="M48" i="9" l="1"/>
  <c r="H107" i="9"/>
  <c r="D5" i="53"/>
  <c r="D45" i="9"/>
  <c r="D4" i="52"/>
  <c r="B47" i="72" s="1"/>
  <c r="D119" i="9"/>
  <c r="D5" i="52" s="1"/>
  <c r="B49" i="72" s="1"/>
  <c r="D53" i="9" l="1"/>
  <c r="C72" i="9"/>
  <c r="C85" i="9"/>
  <c r="D52" i="9"/>
  <c r="C93" i="9"/>
  <c r="C86" i="9" s="1"/>
  <c r="C78" i="9"/>
  <c r="C73" i="9" s="1"/>
  <c r="D55" i="9"/>
  <c r="M53" i="9" s="1"/>
  <c r="C64" i="9"/>
  <c r="C63" i="9" s="1"/>
  <c r="C67" i="9" s="1"/>
  <c r="D13" i="53"/>
  <c r="H108" i="9"/>
  <c r="D122" i="9"/>
  <c r="M49" i="9"/>
  <c r="B20" i="72"/>
  <c r="D6" i="53"/>
  <c r="B22" i="72" s="1"/>
  <c r="D123" i="9" l="1"/>
  <c r="D9" i="52" s="1"/>
  <c r="D8" i="52"/>
  <c r="B30" i="72"/>
  <c r="D14" i="53"/>
  <c r="B32" i="72" s="1"/>
  <c r="L63" i="9"/>
  <c r="M63" i="9" s="1"/>
  <c r="L67" i="9"/>
  <c r="M67" i="9" s="1"/>
  <c r="L64" i="9"/>
  <c r="M64" i="9" s="1"/>
  <c r="L65" i="9"/>
  <c r="M65" i="9" s="1"/>
  <c r="L68" i="9"/>
  <c r="M68" i="9" s="1"/>
  <c r="L66" i="9"/>
  <c r="M66" i="9" s="1"/>
  <c r="D15" i="53"/>
  <c r="B31" i="72" s="1"/>
  <c r="C6" i="74"/>
  <c r="D59" i="9"/>
  <c r="M55" i="9" s="1"/>
  <c r="C68" i="9"/>
  <c r="D54" i="9" s="1"/>
  <c r="C79" i="9"/>
  <c r="C95" i="9"/>
  <c r="M69" i="9" l="1"/>
  <c r="N69" i="9" s="1"/>
  <c r="C96" i="9"/>
  <c r="E96" i="9" s="1"/>
  <c r="E97" i="9" s="1"/>
  <c r="C80" i="9"/>
  <c r="E80" i="9" s="1"/>
  <c r="E81" i="9" s="1"/>
  <c r="C81" i="9" l="1"/>
  <c r="C97" i="9"/>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<sst xmlns="http://schemas.openxmlformats.org/spreadsheetml/2006/main" count="7808" uniqueCount="3411">
  <si>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</si>
  <si>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</si>
  <si>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</si>
  <si>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</si>
  <si>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</si>
  <si>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</si>
  <si>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</si>
  <si>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</si>
  <si>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</si>
  <si>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</si>
  <si>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</si>
  <si>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</si>
  <si>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</si>
  <si>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</si>
  <si>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</si>
  <si>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</si>
  <si>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</si>
  <si>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</si>
  <si>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</si>
  <si>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</si>
  <si>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</si>
  <si>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</si>
  <si>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</si>
  <si>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</si>
  <si>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</si>
  <si>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</si>
  <si>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</si>
  <si>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</si>
  <si>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</si>
  <si>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</si>
  <si>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</si>
  <si>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</si>
  <si>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</si>
  <si>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</si>
  <si>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</si>
  <si>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</si>
  <si>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</si>
  <si>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</si>
  <si>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</si>
  <si>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</si>
  <si>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</si>
  <si>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</si>
  <si>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</si>
  <si>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</si>
  <si>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</si>
  <si>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</si>
  <si>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</si>
  <si>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</si>
  <si>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</si>
  <si>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</si>
  <si>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</si>
  <si>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</si>
  <si>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</si>
  <si>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</si>
  <si>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</si>
  <si>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</si>
  <si>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</si>
  <si>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</si>
  <si>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</si>
  <si>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</si>
  <si>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</si>
  <si>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</si>
  <si>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</si>
  <si>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</si>
  <si>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</si>
  <si>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</si>
  <si>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</si>
  <si>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</si>
  <si>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</si>
  <si>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</si>
  <si>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</si>
  <si>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</si>
  <si>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</si>
  <si>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</si>
  <si>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</si>
  <si>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</si>
  <si>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</si>
  <si>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</si>
  <si>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</si>
  <si>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</si>
  <si>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</si>
  <si>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</si>
  <si>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</si>
  <si>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</si>
  <si>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</si>
  <si>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</si>
  <si>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</si>
  <si>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</si>
  <si>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</si>
  <si>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</si>
  <si>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</si>
  <si>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</si>
  <si>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</si>
  <si>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</si>
  <si>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</si>
  <si>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</si>
  <si>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</si>
  <si>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</si>
  <si>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</si>
  <si>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</si>
  <si>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</si>
  <si>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</si>
  <si>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</si>
  <si>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</si>
  <si>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</si>
  <si>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</si>
  <si>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</si>
  <si>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</si>
  <si>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</si>
  <si>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</si>
  <si>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</si>
  <si>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</si>
  <si>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</si>
  <si>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</si>
  <si>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</si>
  <si>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</si>
  <si>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</si>
  <si>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</si>
  <si>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</si>
  <si>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</si>
  <si>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</si>
  <si>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</si>
  <si>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</si>
  <si>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</si>
  <si>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</si>
  <si>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</si>
  <si>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</si>
  <si>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</si>
  <si>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</si>
  <si>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</si>
  <si>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</si>
  <si>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</si>
  <si>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</si>
  <si>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</si>
  <si>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</si>
  <si>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</si>
  <si>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</si>
  <si>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</si>
  <si>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</si>
  <si>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</si>
  <si>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</si>
  <si>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</si>
  <si>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</si>
  <si>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</si>
  <si>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</si>
  <si>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</si>
  <si>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</si>
  <si>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</si>
  <si>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</si>
  <si>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</si>
  <si>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</si>
  <si>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</si>
  <si>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</si>
  <si>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</si>
  <si>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</si>
  <si>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</si>
  <si>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</si>
  <si>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</si>
  <si>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</si>
  <si>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</si>
  <si>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</si>
  <si>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</si>
  <si>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</si>
  <si>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</si>
  <si>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</si>
  <si>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</si>
  <si>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</si>
  <si>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</si>
  <si>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</si>
  <si>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</si>
  <si>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</si>
  <si>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</si>
  <si>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</si>
  <si>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</si>
  <si>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</si>
  <si>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</si>
  <si>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</si>
  <si>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</si>
  <si>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</si>
  <si>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</si>
  <si>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</si>
  <si>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</si>
  <si>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</si>
  <si>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</si>
  <si>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</si>
  <si>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</si>
  <si>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</si>
  <si>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</si>
  <si>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</si>
  <si>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</si>
  <si>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</si>
  <si>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</si>
  <si>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</si>
  <si>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</si>
  <si>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</si>
  <si>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</si>
  <si>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</si>
  <si>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</si>
  <si>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</si>
  <si>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</si>
  <si>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</si>
  <si>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</si>
  <si>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</si>
  <si>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</si>
  <si>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</si>
  <si>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</si>
  <si>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</si>
  <si>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</si>
  <si>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</si>
  <si>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</si>
  <si>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</si>
  <si>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</si>
  <si>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</si>
  <si>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</si>
  <si>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</si>
  <si>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</si>
  <si>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</si>
  <si>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</si>
  <si>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</si>
  <si>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</si>
  <si>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</si>
  <si>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</si>
  <si>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</si>
  <si>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</si>
  <si>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</si>
  <si>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</si>
  <si>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</si>
  <si>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</si>
  <si>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</si>
  <si>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</si>
  <si>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</si>
  <si>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</si>
  <si>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</si>
  <si>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</si>
  <si>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</si>
  <si>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</si>
  <si>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</si>
  <si>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</si>
  <si>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</si>
  <si>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</si>
  <si>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</si>
  <si>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</si>
  <si>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</si>
  <si>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</si>
  <si>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</si>
  <si>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</si>
  <si>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</si>
  <si>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</si>
  <si>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</si>
  <si>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</si>
  <si>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</si>
  <si>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</si>
  <si>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</si>
  <si>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</si>
  <si>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</si>
  <si>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</si>
  <si>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</si>
  <si>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</si>
  <si>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</si>
  <si>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</si>
  <si>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</si>
  <si>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</si>
  <si>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</si>
  <si>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</si>
  <si>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</si>
  <si>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</si>
  <si>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</si>
  <si>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</si>
  <si>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</si>
  <si>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</si>
  <si>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</si>
  <si>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</si>
  <si>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</si>
  <si>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</si>
  <si>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</si>
  <si>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</si>
  <si>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</si>
  <si>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</si>
  <si>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</si>
  <si>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</si>
  <si>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</si>
  <si>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</si>
  <si>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</si>
  <si>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</si>
  <si>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</si>
  <si>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</si>
  <si>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</si>
  <si>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</si>
  <si>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</si>
  <si>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</si>
  <si>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</si>
  <si>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</si>
  <si>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</si>
  <si>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</si>
  <si>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</si>
  <si>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</si>
  <si>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</si>
  <si>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</si>
  <si>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</si>
  <si>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</si>
  <si>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</si>
  <si>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</si>
  <si>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</si>
  <si>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</si>
  <si>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</si>
  <si>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</si>
  <si>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</si>
  <si>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</si>
  <si>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</si>
  <si>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</si>
  <si>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</si>
  <si>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</si>
  <si>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</si>
  <si>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</si>
  <si>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</si>
  <si>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</si>
  <si>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</si>
  <si>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</si>
  <si>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</si>
  <si>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</si>
  <si>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</si>
  <si>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</si>
  <si>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</si>
  <si>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</si>
  <si>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</si>
  <si>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</si>
  <si>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</si>
  <si>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</si>
  <si>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</si>
  <si>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</si>
  <si>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</si>
  <si>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</si>
  <si>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</si>
  <si>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</si>
  <si>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</si>
  <si>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</si>
  <si>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</si>
  <si>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</si>
  <si>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</si>
  <si>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</si>
  <si>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</si>
  <si>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</si>
  <si>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</si>
  <si>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</si>
  <si>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</si>
  <si>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</si>
  <si>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</si>
  <si>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</si>
  <si>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</si>
  <si>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</si>
  <si>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</si>
  <si>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</si>
  <si>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</si>
  <si>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</si>
  <si>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</si>
  <si>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</si>
  <si>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</si>
  <si>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</si>
  <si>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</si>
  <si>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</si>
  <si>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</si>
  <si>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</si>
  <si>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</si>
  <si>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</si>
  <si>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</si>
  <si>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</si>
  <si>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</si>
  <si>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</si>
  <si>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</si>
  <si>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</si>
  <si>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</si>
  <si>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</si>
  <si>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</si>
  <si>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</si>
  <si>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</si>
  <si>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</si>
  <si>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</si>
  <si>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</si>
  <si>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</si>
  <si>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</si>
  <si>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</si>
  <si>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</si>
  <si>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</si>
  <si>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</si>
  <si>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</si>
  <si>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</si>
  <si>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</si>
  <si>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</si>
  <si>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</si>
  <si>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</si>
  <si>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</si>
  <si>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</si>
  <si>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</si>
  <si>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</si>
  <si>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</si>
  <si>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</si>
  <si>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</si>
  <si>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</si>
  <si>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</si>
  <si>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</si>
  <si>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</si>
  <si>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</si>
  <si>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</si>
  <si>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</si>
  <si>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</si>
  <si>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</si>
  <si>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</si>
  <si>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</si>
  <si>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</si>
  <si>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</si>
  <si>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</si>
  <si>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</si>
  <si>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</si>
  <si>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</si>
  <si>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</si>
  <si>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</si>
  <si>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</si>
  <si>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</si>
  <si>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</si>
  <si>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</si>
  <si>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</si>
  <si>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</si>
  <si>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</si>
  <si>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</si>
  <si>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</si>
  <si>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</si>
  <si>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</si>
  <si>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</si>
  <si>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</si>
  <si>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</si>
  <si>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</si>
  <si>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</si>
  <si>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</si>
  <si>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</si>
  <si>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</si>
  <si>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</si>
  <si>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</si>
  <si>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</si>
  <si>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</si>
  <si>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</si>
  <si>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</si>
  <si>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</si>
  <si>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</si>
  <si>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</si>
  <si>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</si>
  <si>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</si>
  <si>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</si>
  <si>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</si>
  <si>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</si>
  <si>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</si>
  <si>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</si>
  <si>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</si>
  <si>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</si>
  <si>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</si>
  <si>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</si>
  <si>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</si>
  <si>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</si>
  <si>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</si>
  <si>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</si>
  <si>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</si>
  <si>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</si>
  <si>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</si>
  <si>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</si>
  <si>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</si>
  <si>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</si>
  <si>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</si>
  <si>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</si>
  <si>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</si>
  <si>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</si>
  <si>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</si>
  <si>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</si>
  <si>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</si>
  <si>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</si>
  <si>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</si>
  <si>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</si>
  <si>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</si>
  <si>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</si>
  <si>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</si>
  <si>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</si>
  <si>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</si>
  <si>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</si>
  <si>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</si>
  <si>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</si>
  <si>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</si>
  <si>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</si>
  <si>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</si>
  <si>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</si>
  <si>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</si>
  <si>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</si>
  <si>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</si>
  <si>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</si>
  <si>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</si>
  <si>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</si>
  <si>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</si>
  <si>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</si>
  <si>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</si>
  <si>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</si>
  <si>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</si>
  <si>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</si>
  <si>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</si>
  <si>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</si>
  <si>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</si>
  <si>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</si>
  <si>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</si>
  <si>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</si>
  <si>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</si>
  <si>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</si>
  <si>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</si>
  <si>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</si>
  <si>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</si>
  <si>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</si>
  <si>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</si>
  <si>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</si>
  <si>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</si>
  <si>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</si>
  <si>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</si>
  <si>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</si>
  <si>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</si>
  <si>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</si>
  <si>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</si>
  <si>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</si>
  <si>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</si>
  <si>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</si>
  <si>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</si>
  <si>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</si>
  <si>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</si>
  <si>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</si>
  <si>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</si>
  <si>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</si>
  <si>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</si>
  <si>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</si>
  <si>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</si>
  <si>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</si>
  <si>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</si>
  <si>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</si>
  <si>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</si>
  <si>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</si>
  <si>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</si>
  <si>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</si>
  <si>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</si>
  <si>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</si>
  <si>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</si>
  <si>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</si>
  <si>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</si>
  <si>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</si>
  <si>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</si>
  <si>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</si>
  <si>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</si>
  <si>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</si>
  <si>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</si>
  <si>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</si>
  <si>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</si>
  <si>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</si>
  <si>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</si>
  <si>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</si>
  <si>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</si>
  <si>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</si>
  <si>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</si>
  <si>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</si>
  <si>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</si>
  <si>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</si>
  <si>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</si>
  <si>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</si>
  <si>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</si>
  <si>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</si>
  <si>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</si>
  <si>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</si>
  <si>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</si>
  <si>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</si>
  <si>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</si>
  <si>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</si>
  <si>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</si>
  <si>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</si>
  <si>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</si>
  <si>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</si>
  <si>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</si>
  <si>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</si>
  <si>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</si>
  <si>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</si>
  <si>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</si>
  <si>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</si>
  <si>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</si>
  <si>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</si>
  <si>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</si>
  <si>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</si>
  <si>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</si>
  <si>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</si>
  <si>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</si>
  <si>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</si>
  <si>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</si>
  <si>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</si>
  <si>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</si>
  <si>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</si>
  <si>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</si>
  <si>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</si>
  <si>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</si>
  <si>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</si>
  <si>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</si>
  <si>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</si>
  <si>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</si>
  <si>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</si>
  <si>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</si>
  <si>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</si>
  <si>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</si>
  <si>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</si>
  <si>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</si>
  <si>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</si>
  <si>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</si>
  <si>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</si>
  <si>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</si>
  <si>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</si>
  <si>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</si>
  <si>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</si>
  <si>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</si>
  <si>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</si>
  <si>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</si>
  <si>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</si>
  <si>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</si>
  <si>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</si>
  <si>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</si>
  <si>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</si>
  <si>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</si>
  <si>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</si>
  <si>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</si>
  <si>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</si>
  <si>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</si>
  <si>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</si>
  <si>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</si>
  <si>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</si>
  <si>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</si>
  <si>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</si>
  <si>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</si>
  <si>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</si>
  <si>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</si>
  <si>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</si>
  <si>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</si>
  <si>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</si>
  <si>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</si>
  <si>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</si>
  <si>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</si>
  <si>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</si>
  <si>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</si>
  <si>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</si>
  <si>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</si>
  <si>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</si>
  <si>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</si>
  <si>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</si>
  <si>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</si>
  <si>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</si>
  <si>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</si>
  <si>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</si>
  <si>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</si>
  <si>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</si>
  <si>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</si>
  <si>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</si>
  <si>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</si>
  <si>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</si>
  <si>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</si>
  <si>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</si>
  <si>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</si>
  <si>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</si>
  <si>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</si>
  <si>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</si>
  <si>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</si>
  <si>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</si>
  <si>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</si>
  <si>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</si>
  <si>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</si>
  <si>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</si>
  <si>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</si>
  <si>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</si>
  <si>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</si>
  <si>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</si>
  <si>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</si>
  <si>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</si>
  <si>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</si>
  <si>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</si>
  <si>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</si>
  <si>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</si>
  <si>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</si>
  <si>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</si>
  <si>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</si>
  <si>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</si>
  <si>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</si>
  <si>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</si>
  <si>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</si>
  <si>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</si>
  <si>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</si>
  <si>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</si>
  <si>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</si>
  <si>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</si>
  <si>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</si>
  <si>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</si>
  <si>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</si>
  <si>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</si>
  <si>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</si>
  <si>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</si>
  <si>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</si>
  <si>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</si>
  <si>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</si>
  <si>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</si>
  <si>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</si>
  <si>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</si>
  <si>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</si>
  <si>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</si>
  <si>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</si>
  <si>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</si>
  <si>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</si>
  <si>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</si>
  <si>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</si>
  <si>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</si>
  <si>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</si>
  <si>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</si>
  <si>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</si>
  <si>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</si>
  <si>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</si>
  <si>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</si>
  <si>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</si>
  <si>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</si>
  <si>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</si>
  <si>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</si>
  <si>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</si>
  <si>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</si>
  <si>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</si>
  <si>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</si>
  <si>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</si>
  <si>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</si>
  <si>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</si>
  <si>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</si>
  <si>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</si>
  <si>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</si>
  <si>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</si>
  <si>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</si>
  <si>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</si>
  <si>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</si>
  <si>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</si>
  <si>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</si>
  <si>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</si>
  <si>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</si>
  <si>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</si>
  <si>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</si>
  <si>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</si>
  <si>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</si>
  <si>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</si>
  <si>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</si>
  <si>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</si>
  <si>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</si>
  <si>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</si>
  <si>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</si>
  <si>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</si>
  <si>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</si>
  <si>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</si>
  <si>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</si>
  <si>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</si>
  <si>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</si>
  <si>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</si>
  <si>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</si>
  <si>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</si>
  <si>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</si>
  <si>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</si>
  <si>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</si>
  <si>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</si>
  <si>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</si>
  <si>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</si>
  <si>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</si>
  <si>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</si>
  <si>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</si>
  <si>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</si>
  <si>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</si>
  <si>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</si>
  <si>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</si>
  <si>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</si>
  <si>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</si>
  <si>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</si>
  <si>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</si>
  <si>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</si>
  <si>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</si>
  <si>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</si>
  <si>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</si>
  <si>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</si>
  <si>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</si>
  <si>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</si>
  <si>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</si>
  <si>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</si>
  <si>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</si>
  <si>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</si>
  <si>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</si>
  <si>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</si>
  <si>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</si>
  <si>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</si>
  <si>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</si>
  <si>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</si>
  <si>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</si>
  <si>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</si>
  <si>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</si>
  <si>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</si>
  <si>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</si>
  <si>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</si>
  <si>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</si>
  <si>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</si>
  <si>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</si>
  <si>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</si>
  <si>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</si>
  <si>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</si>
  <si>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</si>
  <si>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</si>
  <si>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</si>
  <si>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</si>
  <si>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</si>
  <si>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</si>
  <si>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</si>
  <si>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</si>
  <si>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</si>
  <si>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</si>
  <si>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</si>
  <si>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</si>
  <si>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</si>
  <si>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</si>
  <si>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</si>
  <si>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</si>
  <si>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</si>
  <si>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</si>
  <si>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</si>
  <si>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</si>
  <si>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</si>
  <si>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</si>
  <si>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</si>
  <si>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</si>
  <si>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</si>
  <si>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</si>
  <si>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</si>
  <si>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</si>
  <si>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</si>
  <si>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</si>
  <si>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</si>
  <si>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</si>
  <si>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</si>
  <si>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</si>
  <si>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</si>
  <si>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</si>
  <si>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</si>
  <si>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</si>
  <si>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</si>
  <si>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</si>
  <si>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</si>
  <si>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</si>
  <si>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</si>
  <si>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</si>
  <si>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</si>
  <si>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</si>
  <si>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</si>
  <si>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</si>
  <si>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</si>
  <si>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</si>
  <si>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</si>
  <si>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</si>
  <si>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</si>
  <si>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</si>
  <si>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</si>
  <si>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</si>
  <si>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</si>
  <si>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</si>
  <si>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</si>
  <si>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</si>
  <si>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</si>
  <si>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</si>
  <si>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</si>
  <si>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</si>
  <si>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</si>
  <si>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</si>
  <si>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</si>
  <si>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</si>
  <si>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</si>
  <si>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</si>
  <si>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</si>
  <si>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</si>
  <si>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</si>
  <si>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</si>
  <si>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</si>
  <si>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</si>
  <si>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</si>
  <si>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</si>
  <si>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</si>
  <si>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</si>
  <si>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</si>
  <si>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</si>
  <si>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</si>
  <si>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</si>
  <si>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</si>
  <si>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</si>
  <si>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</si>
  <si>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</si>
  <si>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</si>
  <si>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</si>
  <si>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</si>
  <si>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</si>
  <si>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</si>
  <si>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</si>
  <si>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</si>
  <si>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</si>
  <si>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</si>
  <si>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</si>
  <si>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</si>
  <si>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</si>
  <si>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</si>
  <si>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</si>
  <si>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</si>
  <si>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</si>
  <si>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</si>
  <si>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</si>
  <si>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</si>
  <si>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</si>
  <si>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</si>
  <si>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</si>
  <si>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</si>
  <si>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</si>
  <si>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</si>
  <si>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</si>
  <si>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</si>
  <si>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</si>
  <si>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</si>
  <si>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</si>
  <si>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</si>
  <si>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</si>
  <si>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</si>
  <si>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</si>
  <si>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</si>
  <si>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</si>
  <si>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</si>
  <si>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</si>
  <si>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</si>
  <si>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</si>
  <si>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</si>
  <si>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</si>
  <si>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</si>
  <si>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</si>
  <si>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</si>
  <si>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</si>
  <si>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</si>
  <si>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</si>
  <si>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</si>
  <si>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</si>
  <si>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</si>
  <si>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</si>
  <si>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</si>
  <si>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</si>
  <si>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</si>
  <si>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</si>
  <si>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</si>
  <si>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</si>
  <si>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</si>
  <si>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</si>
  <si>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</si>
  <si>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</si>
  <si>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</si>
  <si>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</si>
  <si>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</si>
  <si>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</si>
  <si>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</si>
  <si>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</si>
  <si>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</si>
  <si>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</si>
  <si>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</si>
  <si>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</si>
  <si>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</si>
  <si>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</si>
  <si>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</si>
  <si>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</si>
  <si>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</si>
  <si>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</si>
  <si>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</si>
  <si>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</si>
  <si>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</si>
  <si>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</si>
  <si>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</si>
  <si>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</si>
  <si>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</si>
  <si>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</si>
  <si>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</si>
  <si>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</si>
  <si>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</si>
  <si>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</si>
  <si>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</si>
  <si>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</si>
  <si>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</si>
  <si>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</si>
  <si>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</si>
  <si>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</si>
  <si>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</si>
  <si>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</si>
  <si>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</si>
  <si>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</si>
  <si>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</si>
  <si>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</si>
  <si>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</si>
  <si>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</si>
  <si>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</si>
  <si>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</si>
  <si>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</si>
  <si>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</si>
  <si>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</si>
  <si>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</si>
  <si>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</si>
  <si>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</si>
  <si>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</si>
  <si>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</si>
  <si>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</si>
  <si>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</si>
  <si>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</si>
  <si>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</si>
  <si>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</si>
  <si>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</si>
  <si>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</si>
  <si>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</si>
  <si>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</si>
  <si>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</si>
  <si>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</si>
  <si>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</si>
  <si>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</si>
  <si>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</si>
  <si>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</si>
  <si>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</si>
  <si>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</si>
  <si>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</si>
  <si>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</si>
  <si>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</si>
  <si>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</si>
  <si>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</si>
  <si>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</si>
  <si>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</si>
  <si>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</si>
  <si>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</si>
  <si>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</si>
  <si>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</si>
  <si>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</si>
  <si>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</si>
  <si>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</si>
  <si>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</si>
  <si>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</si>
  <si>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</si>
  <si>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</si>
  <si>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</si>
  <si>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</si>
  <si>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</si>
  <si>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</si>
  <si>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</si>
  <si>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</si>
  <si>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</si>
  <si>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</si>
  <si>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</si>
  <si>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</si>
  <si>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</si>
  <si>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</si>
  <si>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</si>
  <si>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</si>
  <si>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</si>
  <si>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</si>
  <si>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</si>
  <si>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</si>
  <si>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</si>
  <si>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</si>
  <si>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</si>
  <si>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</si>
  <si>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</si>
  <si>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</si>
  <si>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</si>
  <si>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</si>
  <si>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</si>
  <si>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</si>
  <si>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</si>
  <si>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</si>
  <si>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</si>
  <si>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</si>
  <si>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</si>
  <si>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</si>
  <si>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</si>
  <si>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</si>
  <si>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</si>
  <si>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</si>
  <si>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</si>
  <si>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</si>
  <si>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</si>
  <si>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</si>
  <si>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</si>
  <si>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</si>
  <si>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</si>
  <si>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</si>
  <si>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</si>
  <si>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</si>
  <si>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</si>
  <si>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</si>
  <si>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</si>
  <si>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</si>
  <si>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</si>
  <si>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</si>
  <si>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</si>
  <si>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</si>
  <si>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</si>
  <si>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</si>
  <si>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</si>
  <si>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</si>
  <si>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</si>
  <si>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</si>
  <si>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</si>
  <si>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</si>
  <si>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</si>
  <si>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</si>
  <si>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</si>
  <si>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</si>
  <si>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</si>
  <si>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</si>
  <si>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</si>
  <si>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</si>
  <si>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</si>
  <si>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</si>
  <si>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</si>
  <si>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</si>
  <si>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</si>
  <si>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</si>
  <si>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</si>
  <si>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</si>
  <si>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</si>
  <si>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</si>
  <si>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</si>
  <si>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</si>
  <si>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</si>
  <si>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</si>
  <si>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</si>
  <si>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</si>
  <si>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</si>
  <si>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</si>
  <si>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</si>
  <si>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</si>
  <si>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</si>
  <si>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</si>
  <si>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</si>
  <si>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</si>
  <si>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</si>
  <si>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</si>
  <si>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</si>
  <si>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</si>
  <si>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</si>
  <si>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</si>
  <si>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</si>
  <si>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</si>
  <si>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</si>
  <si>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</si>
  <si>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</si>
  <si>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</si>
  <si>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</si>
  <si>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</si>
  <si>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</si>
  <si>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</si>
  <si>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</si>
  <si>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</si>
  <si>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</si>
  <si>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</si>
  <si>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</si>
  <si>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</si>
  <si>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</si>
  <si>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</si>
  <si>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</si>
  <si>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</si>
  <si>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</si>
  <si>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</si>
  <si>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</si>
  <si>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</si>
  <si>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</si>
  <si>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</si>
  <si>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</si>
  <si>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</si>
  <si>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</si>
  <si>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</si>
  <si>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</si>
  <si>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</si>
  <si>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</si>
  <si>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</si>
  <si>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</si>
  <si>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</si>
  <si>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</si>
  <si>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</si>
  <si>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</si>
  <si>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</si>
  <si>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</si>
  <si>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</si>
  <si>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</si>
  <si>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</si>
  <si>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</si>
  <si>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</si>
  <si>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</si>
  <si>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</si>
  <si>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</si>
  <si>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</si>
  <si>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</si>
  <si>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</si>
  <si>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</si>
  <si>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</si>
  <si>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</si>
  <si>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</si>
  <si>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</si>
  <si>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</si>
  <si>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</si>
  <si>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</si>
  <si>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</si>
  <si>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</si>
  <si>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</si>
  <si>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</si>
  <si>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</si>
  <si>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</si>
  <si>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</si>
  <si>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</si>
  <si>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</si>
  <si>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</si>
  <si>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</si>
  <si>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</si>
  <si>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</si>
  <si>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</si>
  <si>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</si>
  <si>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</si>
  <si>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</si>
  <si>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</si>
  <si>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</si>
  <si>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</si>
  <si>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</si>
  <si>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</si>
  <si>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</si>
  <si>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</si>
  <si>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</si>
  <si>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</si>
  <si>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</si>
  <si>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</si>
  <si>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</si>
  <si>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</si>
  <si>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</si>
  <si>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</si>
  <si>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</si>
  <si>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</si>
  <si>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</si>
  <si>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</si>
  <si>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</si>
  <si>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</si>
  <si>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</si>
  <si>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</si>
  <si>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</si>
  <si>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</si>
  <si>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</si>
  <si>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</si>
  <si>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</si>
  <si>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</si>
  <si>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</si>
  <si>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</si>
  <si>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</si>
  <si>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</si>
  <si>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</si>
  <si>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</si>
  <si>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</si>
  <si>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</si>
  <si>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</si>
  <si>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</si>
  <si>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</si>
  <si>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</si>
  <si>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</si>
  <si>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</si>
  <si>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</si>
  <si>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</si>
  <si>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</si>
  <si>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</si>
  <si>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</si>
  <si>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</si>
  <si>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</si>
  <si>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</si>
  <si>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</si>
  <si>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</si>
  <si>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</si>
  <si>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</si>
  <si>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</si>
  <si>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</si>
  <si>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</si>
  <si>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</si>
  <si>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</si>
  <si>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</si>
  <si>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</si>
  <si>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</si>
  <si>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</si>
  <si>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</si>
  <si>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</si>
  <si>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</si>
  <si>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</si>
  <si>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</si>
  <si>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</si>
  <si>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</si>
  <si>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</si>
  <si>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</si>
  <si>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</si>
  <si>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</si>
  <si>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</si>
  <si>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</si>
  <si>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</si>
  <si>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</si>
  <si>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</si>
  <si>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</si>
  <si>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</si>
  <si>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</si>
  <si>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</si>
  <si>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</si>
  <si>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</si>
  <si>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</si>
  <si>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</si>
  <si>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</si>
  <si>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</si>
  <si>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</si>
  <si>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</si>
  <si>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</si>
  <si>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</si>
  <si>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</si>
  <si>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</si>
  <si>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</si>
  <si>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</si>
  <si>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</si>
  <si>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</si>
  <si>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</si>
  <si>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</si>
  <si>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</si>
  <si>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</si>
  <si>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</si>
  <si>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</si>
  <si>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</si>
  <si>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</si>
  <si>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</si>
  <si>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</si>
  <si>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</si>
  <si>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</si>
  <si>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</si>
  <si>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</si>
  <si>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</si>
  <si>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</si>
  <si>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</si>
  <si>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</si>
  <si>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</si>
  <si>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</si>
  <si>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</si>
  <si>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</si>
  <si>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</si>
  <si>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</si>
  <si>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</si>
  <si>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</si>
  <si>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</si>
  <si>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</si>
  <si>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</si>
  <si>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</si>
  <si>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</si>
  <si>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</si>
  <si>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</si>
  <si>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</si>
  <si>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</si>
  <si>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</si>
  <si>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</si>
  <si>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</si>
  <si>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</si>
  <si>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</si>
  <si>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</si>
  <si>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</si>
  <si>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</si>
  <si>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</si>
  <si>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</si>
  <si>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</si>
  <si>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</si>
  <si>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</si>
  <si>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</si>
  <si>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</si>
  <si>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</si>
  <si>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</si>
  <si>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</si>
  <si>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</si>
  <si>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</si>
  <si>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</si>
  <si>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</si>
  <si>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</si>
  <si>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</si>
  <si>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</si>
  <si>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</si>
  <si>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</si>
  <si>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</si>
  <si>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</si>
  <si>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</si>
  <si>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</si>
  <si>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</si>
  <si>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</si>
  <si>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</si>
  <si>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</si>
  <si>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</si>
  <si>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</si>
  <si>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</si>
  <si>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</si>
  <si>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</si>
  <si>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</si>
  <si>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</si>
  <si>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</si>
  <si>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</si>
  <si>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</si>
  <si>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</si>
  <si>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</si>
  <si>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</si>
  <si>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</si>
  <si>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</si>
  <si>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</si>
  <si>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</si>
  <si>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</si>
  <si>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</si>
  <si>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</si>
  <si>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</si>
  <si>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</si>
  <si>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</si>
  <si>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</si>
  <si>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</si>
  <si>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</si>
  <si>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</si>
  <si>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</si>
  <si>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</si>
  <si>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</si>
  <si>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</si>
  <si>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</si>
  <si>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</si>
  <si>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</si>
  <si>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</si>
  <si>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</si>
  <si>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</si>
  <si>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</si>
  <si>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</si>
  <si>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</si>
  <si>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</si>
  <si>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</si>
  <si>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</si>
  <si>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</si>
  <si>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</si>
  <si>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</si>
  <si>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</si>
  <si>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</si>
  <si>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</si>
  <si>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</si>
  <si>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</si>
  <si>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</si>
  <si>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</si>
  <si>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</si>
  <si>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</si>
  <si>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</si>
  <si>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</si>
  <si>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</si>
  <si>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</si>
  <si>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</si>
  <si>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</si>
  <si>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</si>
  <si>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</si>
  <si>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</si>
  <si>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</si>
  <si>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</si>
  <si>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</si>
  <si>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</si>
  <si>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</si>
  <si>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</si>
  <si>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</si>
  <si>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</si>
  <si>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</si>
  <si>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</si>
  <si>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</si>
  <si>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</si>
  <si>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</si>
  <si>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</si>
  <si>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</si>
  <si>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</si>
  <si>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</si>
  <si>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</si>
  <si>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</si>
  <si>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</si>
  <si>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</si>
  <si>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</si>
  <si>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</si>
  <si>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</si>
  <si>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</si>
  <si>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</si>
  <si>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</si>
  <si>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</si>
  <si>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</si>
  <si>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</si>
  <si>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</si>
  <si>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</si>
  <si>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</si>
  <si>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</si>
  <si>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</si>
  <si>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</si>
  <si>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</si>
  <si>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</si>
  <si>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</si>
  <si>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</si>
  <si>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</si>
  <si>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</si>
  <si>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</si>
  <si>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</si>
  <si>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</si>
  <si>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</si>
  <si>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</si>
  <si>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</si>
  <si>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</si>
  <si>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</si>
  <si>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</si>
  <si>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</si>
  <si>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</si>
  <si>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</si>
  <si>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</si>
  <si>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</si>
  <si>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</si>
  <si>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</si>
  <si>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</si>
  <si>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</si>
  <si>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</si>
  <si>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</si>
  <si>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</si>
  <si>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</si>
  <si>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</si>
  <si>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</si>
  <si>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</si>
  <si>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</si>
  <si>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</si>
  <si>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</si>
  <si>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</si>
  <si>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</si>
  <si>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</si>
  <si>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</si>
  <si>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</si>
  <si>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</si>
  <si>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</si>
  <si>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</si>
  <si>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</si>
  <si>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</si>
  <si>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</si>
  <si>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</si>
  <si>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</si>
  <si>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</si>
  <si>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</si>
  <si>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</si>
  <si>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</si>
  <si>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</si>
  <si>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</si>
  <si>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</si>
  <si>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</si>
  <si>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</si>
  <si>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</si>
  <si>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</si>
  <si>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</si>
  <si>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</si>
  <si>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</si>
  <si>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</si>
  <si>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</si>
  <si>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</si>
  <si>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</si>
  <si>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</si>
  <si>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</si>
  <si>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</si>
  <si>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</si>
  <si>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</si>
  <si>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</si>
  <si>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</si>
  <si>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</si>
  <si>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</si>
  <si>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</si>
  <si>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</si>
  <si>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</si>
  <si>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</si>
  <si>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</si>
  <si>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</si>
  <si>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</si>
  <si>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</si>
  <si>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</si>
  <si>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</si>
  <si>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</si>
  <si>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</si>
  <si>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</si>
  <si>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</si>
  <si>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</si>
  <si>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</si>
  <si>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</si>
  <si>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</si>
  <si>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</si>
  <si>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</si>
  <si>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</si>
  <si>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</si>
  <si>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</si>
  <si>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</si>
  <si>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</si>
  <si>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</si>
  <si>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</si>
  <si>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</si>
  <si>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</si>
  <si>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</si>
  <si>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</si>
  <si>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</si>
  <si>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</si>
  <si>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</si>
  <si>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</si>
  <si>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</si>
  <si>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</si>
  <si>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</si>
  <si>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</si>
  <si>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</si>
  <si>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</si>
  <si>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</si>
  <si>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</si>
  <si>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</si>
  <si>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</si>
  <si>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</si>
  <si>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</si>
  <si>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</si>
  <si>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</si>
  <si>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</si>
  <si>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</si>
  <si>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</si>
  <si>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</si>
  <si>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</si>
  <si>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</si>
  <si>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</si>
  <si>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</si>
  <si>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</si>
  <si>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</si>
  <si>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</si>
  <si>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</si>
  <si>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</si>
  <si>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</si>
  <si>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</si>
  <si>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</si>
  <si>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</si>
  <si>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</si>
  <si>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</si>
  <si>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</si>
  <si>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</si>
  <si>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</si>
  <si>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</si>
  <si>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</si>
  <si>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</si>
  <si>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</si>
  <si>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</si>
  <si>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</si>
  <si>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</si>
  <si>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</si>
  <si>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</si>
  <si>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</si>
  <si>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</si>
  <si>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</si>
  <si>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</si>
  <si>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</si>
  <si>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</si>
  <si>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</si>
  <si>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</si>
  <si>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</si>
  <si>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</si>
  <si>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</si>
  <si>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</si>
  <si>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</si>
  <si>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</si>
  <si>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</si>
  <si>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</si>
  <si>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</si>
  <si>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</si>
  <si>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</si>
  <si>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</si>
  <si>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</si>
  <si>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</si>
  <si>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</si>
  <si>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</si>
  <si>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</si>
  <si>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</si>
  <si>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</si>
  <si>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</si>
  <si>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</si>
  <si>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</si>
  <si>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</si>
  <si>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</si>
  <si>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</si>
  <si>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</si>
  <si>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</si>
  <si>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</si>
  <si>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</si>
  <si>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</si>
  <si>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</si>
  <si>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</si>
  <si>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</si>
  <si>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</si>
  <si>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</si>
  <si>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</si>
  <si>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</si>
  <si>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</si>
  <si>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</si>
  <si>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</si>
  <si>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</si>
  <si>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</si>
  <si>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</si>
  <si>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</si>
  <si>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</si>
  <si>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</si>
  <si>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</si>
  <si>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</si>
  <si>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</si>
  <si>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</si>
  <si>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</si>
  <si>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</si>
  <si>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</si>
  <si>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</si>
  <si>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</si>
  <si>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</si>
  <si>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</si>
  <si>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</si>
  <si>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</si>
  <si>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</si>
  <si>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</si>
  <si>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</si>
  <si>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</si>
  <si>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</si>
  <si>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</si>
  <si>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</si>
  <si>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</si>
  <si>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</si>
  <si>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</si>
  <si>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</si>
  <si>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</si>
  <si>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</si>
  <si>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</si>
  <si>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</si>
  <si>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</si>
  <si>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</si>
  <si>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</si>
  <si>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</si>
  <si>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</si>
  <si>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</si>
  <si>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</si>
  <si>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</si>
  <si>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</si>
  <si>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</si>
  <si>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</si>
  <si>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</si>
  <si>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</si>
  <si>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</si>
  <si>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</si>
  <si>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</si>
  <si>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</si>
  <si>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</si>
  <si>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</si>
  <si>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</si>
  <si>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</si>
  <si>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</si>
  <si>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</si>
  <si>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</si>
  <si>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</si>
  <si>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</si>
  <si>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</si>
  <si>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</si>
  <si>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</si>
  <si>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</si>
  <si>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</si>
  <si>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</si>
  <si>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</si>
  <si>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</si>
  <si>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</si>
  <si>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</si>
  <si>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</si>
  <si>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</si>
  <si>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</si>
  <si>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</si>
  <si>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</si>
  <si>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</si>
  <si>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</si>
  <si>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</si>
  <si>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</si>
  <si>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</si>
  <si>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</si>
  <si>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</si>
  <si>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</si>
  <si>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</si>
  <si>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</si>
  <si>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</si>
  <si>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</si>
  <si>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</si>
  <si>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</si>
  <si>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</si>
  <si>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</si>
  <si>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</si>
  <si>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</si>
  <si>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</si>
  <si>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</si>
  <si>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</si>
  <si>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</si>
  <si>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</si>
  <si>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</si>
  <si>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</si>
  <si>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</si>
  <si>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</si>
  <si>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</si>
  <si>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</si>
  <si>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</si>
  <si>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</si>
  <si>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</si>
  <si>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</si>
  <si>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</si>
  <si>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</si>
  <si>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</si>
  <si>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</si>
  <si>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</si>
  <si>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</si>
  <si>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</si>
  <si>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</si>
  <si>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</si>
  <si>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</si>
  <si>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</si>
  <si>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</si>
  <si>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</si>
  <si>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</si>
  <si>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</si>
  <si>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</si>
  <si>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</si>
  <si>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</si>
  <si>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</si>
  <si>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</si>
  <si>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</si>
  <si>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</si>
  <si>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</si>
  <si>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</si>
  <si>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</si>
  <si>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</si>
  <si>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</si>
  <si>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</si>
  <si>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</si>
  <si>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</si>
  <si>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</si>
  <si>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</si>
  <si>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</si>
  <si>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</si>
  <si>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</si>
  <si>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</si>
  <si>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</si>
  <si>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</si>
  <si>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</si>
  <si>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</si>
  <si>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</si>
  <si>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</si>
  <si>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</si>
  <si>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</si>
  <si>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</si>
  <si>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</si>
  <si>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</si>
  <si>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</si>
  <si>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</si>
  <si>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</si>
  <si>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</si>
  <si>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</si>
  <si>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</si>
  <si>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</si>
  <si>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</si>
  <si>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</si>
  <si>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</si>
  <si>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</si>
  <si>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</si>
  <si>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</si>
  <si>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</si>
  <si>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</si>
  <si>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</si>
  <si>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</si>
  <si>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</si>
  <si>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</si>
  <si>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</si>
  <si>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</si>
  <si>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</si>
  <si>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</si>
  <si>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</si>
  <si>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</si>
  <si>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</si>
  <si>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</si>
  <si>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</si>
  <si>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</si>
  <si>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</si>
  <si>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</si>
  <si>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</si>
  <si>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</si>
  <si>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</si>
  <si>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</si>
  <si>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</si>
  <si>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</si>
  <si>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</si>
  <si>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</si>
  <si>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</si>
  <si>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</si>
  <si>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</si>
  <si>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</si>
  <si>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</si>
  <si>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</si>
  <si>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</si>
  <si>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</si>
  <si>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</si>
  <si>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</si>
  <si>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</si>
  <si>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</si>
  <si>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</si>
  <si>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</si>
  <si>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</si>
  <si>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</si>
  <si>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</si>
  <si>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</si>
  <si>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</si>
  <si>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</si>
  <si>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</si>
  <si>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</si>
  <si>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</si>
  <si>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</si>
  <si>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</si>
  <si>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</si>
  <si>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</si>
  <si>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</si>
  <si>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</si>
  <si>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</si>
  <si>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</si>
  <si>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</si>
  <si>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</si>
  <si>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</si>
  <si>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</si>
  <si>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</si>
  <si>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</si>
  <si>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</si>
  <si>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</si>
  <si>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</si>
  <si>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</si>
  <si>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</si>
  <si>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</si>
  <si>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</si>
  <si>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</si>
  <si>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</si>
  <si>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</si>
  <si>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</si>
  <si>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</si>
  <si>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</si>
  <si>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</si>
  <si>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</si>
  <si>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</si>
  <si>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</si>
  <si>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</si>
  <si>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</si>
  <si>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</si>
  <si>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</si>
  <si>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</si>
  <si>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</si>
  <si>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</si>
  <si>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</si>
  <si>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</si>
  <si>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</si>
  <si>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</si>
  <si>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</si>
  <si>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</si>
  <si>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</si>
  <si>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</si>
  <si>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</si>
  <si>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</si>
  <si>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</si>
  <si>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</si>
  <si>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</si>
  <si>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</si>
  <si>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</si>
  <si>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</si>
  <si>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</si>
  <si>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</si>
  <si>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</si>
  <si>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</si>
  <si>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</si>
  <si>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</si>
  <si>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</si>
  <si>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</si>
  <si>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</si>
  <si>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</si>
  <si>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</si>
  <si>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</si>
  <si>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</si>
  <si>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</si>
  <si>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</si>
  <si>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</si>
  <si>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</si>
  <si>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</si>
  <si>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</si>
  <si>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</si>
  <si>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</si>
  <si>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</si>
  <si>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</si>
  <si>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</si>
  <si>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</si>
  <si>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</si>
  <si>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</si>
  <si>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</si>
  <si>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</si>
  <si>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</si>
  <si>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</si>
  <si>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</si>
  <si>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</si>
  <si>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</si>
  <si>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</si>
  <si>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</si>
  <si>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</si>
  <si>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</si>
  <si>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</si>
  <si>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</si>
  <si>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</si>
  <si>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</si>
  <si>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</si>
  <si>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</si>
  <si>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</si>
  <si>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</si>
  <si>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</si>
  <si>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</si>
  <si>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</si>
  <si>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</si>
  <si>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</si>
  <si>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</si>
  <si>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</si>
  <si>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</si>
  <si>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</si>
  <si>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</si>
  <si>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</si>
  <si>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</si>
  <si>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</si>
  <si>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</si>
  <si>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</si>
  <si>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</si>
  <si>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</si>
  <si>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</si>
  <si>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</si>
  <si>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</si>
  <si>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</si>
  <si>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</si>
  <si>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</si>
  <si>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</si>
  <si>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</si>
  <si>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</si>
  <si>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</si>
  <si>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</si>
  <si>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</si>
  <si>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</si>
  <si>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</si>
  <si>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</si>
  <si>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</si>
  <si>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</si>
  <si>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</si>
  <si>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</si>
  <si>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</si>
  <si>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</si>
  <si>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</si>
  <si>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</si>
  <si>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</si>
  <si>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</si>
  <si>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</si>
  <si>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</si>
  <si>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</si>
  <si>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</si>
  <si>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</si>
  <si>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</si>
  <si>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</si>
  <si>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</si>
  <si>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</si>
  <si>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</si>
  <si>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</si>
  <si>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</si>
  <si>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</si>
  <si>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</si>
  <si>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</si>
  <si>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</si>
  <si>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</si>
  <si>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</si>
  <si>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</si>
  <si>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</si>
  <si>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</si>
  <si>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</si>
  <si>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</si>
  <si>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</si>
  <si>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</si>
  <si>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</si>
  <si>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</si>
  <si>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</si>
  <si>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</si>
  <si>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</si>
  <si>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</si>
  <si>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</si>
  <si>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</si>
  <si>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</si>
  <si>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</si>
  <si>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</si>
  <si>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</si>
  <si>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</si>
  <si>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</si>
  <si>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</si>
  <si>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</si>
  <si>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</si>
  <si>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</si>
  <si>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</si>
  <si>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</si>
  <si>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</si>
  <si>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</si>
  <si>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</si>
  <si>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</si>
  <si>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</si>
  <si>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</si>
  <si>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</si>
  <si>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</si>
  <si>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</si>
  <si>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</si>
  <si>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</si>
  <si>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</si>
  <si>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</si>
  <si>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</si>
  <si>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</si>
  <si>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</si>
  <si>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</si>
  <si>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</si>
  <si>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</si>
  <si>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</si>
  <si>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</si>
  <si>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</si>
  <si>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</si>
  <si>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</si>
  <si>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</si>
  <si>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</si>
  <si>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</si>
  <si>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</si>
  <si>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</si>
  <si>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</si>
  <si>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</si>
  <si>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</si>
  <si>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</si>
  <si>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</si>
  <si>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</si>
  <si>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</si>
  <si>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</si>
  <si>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</si>
  <si>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</si>
  <si>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</si>
  <si>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</si>
  <si>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</si>
  <si>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</si>
  <si>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</si>
  <si>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</si>
  <si>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</si>
  <si>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</si>
  <si>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</si>
  <si>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</si>
  <si>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</si>
  <si>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</si>
  <si>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</si>
  <si>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</si>
  <si>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</si>
  <si>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</si>
  <si>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</si>
  <si>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</si>
  <si>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</si>
  <si>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</si>
  <si>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</si>
  <si>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</si>
  <si>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</si>
  <si>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</si>
  <si>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</si>
  <si>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</si>
  <si>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</si>
  <si>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</si>
  <si>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</si>
  <si>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</si>
  <si>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</si>
  <si>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</si>
  <si>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</si>
  <si>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</si>
  <si>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</si>
  <si>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</si>
  <si>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</si>
  <si>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</si>
  <si>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</si>
  <si>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</si>
  <si>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</si>
  <si>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</si>
  <si>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</si>
  <si>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</si>
  <si>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</si>
  <si>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</si>
  <si>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</si>
  <si>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</si>
  <si>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</si>
  <si>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</si>
  <si>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</si>
  <si>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</si>
  <si>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</si>
  <si>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</si>
  <si>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</si>
  <si>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</si>
  <si>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</si>
  <si>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</si>
  <si>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</si>
  <si>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</si>
  <si>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</si>
  <si>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</si>
  <si>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</si>
  <si>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</si>
  <si>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</si>
  <si>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</si>
  <si>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</si>
  <si>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</si>
  <si>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</si>
  <si>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</si>
  <si>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</si>
  <si>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</si>
  <si>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</si>
  <si>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</si>
  <si>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</si>
  <si>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</si>
  <si>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</si>
  <si>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</si>
  <si>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</si>
  <si>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</si>
  <si>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</si>
  <si>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</si>
  <si>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</si>
  <si>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</si>
  <si>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</si>
  <si>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</si>
  <si>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</si>
  <si>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</si>
  <si>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</si>
  <si>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</si>
  <si>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</si>
  <si>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</si>
  <si>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</si>
  <si>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</si>
  <si>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</si>
  <si>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</si>
  <si>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</si>
  <si>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</si>
  <si>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</si>
  <si>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</si>
  <si>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</si>
  <si>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</si>
  <si>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</si>
  <si>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</si>
  <si>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</si>
  <si>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</si>
  <si>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</si>
  <si>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</si>
  <si>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</si>
  <si>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</si>
  <si>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</si>
  <si>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</si>
  <si>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</si>
  <si>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</si>
  <si>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</si>
  <si>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</si>
  <si>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</si>
  <si>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</si>
  <si>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</si>
  <si>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</si>
  <si>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</si>
  <si>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</si>
  <si>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</si>
  <si>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</si>
  <si>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</si>
  <si>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</si>
  <si>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</si>
  <si>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</si>
  <si>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</si>
  <si>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</si>
  <si>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</si>
  <si>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</si>
  <si>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</si>
  <si>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</si>
  <si>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</si>
  <si>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</si>
  <si>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</si>
  <si>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</si>
  <si>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</si>
  <si>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</si>
  <si>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</si>
  <si>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</si>
  <si>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</si>
  <si>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</si>
  <si>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</si>
  <si>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</si>
  <si>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</si>
  <si>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</si>
  <si>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</si>
  <si>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</si>
  <si>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</si>
  <si>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</si>
  <si>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</si>
  <si>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</si>
  <si>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</si>
  <si>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</si>
  <si>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</si>
  <si>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</si>
  <si>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</si>
  <si>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</si>
  <si>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</si>
  <si>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</si>
  <si>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</si>
  <si>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</si>
  <si>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</si>
  <si>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</si>
  <si>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</si>
  <si>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</si>
  <si>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</si>
  <si>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</si>
  <si>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</si>
  <si>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</si>
  <si>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</si>
  <si>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</si>
  <si>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</si>
  <si>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</si>
  <si>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</si>
  <si>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</si>
  <si>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</si>
  <si>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</si>
  <si>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</si>
  <si>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</si>
  <si>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</si>
  <si>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</si>
  <si>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</si>
  <si>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</si>
  <si>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</si>
  <si>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</si>
  <si>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</si>
  <si>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</si>
  <si>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</si>
  <si>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</si>
  <si>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</si>
  <si>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</si>
  <si>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</si>
  <si>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</si>
  <si>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</si>
  <si>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</si>
  <si>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</si>
  <si>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</si>
  <si>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</si>
  <si>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</si>
  <si>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</si>
  <si>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</si>
  <si>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</si>
  <si>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</si>
  <si>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</si>
  <si>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</si>
  <si>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</si>
  <si>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</si>
  <si>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</si>
  <si>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</si>
  <si>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</si>
  <si>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</si>
  <si>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</si>
  <si>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</si>
  <si>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</si>
  <si>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</si>
  <si>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</si>
  <si>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</si>
  <si>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</si>
  <si>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</si>
  <si>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</si>
  <si>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</si>
  <si>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</si>
  <si>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</si>
  <si>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</si>
  <si>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</si>
  <si>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</si>
  <si>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</si>
  <si>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</si>
  <si>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</si>
  <si>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</si>
  <si>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</si>
  <si>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</si>
  <si>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</si>
  <si>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</si>
  <si>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</si>
  <si>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</si>
  <si>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</si>
  <si>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</si>
  <si>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</si>
  <si>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</si>
  <si>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</si>
  <si>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</si>
  <si>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</si>
  <si>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</si>
  <si>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</si>
  <si>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</si>
  <si>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</si>
  <si>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</si>
  <si>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</si>
  <si>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</si>
  <si>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</si>
  <si>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</si>
  <si>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</si>
  <si>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</si>
  <si>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</si>
  <si>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</si>
  <si>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</si>
  <si>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</si>
  <si>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</si>
  <si>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</si>
  <si>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</si>
  <si>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</si>
  <si>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</si>
  <si>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</si>
  <si>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</si>
  <si>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</si>
  <si>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</si>
  <si>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</si>
  <si>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</si>
  <si>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</si>
  <si>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</si>
  <si>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</si>
  <si>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</si>
  <si>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</si>
  <si>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</si>
  <si>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</si>
  <si>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</si>
  <si>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</si>
  <si>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</si>
  <si>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</si>
  <si>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</si>
  <si>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</si>
  <si>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</si>
  <si>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</si>
  <si>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</si>
  <si>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</si>
  <si>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</si>
  <si>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</si>
  <si>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</si>
  <si>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</si>
  <si>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</si>
  <si>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</si>
  <si>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</si>
  <si>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</si>
  <si>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</si>
  <si>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</si>
  <si>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</si>
  <si>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</si>
  <si>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</si>
  <si>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</si>
  <si>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</si>
  <si>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</si>
  <si>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</si>
  <si>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</si>
  <si>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</si>
  <si>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</si>
  <si>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</si>
  <si>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</si>
  <si>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</si>
  <si>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</si>
  <si>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</si>
  <si>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</si>
  <si>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</si>
  <si>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</si>
  <si>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</si>
  <si>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</si>
  <si>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</si>
  <si>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</si>
  <si>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</si>
  <si>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</si>
  <si>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</si>
  <si>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</si>
  <si>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</si>
  <si>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</si>
  <si>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</si>
  <si>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</si>
  <si>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</si>
  <si>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</si>
  <si>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</si>
  <si>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</si>
  <si>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</si>
  <si>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</si>
  <si>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</si>
  <si>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</si>
  <si>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</si>
  <si>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</si>
  <si>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</si>
  <si>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</si>
  <si>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</si>
  <si>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</si>
  <si>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</si>
  <si>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</si>
  <si>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</si>
  <si>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</si>
  <si>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</si>
  <si>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</si>
  <si>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</si>
  <si>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</si>
  <si>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</si>
  <si>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</si>
  <si>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</si>
  <si>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</si>
  <si>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</si>
  <si>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</si>
  <si>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</si>
  <si>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</si>
  <si>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</si>
  <si>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</si>
  <si>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</si>
  <si>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</si>
  <si>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</si>
  <si>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</si>
  <si>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</si>
  <si>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</si>
  <si>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</si>
  <si>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</si>
  <si>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</si>
  <si>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</si>
  <si>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</si>
  <si>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</si>
  <si>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</si>
  <si>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</si>
  <si>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</si>
  <si>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</si>
  <si>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</si>
  <si>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</si>
  <si>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</si>
  <si>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</si>
  <si>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</si>
  <si>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</si>
  <si>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</si>
  <si>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</si>
  <si>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</si>
  <si>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</si>
  <si>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</si>
  <si>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</si>
  <si>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</si>
  <si>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</si>
  <si>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</si>
  <si>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</si>
  <si>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</si>
  <si>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</si>
  <si>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</si>
  <si>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</si>
  <si>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</si>
  <si>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</si>
  <si>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</si>
  <si>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</si>
  <si>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</si>
  <si>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</si>
  <si>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</si>
  <si>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</si>
  <si>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</si>
  <si>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</si>
  <si>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</si>
  <si>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</si>
  <si>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</si>
  <si>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</si>
  <si>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</si>
  <si>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</si>
  <si>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</si>
  <si>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</si>
  <si>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</si>
  <si>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</si>
  <si>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</si>
  <si>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</si>
  <si>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</si>
  <si>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</si>
  <si>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</si>
  <si>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</si>
  <si>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</si>
  <si>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</si>
  <si>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</si>
  <si>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</si>
  <si>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</si>
  <si>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</si>
  <si>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</si>
  <si>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</si>
  <si>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</si>
  <si>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</si>
  <si>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</si>
  <si>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</si>
  <si>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</si>
  <si>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</si>
  <si>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</si>
  <si>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</si>
  <si>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</si>
  <si>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</si>
  <si>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</si>
  <si>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</si>
  <si>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</si>
  <si>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</si>
  <si>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</si>
  <si>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</si>
  <si>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</si>
  <si>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</si>
  <si>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</si>
  <si>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</si>
  <si>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</si>
  <si>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</si>
  <si>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</si>
  <si>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</si>
  <si>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</si>
  <si>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</si>
  <si>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</si>
  <si>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</si>
  <si>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</si>
  <si>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</si>
  <si>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</si>
  <si>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</si>
  <si>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</si>
  <si>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</si>
  <si>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</si>
  <si>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</si>
  <si>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</si>
  <si>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</si>
  <si>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</si>
  <si>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</si>
  <si>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</si>
  <si>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</si>
  <si>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</si>
  <si>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</si>
  <si>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</si>
  <si>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</si>
  <si>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</si>
  <si>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</si>
  <si>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</si>
  <si>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</si>
  <si>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</si>
  <si>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</si>
  <si>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</si>
  <si>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</si>
  <si>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</si>
  <si>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</si>
  <si>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</si>
  <si>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</si>
  <si>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</si>
  <si>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</si>
  <si>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</si>
  <si>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</si>
  <si>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</si>
  <si>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</si>
  <si>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</si>
  <si>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</si>
  <si>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</si>
  <si>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</si>
  <si>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</si>
  <si>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</si>
  <si>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</si>
  <si>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</si>
  <si>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</si>
  <si>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</si>
  <si>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</si>
  <si>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</si>
  <si>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</si>
  <si>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</si>
  <si>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</si>
  <si>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</si>
  <si>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</si>
  <si>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</si>
  <si>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</si>
  <si>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</si>
  <si>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</si>
  <si>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</si>
  <si>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</si>
  <si>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</si>
  <si>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</si>
  <si>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</si>
  <si>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</si>
  <si>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</si>
  <si>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</si>
  <si>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</si>
  <si>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</si>
  <si>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</si>
  <si>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</si>
  <si>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</si>
  <si>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</si>
  <si>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</si>
  <si>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</si>
  <si>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</si>
  <si>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</si>
  <si>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</si>
  <si>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</si>
  <si>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</si>
  <si>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</si>
  <si>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</si>
  <si>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</si>
  <si>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</si>
  <si>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</si>
  <si>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</si>
  <si>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</si>
  <si>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</si>
  <si>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</si>
  <si>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</si>
  <si>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</si>
  <si>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</si>
  <si>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</si>
  <si>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</si>
  <si>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</si>
  <si>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</si>
  <si>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</si>
  <si>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</si>
  <si>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</si>
  <si>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</si>
  <si>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</si>
  <si>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</si>
  <si>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</si>
  <si>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</si>
  <si>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</si>
  <si>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</si>
  <si>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</si>
  <si>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</si>
  <si>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</si>
  <si>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</si>
  <si>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</si>
  <si>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</si>
  <si>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</si>
  <si>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</si>
  <si>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</si>
  <si>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</si>
  <si>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</si>
  <si>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</si>
  <si>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</si>
  <si>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</si>
  <si>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</si>
  <si>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</si>
  <si>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</si>
  <si>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</si>
  <si>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</si>
  <si>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</si>
  <si>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</si>
  <si>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</si>
  <si>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</si>
  <si>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</si>
  <si>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</si>
  <si>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</si>
  <si>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</si>
  <si>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</si>
  <si>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</si>
  <si>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</si>
  <si>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</si>
  <si>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</si>
  <si>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</si>
  <si>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</si>
  <si>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</si>
  <si>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</si>
  <si>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</si>
  <si>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</si>
  <si>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</si>
  <si>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</si>
  <si>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</si>
  <si>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</si>
  <si>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</si>
  <si>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</si>
  <si>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</si>
  <si>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</si>
  <si>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</si>
  <si>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</si>
  <si>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</si>
  <si>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</si>
  <si>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</si>
  <si>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</si>
  <si>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</si>
  <si>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</si>
  <si>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</si>
  <si>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</si>
  <si>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</si>
  <si>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</si>
  <si>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</si>
  <si>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</si>
  <si>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</si>
  <si>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</si>
  <si>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</si>
  <si>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</si>
  <si>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</si>
  <si>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</si>
  <si>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</si>
  <si>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</si>
  <si>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</si>
  <si>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</si>
  <si>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</si>
  <si>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</si>
  <si>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</si>
  <si>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</si>
  <si>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</si>
  <si>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</si>
  <si>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</si>
  <si>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</si>
  <si>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</si>
  <si>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</si>
  <si>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</si>
  <si>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</si>
  <si>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</si>
  <si>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</si>
  <si>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</si>
  <si>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</si>
  <si>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</si>
  <si>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</si>
  <si>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</si>
  <si>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</si>
  <si>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</si>
  <si>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</si>
  <si>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</si>
  <si>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</si>
  <si>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</si>
  <si>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</si>
  <si>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</si>
  <si>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</si>
  <si>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</si>
  <si>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</si>
  <si>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</si>
  <si>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</si>
  <si>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</si>
  <si>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</si>
  <si>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</si>
  <si>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</si>
  <si>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</si>
  <si>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</si>
  <si>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</si>
  <si>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</si>
  <si>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</si>
  <si>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</si>
  <si>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</si>
  <si>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</si>
  <si>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</si>
  <si>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</si>
  <si>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</si>
  <si>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</si>
  <si>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</si>
  <si>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</si>
  <si>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</si>
  <si>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</si>
  <si>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</si>
  <si>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</si>
  <si>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</si>
  <si>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</si>
  <si>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</si>
  <si>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</si>
  <si>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</si>
  <si>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</si>
  <si>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</si>
  <si>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</si>
  <si>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</si>
  <si>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</si>
  <si>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</si>
  <si>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</si>
  <si>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</si>
  <si>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</si>
  <si>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</si>
  <si>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</si>
  <si>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</si>
  <si>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</si>
  <si>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</si>
  <si>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</si>
  <si>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</si>
  <si>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</si>
  <si>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</si>
  <si>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</si>
  <si>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</si>
  <si>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</si>
  <si>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</si>
  <si>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</si>
  <si>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</si>
  <si>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</si>
  <si>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</si>
  <si>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</si>
  <si>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</si>
  <si>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</si>
  <si>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</si>
  <si>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</si>
  <si>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</si>
  <si>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</si>
  <si>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</si>
  <si>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</si>
  <si>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</si>
  <si>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</si>
  <si>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</si>
  <si>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</si>
  <si>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</si>
  <si>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</si>
  <si>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</si>
  <si>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</si>
  <si>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</si>
  <si>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</si>
  <si>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</si>
  <si>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</si>
  <si>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</si>
  <si>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</si>
  <si>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</si>
  <si>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</si>
  <si>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</si>
  <si>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</si>
  <si>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</si>
  <si>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</si>
  <si>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</si>
  <si>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</si>
  <si>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</si>
  <si>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</si>
  <si>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</si>
  <si>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</si>
  <si>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</si>
  <si>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</si>
  <si>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</si>
  <si>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</si>
  <si>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</si>
  <si>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</si>
  <si>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</si>
  <si>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</si>
  <si>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</si>
  <si>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</si>
  <si>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</si>
  <si>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</si>
  <si>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</si>
  <si>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</si>
  <si>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</si>
  <si>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</si>
  <si>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</si>
  <si>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</si>
  <si>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</si>
  <si>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</si>
  <si>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</si>
  <si>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</si>
  <si>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</si>
  <si>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</si>
  <si>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</si>
  <si>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</si>
  <si>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</si>
  <si>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</si>
  <si>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</si>
  <si>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</si>
  <si>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</si>
  <si>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</si>
  <si>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</si>
  <si>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</si>
  <si>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</si>
  <si>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</si>
  <si>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</si>
  <si>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</si>
  <si>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</si>
  <si>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</si>
  <si>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</si>
  <si>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</si>
  <si>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</si>
  <si>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</si>
  <si>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</si>
  <si>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</si>
  <si>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</si>
  <si>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</si>
  <si>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</si>
  <si>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</si>
  <si>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</si>
  <si>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</si>
  <si>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</si>
  <si>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</si>
  <si>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</si>
  <si>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</si>
  <si>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</si>
  <si>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</si>
  <si>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</si>
  <si>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</si>
  <si>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</si>
  <si>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</si>
  <si>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</si>
  <si>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</si>
  <si>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</si>
  <si>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</si>
  <si>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</si>
  <si>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</si>
  <si>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</si>
  <si>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</si>
  <si>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</si>
  <si>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</si>
  <si>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</si>
  <si>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</si>
  <si>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</si>
  <si>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</si>
  <si>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</si>
  <si>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</si>
  <si>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</si>
  <si>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</si>
  <si>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</si>
  <si>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</si>
  <si>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</si>
  <si>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</si>
  <si>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</si>
  <si>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</si>
  <si>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</si>
  <si>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</si>
  <si>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</si>
  <si>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</si>
  <si>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</si>
  <si>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</si>
  <si>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</si>
  <si>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</si>
  <si>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</si>
  <si>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</si>
  <si>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</si>
  <si>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</si>
  <si>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</si>
  <si>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</si>
  <si>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</si>
  <si>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</si>
  <si>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</si>
  <si>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</si>
  <si>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</si>
  <si>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</si>
  <si>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</si>
  <si>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</si>
  <si>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</si>
  <si>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</si>
  <si>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</si>
  <si>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</si>
  <si>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</si>
  <si>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</si>
  <si>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</si>
  <si>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</si>
  <si>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</si>
  <si>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</si>
  <si>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</si>
  <si>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</si>
  <si>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</si>
  <si>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</si>
  <si>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</si>
  <si>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</si>
  <si>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</si>
  <si>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</si>
  <si>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</si>
  <si>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</si>
  <si>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</si>
  <si>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</si>
  <si>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</si>
  <si>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</si>
  <si>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</si>
  <si>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</si>
  <si>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</si>
  <si>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</si>
  <si>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</si>
  <si>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</si>
  <si>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</si>
  <si>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</si>
  <si>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</si>
  <si>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</si>
  <si>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</si>
  <si>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</si>
  <si>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</si>
  <si>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</si>
  <si>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</si>
  <si>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</si>
  <si>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</si>
  <si>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</si>
  <si>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</si>
  <si>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</si>
  <si>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</si>
  <si>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</si>
  <si>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</si>
  <si>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</si>
  <si>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</si>
  <si>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</si>
  <si>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</si>
  <si>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</si>
  <si>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</si>
  <si>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</si>
  <si>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</si>
  <si>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</si>
  <si>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</si>
  <si>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</si>
  <si>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</si>
  <si>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</si>
  <si>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</si>
  <si>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</si>
  <si>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</si>
  <si>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</si>
  <si>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</si>
  <si>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</si>
  <si>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</si>
  <si>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</si>
  <si>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</si>
  <si>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</si>
  <si>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</si>
  <si>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</si>
  <si>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</si>
  <si>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</si>
  <si>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</si>
  <si>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</si>
  <si>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</si>
  <si>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</si>
  <si>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</si>
  <si>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</si>
  <si>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</si>
  <si>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</si>
  <si>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</si>
  <si>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</si>
  <si>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</si>
  <si>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</si>
  <si>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</si>
  <si>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</si>
  <si>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</si>
  <si>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</si>
  <si>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</si>
  <si>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</si>
  <si>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</si>
  <si>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</si>
  <si>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</si>
  <si>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</si>
  <si>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</si>
  <si>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</si>
  <si>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</si>
  <si>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</si>
  <si>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</si>
  <si>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</si>
  <si>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</si>
  <si>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</si>
  <si>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</si>
  <si>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</si>
  <si>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</si>
  <si>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</si>
  <si>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</si>
  <si>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</si>
  <si>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</si>
  <si>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</si>
  <si>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</si>
  <si>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</si>
  <si>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</si>
  <si>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</si>
  <si>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</si>
  <si>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</si>
  <si>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</si>
  <si>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</si>
  <si>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</si>
  <si>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</si>
  <si>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</si>
  <si>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</si>
  <si>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</si>
  <si>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</si>
  <si>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</si>
  <si>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</si>
  <si>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</si>
  <si>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</si>
  <si>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</si>
  <si>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</si>
  <si>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</si>
  <si>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</si>
  <si>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</si>
  <si>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</si>
  <si>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</si>
  <si>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</si>
  <si>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</si>
  <si>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</si>
  <si>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</si>
  <si>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</si>
  <si>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</si>
  <si>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</si>
  <si>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</si>
  <si>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</si>
  <si>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</si>
  <si>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</si>
  <si>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</si>
  <si>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</si>
  <si>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</si>
  <si>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</si>
  <si>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</si>
  <si>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</si>
  <si>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</si>
  <si>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</si>
  <si>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</si>
  <si>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</si>
  <si>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</si>
  <si>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</si>
  <si>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</si>
  <si>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</si>
  <si>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</si>
  <si>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</si>
  <si>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</si>
  <si>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</si>
  <si>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</si>
  <si>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</si>
  <si>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</si>
  <si>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</si>
  <si>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</si>
  <si>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</si>
  <si>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</si>
  <si>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</si>
  <si>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</si>
  <si>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</si>
  <si>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</si>
  <si>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</si>
  <si>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</si>
  <si>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</si>
  <si>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</si>
  <si>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</si>
  <si>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</si>
  <si>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</si>
  <si>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</si>
  <si>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</si>
  <si>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</si>
  <si>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</si>
  <si>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</si>
  <si>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</si>
  <si>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</si>
  <si>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</si>
  <si>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</si>
  <si>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</si>
  <si>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</si>
  <si>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</si>
  <si>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</si>
  <si>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</si>
  <si>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</si>
  <si>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</si>
  <si>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</si>
  <si>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</si>
  <si>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</si>
  <si>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</si>
  <si>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</si>
  <si>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</si>
  <si>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</si>
  <si>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</si>
  <si>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</si>
  <si>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</si>
  <si>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</si>
  <si>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</si>
  <si>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</si>
  <si>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</si>
  <si>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</si>
  <si>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</si>
  <si>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</si>
  <si>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</si>
  <si>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</si>
  <si>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</si>
  <si>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</si>
  <si>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</si>
  <si>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</si>
  <si>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</si>
  <si>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</si>
  <si>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</si>
  <si>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</si>
  <si>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</si>
  <si>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</si>
  <si>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</si>
  <si>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</si>
  <si>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</si>
  <si>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</si>
  <si>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</si>
  <si>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</si>
  <si>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</si>
  <si>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</si>
  <si>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</si>
  <si>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</si>
  <si>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</si>
  <si>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</si>
  <si>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</si>
  <si>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</si>
  <si>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</si>
  <si>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</si>
  <si>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</si>
  <si>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</si>
  <si>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</si>
  <si>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</si>
  <si>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</si>
  <si>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</si>
  <si>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</si>
  <si>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</si>
  <si>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</si>
  <si>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</si>
  <si>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</si>
  <si>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</si>
  <si>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</si>
  <si>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</si>
  <si>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</si>
  <si>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</si>
  <si>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</si>
  <si>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</si>
  <si>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</si>
  <si>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</si>
  <si>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</si>
  <si>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</si>
  <si>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</si>
  <si>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</si>
  <si>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</si>
  <si>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</si>
  <si>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</si>
  <si>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</si>
  <si>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</si>
  <si>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</si>
  <si>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</si>
  <si>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</si>
  <si>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</si>
  <si>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</si>
  <si>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</si>
  <si>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</si>
  <si>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</si>
  <si>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</si>
  <si>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</si>
  <si>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</si>
  <si>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</si>
  <si>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</si>
  <si>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</si>
  <si>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</si>
  <si>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</si>
  <si>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</si>
  <si>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</si>
  <si>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</si>
  <si>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</si>
  <si>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</si>
  <si>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</si>
  <si>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</si>
  <si>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</si>
  <si>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</si>
  <si>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</si>
  <si>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</si>
  <si>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</si>
  <si>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</si>
  <si>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</si>
  <si>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</si>
  <si>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</si>
  <si>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</si>
  <si>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</si>
  <si>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</si>
  <si>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</si>
  <si>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</si>
  <si>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</si>
  <si>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</si>
  <si>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</si>
  <si>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</si>
  <si>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</si>
  <si>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</si>
  <si>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</si>
  <si>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</si>
  <si>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</si>
  <si>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</si>
  <si>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</si>
  <si>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</si>
  <si>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</si>
  <si>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</si>
  <si>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</si>
  <si>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</si>
  <si>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</si>
  <si>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</si>
  <si>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</si>
  <si>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</si>
  <si>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</si>
  <si>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</si>
  <si>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</si>
  <si>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</si>
  <si>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</si>
  <si>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</si>
  <si>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</si>
  <si>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</si>
  <si>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</si>
  <si>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</si>
  <si>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</si>
  <si>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</si>
  <si>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</si>
  <si>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</si>
  <si>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</si>
  <si>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</si>
  <si>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</si>
  <si>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</si>
  <si>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</si>
  <si>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</si>
  <si>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</si>
  <si>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</si>
  <si>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</si>
  <si>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</si>
  <si>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</si>
  <si>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</si>
  <si>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</si>
  <si>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</si>
  <si>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</si>
  <si>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</si>
  <si>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</si>
  <si>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</si>
  <si>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</si>
  <si>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</si>
  <si>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</si>
  <si>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</si>
  <si>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</si>
  <si>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</si>
  <si>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</si>
  <si>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</si>
  <si>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</si>
  <si>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</si>
  <si>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</si>
  <si>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</si>
  <si>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</si>
  <si>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</si>
  <si>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</si>
  <si>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</si>
  <si>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</si>
  <si>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</si>
  <si>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</si>
  <si>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</si>
  <si>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</si>
  <si>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</si>
  <si>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</si>
  <si>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</si>
  <si>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</si>
  <si>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</si>
  <si>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</si>
  <si>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押一</t>
  </si>
  <si>
    <t>钢混</t>
  </si>
  <si>
    <t>非生产用房</t>
  </si>
  <si>
    <t>否</t>
  </si>
  <si>
    <t>自定义容积率</t>
  </si>
  <si>
    <t>不临65条商业街</t>
  </si>
  <si>
    <t>楼层修正</t>
  </si>
  <si>
    <t>通路</t>
  </si>
  <si>
    <t>通电</t>
  </si>
  <si>
    <t>通讯</t>
  </si>
  <si>
    <t>通上水</t>
  </si>
  <si>
    <t>通下水</t>
  </si>
  <si>
    <t>平整</t>
  </si>
  <si>
    <t>中心城区以外</t>
  </si>
  <si>
    <t>一般</t>
  </si>
  <si>
    <t>较好</t>
  </si>
  <si>
    <t>较差</t>
  </si>
  <si>
    <t>好</t>
  </si>
  <si>
    <t>未包含在土地购买价格中</t>
  </si>
  <si>
    <t>已包含在土地取得成本中</t>
  </si>
  <si>
    <t>成本法 (元)</t>
  </si>
  <si>
    <t>楼面单价</t>
  </si>
  <si>
    <t>成本比率</t>
  </si>
  <si>
    <t>燃气</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</si>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</sst>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估价对象为北京市房地产，为所有。根据《国有土地使用证》[]，估价对象（分摊）出让国有建设用地使用权面积为0平方米，建筑面积为199.85平方米。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估价对象为北京市房地产,属开发建设的，该项目尚在开发建设中。根据《国有土地使用证》[]，估价对象（分摊）出让国有建设用地使用权面积为0平方米，规划建筑面积为199.85平方米。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2023年8月17日</v>
      </c>
    </row>
    <row r="13" spans="1:2" s="1203" customFormat="1">
      <c r="A13" s="1201" t="s">
        <v>529</v>
      </c>
      <c r="B13" s="1202" t="str">
        <f>'预评函-1'!A18</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455</v>
      </c>
    </row>
    <row r="21" spans="1:2" s="1203" customFormat="1">
      <c r="A21" s="1201" t="s">
        <v>537</v>
      </c>
      <c r="B21" s="1202">
        <f ca="1">'预评函-2'!D7</f>
        <v>22773</v>
      </c>
    </row>
    <row r="22" spans="1:2" s="1203" customFormat="1">
      <c r="A22" s="1201" t="s">
        <v>538</v>
      </c>
      <c r="B22" s="1202" t="str">
        <f ca="1">'预评函-2'!D6</f>
        <v>肆佰伍拾伍万元整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455</v>
      </c>
    </row>
    <row r="31" spans="1:2" s="1203" customFormat="1">
      <c r="A31" s="1201" t="s">
        <v>576</v>
      </c>
      <c r="B31" s="1202">
        <f ca="1">'预评函-2'!D15</f>
        <v>22773</v>
      </c>
    </row>
    <row r="32" spans="1:2" s="1203" customFormat="1">
      <c r="A32" s="1201" t="s">
        <v>543</v>
      </c>
      <c r="B32" s="1202" t="str">
        <f ca="1">'预评函-2'!D14</f>
        <v>肆佰伍拾伍万元整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199.85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387</v>
      </c>
    </row>
    <row r="48" spans="1:2" s="1203" customFormat="1">
      <c r="A48" s="1201" t="s">
        <v>549</v>
      </c>
      <c r="B48" s="1202">
        <f ca="1">'预评函-3'!E4</f>
        <v>19380</v>
      </c>
    </row>
    <row r="49" spans="1:2" s="1203" customFormat="1">
      <c r="A49" s="1201" t="s">
        <v>550</v>
      </c>
      <c r="B49" s="1202" t="str">
        <f ca="1">'预评函-3'!D5</f>
        <v>叁佰捌拾柒万元整</v>
      </c>
    </row>
    <row r="50" spans="1:2" s="1203" customFormat="1">
      <c r="A50" s="1201" t="s">
        <v>574</v>
      </c>
      <c r="B50" s="1202" t="str">
        <f>'预评函-3'!F2</f>
        <v>在建建筑物价值</v>
      </c>
    </row>
    <row r="51" spans="1:2" s="1203" customFormat="1">
      <c r="A51" s="1201" t="s">
        <v>551</v>
      </c>
      <c r="B51" s="1202">
        <f ca="1">'预评函-3'!F4</f>
        <v>68</v>
      </c>
    </row>
    <row r="52" spans="1:2" s="1203" customFormat="1">
      <c r="A52" s="1201" t="s">
        <v>552</v>
      </c>
      <c r="B52" s="1202">
        <f ca="1">'预评函-3'!G4</f>
        <v>3393</v>
      </c>
    </row>
    <row r="53" spans="1:2" s="1203" customFormat="1">
      <c r="A53" s="1201" t="s">
        <v>580</v>
      </c>
      <c r="B53" s="1202" t="str">
        <f ca="1">'预评函-3'!F5</f>
        <v>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45155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3.34</v>
      </c>
      <c r="D5" s="3025">
        <f>IF(ISERROR(ROUND(POWER(1+E5,A5-C5)*(POWER(1+E5,C5)-1)/(POWER(1+E5,A5)-1),3)),0,ROUND(POWER(1+E5,A5-C5)*(POWER(1+E5,C5)-1)/(POWER(1+E5,A5)-1),4))</f>
        <v>0.15509999999999999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13.35</v>
      </c>
      <c r="D6" s="3025">
        <f>IF(ISERROR(ROUND(POWER(1+E6,A6-C6)*(POWER(1+E6,C6)-1)/(POWER(1+E6,A6)-1),3)),0,ROUND(POWER(1+E6,A6-C6)*(POWER(1+E6,C6)-1)/(POWER(1+E6,A6)-1),4))</f>
        <v>0.47439999999999999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33.36</v>
      </c>
      <c r="D7" s="3025">
        <f>IF(ISERROR(ROUND(POWER(1+E7,A7-C7)*(POWER(1+E7,C7)-1)/(POWER(1+E7,A7)-1),3)),0,ROUND(POWER(1+E7,A7-C7)*(POWER(1+E7,C7)-1)/(POWER(1+E7,A7)-1),4))</f>
        <v>0.77980000000000005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6" sqref="G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5"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6"/>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54584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25.83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199.85</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3012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199.85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199.85</v>
      </c>
      <c r="H5" s="13">
        <f t="shared" ref="H5:AT5" si="0">SUM(H13:H656)</f>
        <v>199.85</v>
      </c>
      <c r="I5" s="13">
        <f t="shared" si="0"/>
        <v>199.85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199.85</v>
      </c>
      <c r="BA5" s="15">
        <f t="shared" si="1"/>
        <v>199.85</v>
      </c>
      <c r="BB5" s="15">
        <f t="shared" si="1"/>
        <v>199.85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199.85</v>
      </c>
      <c r="H13" s="17">
        <f>SUMIF(I$12:AB$12,"总值",I13:AB13)</f>
        <v>199.85</v>
      </c>
      <c r="I13" s="1626">
        <v>199.85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199.85</v>
      </c>
      <c r="BA13" s="13">
        <f>SUM(BB13:BK13)</f>
        <v>199.85</v>
      </c>
      <c r="BB13" s="13">
        <f>IF($D13="是",I13-J13,0)</f>
        <v>199.85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199.85</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199.85</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199.85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199.85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205</v>
      </c>
      <c r="D19" s="45">
        <f>ROUND($D$3*E19/$E$3,2)</f>
        <v>0</v>
      </c>
      <c r="E19" s="53">
        <f t="shared" ref="E19:E26" si="1">SUM(F19:G19)</f>
        <v>199.85</v>
      </c>
      <c r="F19" s="2795">
        <f>'数据-基础表'!I13</f>
        <v>199.85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199.85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199.85</v>
      </c>
      <c r="F27" s="1140">
        <f>IF(SUM(F19:F26)=E8,SUM(F19:F26),"地上面积有误")</f>
        <v>199.85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199.85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199.85</v>
      </c>
      <c r="F31" s="677">
        <f>F27+F30</f>
        <v>199.85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AK35" sqref="AK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205</v>
      </c>
      <c r="B6" s="1713" t="str">
        <f>IF(A6=0,"","经营性")</f>
        <v>经营性</v>
      </c>
      <c r="C6" s="1714" t="s">
        <v>673</v>
      </c>
      <c r="D6" s="858">
        <f>SUMIF(项目基本情况!C$12:I$12,C6,项目基本情况!C$14:I$14)</f>
        <v>40</v>
      </c>
      <c r="E6" s="857">
        <f>IF(B6="","",SUMIF(项目基本情况!C$12:I$12,C6,项目基本情况!C$13:I$13))</f>
        <v>54584</v>
      </c>
      <c r="F6" s="64">
        <f>SUMIF(项目基本情况!C$12:I$12,C6,项目基本情况!C$15:I$15)</f>
        <v>25.83</v>
      </c>
      <c r="G6" s="65">
        <f>IF(ISERROR(ROUND(POWER(1+H6,D6-F6)*(POWER(1+H6,F6)-1)/(POWER(1+H6,D6)-1),3)),0,ROUND(POWER(1+H6,D6-F6)*(POWER(1+H6,F6)-1)/(POWER(1+H6,D6)-1),3))</f>
        <v>0.83499999999999996</v>
      </c>
      <c r="H6" s="732">
        <v>0.05</v>
      </c>
      <c r="I6" s="732">
        <v>5.5E-2</v>
      </c>
      <c r="J6" s="66">
        <v>7.4999999999999997E-2</v>
      </c>
      <c r="K6" s="1030">
        <f>SUMIF('数据-汇总表'!C$19:C$33,A6,'数据-汇总表'!E$19:E$33)</f>
        <v>199.85</v>
      </c>
      <c r="L6" s="733">
        <v>3000</v>
      </c>
      <c r="M6" s="67">
        <f t="shared" ref="M6:M14" si="0">ROUND(K6*L6/10000,0)</f>
        <v>60</v>
      </c>
      <c r="N6" s="731">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4.9000000000000004</v>
      </c>
      <c r="V6" s="70">
        <v>0.02</v>
      </c>
      <c r="W6" s="70">
        <v>0.1</v>
      </c>
      <c r="X6" s="1040"/>
      <c r="Y6" s="71">
        <f>N6</f>
        <v>0.82</v>
      </c>
      <c r="Z6" s="72"/>
      <c r="AA6" s="66"/>
      <c r="AB6" s="66"/>
      <c r="AC6" s="1040"/>
      <c r="AD6" s="73"/>
      <c r="AE6" s="1041">
        <f ca="1">IF(AN6="",0,SUMIF(INDIRECT("'"&amp;AN6&amp;"'"&amp;"!E:E"),$AE$5,INDIRECT("'"&amp;AN6&amp;"'"&amp;"!F:F")))</f>
        <v>25.83</v>
      </c>
      <c r="AF6" s="1348"/>
      <c r="AG6" s="138">
        <f>IF(AF6="",0,AE6-AF6)</f>
        <v>0</v>
      </c>
      <c r="AH6" s="74"/>
      <c r="AI6" s="76">
        <v>365</v>
      </c>
      <c r="AJ6" s="77"/>
      <c r="AK6" s="78">
        <v>0.01</v>
      </c>
      <c r="AL6" s="79">
        <v>1.5E-3</v>
      </c>
      <c r="AM6" s="80">
        <v>0.01</v>
      </c>
      <c r="AN6" s="1715" t="s">
        <v>3385</v>
      </c>
      <c r="AO6" s="52">
        <f ca="1">SUMIF(INDIRECT("'"&amp;AN6&amp;"'"&amp;"!A:A"),"总价",INDIRECT("'"&amp;AN6&amp;"'"&amp;"!B:B"))</f>
        <v>429.3236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0.83499999999999996</v>
      </c>
      <c r="H16" s="90">
        <f>ROUND(SUMPRODUCT(H6:H13,K6:K13)/SUMPRODUCT((H6:H13&gt;0)*(K6:K13)),3)</f>
        <v>0.05</v>
      </c>
      <c r="I16" s="91"/>
      <c r="J16" s="91"/>
      <c r="K16" s="92">
        <f>SUM(K6:K15)</f>
        <v>199.85</v>
      </c>
      <c r="L16" s="93">
        <f>ROUND(M16*10000/SUM(K6:K14),0)</f>
        <v>3002</v>
      </c>
      <c r="M16" s="93">
        <f>SUM(M6:M14)</f>
        <v>60</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1-(2023-N19)/60</f>
        <v>0.81666666666666665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199.85</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45155</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455.11840000000001</v>
      </c>
      <c r="C5" s="2512">
        <f ca="1">IF(B5=D14,结果表!H102,ROUND(B5*10000/$B$1,0))</f>
        <v>22773</v>
      </c>
      <c r="D5" s="2512" t="e">
        <f ca="1">ROUND(B5*10000/$B$2,0)</f>
        <v>#DIV/0!</v>
      </c>
      <c r="E5" s="2686"/>
      <c r="F5" s="2687"/>
      <c r="G5" s="2687"/>
      <c r="H5" s="2688"/>
      <c r="I5" s="2688"/>
      <c r="J5" s="2688"/>
      <c r="K5" s="2688"/>
    </row>
    <row r="6" spans="1:11">
      <c r="A6" s="2512" t="s">
        <v>656</v>
      </c>
      <c r="B6" s="2512">
        <f ca="1">SUM(G14:G23)</f>
        <v>455.11840000000001</v>
      </c>
      <c r="C6" s="2512">
        <f ca="1">IF(B6=G14,结果表!H108,ROUND(B6*10000/$B$1,0))</f>
        <v>22773</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3360</v>
      </c>
      <c r="D10" s="2512" t="s">
        <v>3361</v>
      </c>
      <c r="E10" s="3441"/>
      <c r="F10" s="3445" t="s">
        <v>3362</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199.85</v>
      </c>
      <c r="C14" s="2518"/>
      <c r="D14" s="2518">
        <f ca="1">ROUND(B14*E14/10000,4)</f>
        <v>455.11840000000001</v>
      </c>
      <c r="E14" s="2518">
        <f ca="1">结果表!G20</f>
        <v>22773</v>
      </c>
      <c r="F14" s="2518" t="e">
        <f ca="1">ROUND(D14*10000/C14,0)</f>
        <v>#DIV/0!</v>
      </c>
      <c r="G14" s="2518">
        <f ca="1">D14</f>
        <v>455.11840000000001</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7" sqref="L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3406</v>
      </c>
      <c r="D4" s="1756" t="s">
        <v>3385</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199.85</v>
      </c>
      <c r="M18" s="302">
        <f>IF(C1="",'数据-汇总表'!E3,SUMIF(项目类型,C1,'数据-汇总表'!E17:E26))</f>
        <v>199.85</v>
      </c>
    </row>
    <row r="19" spans="1:36" ht="15">
      <c r="A19" s="1761" t="s">
        <v>1290</v>
      </c>
      <c r="B19" s="1762" t="s">
        <v>1291</v>
      </c>
      <c r="C19" s="134">
        <f ca="1">SUMIF(INDIRECT("'"&amp;C4&amp;"'"&amp;"!A:A"),结果表!B19,INDIRECT("'"&amp;C4&amp;"'"&amp;"!B:B"))</f>
        <v>480.89030000000002</v>
      </c>
      <c r="D19" s="135">
        <f ca="1">SUMIF(INDIRECT("'"&amp;D4&amp;"'"&amp;"!A:A"),结果表!B19,INDIRECT("'"&amp;D4&amp;"'"&amp;"!B:B"))</f>
        <v>429.3236</v>
      </c>
      <c r="E19" s="1761" t="s">
        <v>1292</v>
      </c>
      <c r="F19" s="1762" t="s">
        <v>1291</v>
      </c>
      <c r="G19" s="136">
        <f ca="1">ROUND(C19*$C$18+D19*$D$18,0)</f>
        <v>455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24063</v>
      </c>
      <c r="D20" s="138">
        <f ca="1">SUMIF(INDIRECT("'"&amp;D4&amp;"'"&amp;"!A:A"),结果表!B20,INDIRECT("'"&amp;D4&amp;"'"&amp;"!B:B"))</f>
        <v>21482</v>
      </c>
      <c r="E20" s="1764"/>
      <c r="F20" s="1026" t="s">
        <v>1295</v>
      </c>
      <c r="G20" s="139">
        <f ca="1">ROUND(C20*$C$18+D20*$D$18,0)</f>
        <v>22773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0.12011149631653151</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22773</v>
      </c>
      <c r="D32" s="1775" t="s">
        <v>3407</v>
      </c>
      <c r="E32" s="129"/>
      <c r="F32" s="129"/>
      <c r="G32" s="129"/>
      <c r="H32" s="129"/>
      <c r="I32" s="129"/>
    </row>
    <row r="33" spans="1:15" ht="15">
      <c r="A33" s="786" t="s">
        <v>1306</v>
      </c>
      <c r="B33" s="1776"/>
      <c r="C33" s="1777" t="s">
        <v>3408</v>
      </c>
      <c r="D33" s="1778" t="s">
        <v>3406</v>
      </c>
      <c r="E33" s="1779" t="s">
        <v>1307</v>
      </c>
      <c r="F33" s="1780" t="str">
        <f>IF(D32="楼面单价","取值（单价）","取值（总价）")</f>
        <v>取值（单价）</v>
      </c>
      <c r="G33" s="129"/>
      <c r="H33" s="129"/>
      <c r="I33" s="129"/>
    </row>
    <row r="34" spans="1:15" ht="15">
      <c r="A34" s="1781"/>
      <c r="B34" s="1782" t="s">
        <v>1308</v>
      </c>
      <c r="C34" s="148">
        <f ca="1">IF(C33="自定义",F34,C32-C35)</f>
        <v>19380</v>
      </c>
      <c r="D34" s="861">
        <f ca="1">IF(C33="自定义",ROUND(C34/C32,3),IF(C33="收益比率",SUMIF(INDIRECT("'"&amp;D33&amp;"'"&amp;"!b:b"),"土地收益比率",INDIRECT("'"&amp;D33&amp;"'"&amp;"!c:c")),SUMIF(INDIRECT("'"&amp;D33&amp;"'"&amp;"!b:b"),"土地成本比率",INDIRECT("'"&amp;D33&amp;"'"&amp;"!c:c"))))</f>
        <v>0.85099999999999998</v>
      </c>
      <c r="E34" s="1783" t="s">
        <v>1309</v>
      </c>
      <c r="F34" s="1330"/>
      <c r="G34" s="129"/>
      <c r="H34" s="129"/>
      <c r="I34" s="129"/>
    </row>
    <row r="35" spans="1:15" ht="15.75" thickBot="1">
      <c r="A35" s="1784"/>
      <c r="B35" s="1785" t="s">
        <v>1310</v>
      </c>
      <c r="C35" s="1170">
        <f ca="1">IF(C33="自定义",F35,ROUND(C32*D35,0))</f>
        <v>3393</v>
      </c>
      <c r="D35" s="1171">
        <f ca="1">IF(C33="自定义",ROUND(C35/C32,3),IF(C33="收益比率",SUMIF(INDIRECT("'"&amp;D33&amp;"'"&amp;"!b:b"),"建筑物收益比率",INDIRECT("'"&amp;D33&amp;"'"&amp;"!c:c")),SUMIF(INDIRECT("'"&amp;D33&amp;"'"&amp;"!b:b"),"建筑物成本比率",INDIRECT("'"&amp;D33&amp;"'"&amp;"!c:c"))))</f>
        <v>0.14899999999999999</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455</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45155</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455</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455</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24</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24</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24</v>
      </c>
      <c r="E54" s="327" t="s">
        <v>1359</v>
      </c>
      <c r="F54" s="2554">
        <f>'数据-取费表'!B41</f>
        <v>5.5000000000000007E-2</v>
      </c>
      <c r="G54" s="2555"/>
      <c r="H54" s="2556"/>
      <c r="I54" s="1807"/>
      <c r="J54" s="2523">
        <v>3</v>
      </c>
      <c r="K54" s="3567" t="s">
        <v>1360</v>
      </c>
      <c r="L54" s="3567"/>
      <c r="M54" s="2525">
        <f t="shared" ca="1" si="0"/>
        <v>258</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4</v>
      </c>
      <c r="N55" s="2040" t="str">
        <f>E59</f>
        <v>差额计税</v>
      </c>
      <c r="O55" s="2529">
        <f>F59</f>
        <v>0.01</v>
      </c>
    </row>
    <row r="56" spans="1:35" ht="24.75">
      <c r="A56" s="3627" t="s">
        <v>1363</v>
      </c>
      <c r="B56" s="3605"/>
      <c r="C56" s="3605"/>
      <c r="D56" s="2324">
        <f ca="1">IF(H56="个人住宅",D57,D58)</f>
        <v>258</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262</v>
      </c>
      <c r="O57" s="2533"/>
      <c r="P57" s="2690">
        <f ca="1">N57/M49</f>
        <v>0.57582417582417578</v>
      </c>
    </row>
    <row r="58" spans="1:35" ht="24.75">
      <c r="A58" s="2335" t="s">
        <v>1352</v>
      </c>
      <c r="B58" s="3591" t="s">
        <v>1369</v>
      </c>
      <c r="C58" s="3590"/>
      <c r="D58" s="2324">
        <f ca="1">IF(H58="转让取得",C81,C97)</f>
        <v>258</v>
      </c>
      <c r="E58" s="2334" t="s">
        <v>1364</v>
      </c>
      <c r="F58" s="302" t="s">
        <v>28</v>
      </c>
      <c r="G58" s="2555"/>
      <c r="H58" s="2558"/>
      <c r="I58" s="1808"/>
      <c r="J58" s="3567"/>
      <c r="K58" s="3567"/>
      <c r="L58" s="2530" t="s">
        <v>1370</v>
      </c>
      <c r="M58" s="2534"/>
      <c r="N58" s="2535" t="str">
        <f ca="1">NUMBERSTRING(INT(N57*10000),2)&amp;"元整"</f>
        <v>贰佰陆拾贰万元整</v>
      </c>
      <c r="O58" s="2536"/>
    </row>
    <row r="59" spans="1:35" ht="24.75" thickBot="1">
      <c r="A59" s="3571" t="s">
        <v>1371</v>
      </c>
      <c r="B59" s="3572"/>
      <c r="C59" s="3572"/>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193</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壹佰玖拾叁万元整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9657</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433</v>
      </c>
      <c r="D63" s="167"/>
      <c r="E63" s="168"/>
      <c r="F63" s="1808"/>
      <c r="G63" s="1808"/>
      <c r="H63" s="1810"/>
      <c r="I63" s="129"/>
      <c r="J63" s="3550" t="s">
        <v>1379</v>
      </c>
      <c r="K63" s="1332" t="s">
        <v>1380</v>
      </c>
      <c r="L63" s="1332">
        <f ca="1">IF(M49&gt;10000,M49*0.5%,IF(AND(M49&gt;1000,M49&lt;=10000),M49*1%,IF(AND(M49&gt;100,M49&lt;=1000),M49*3%,IF(AND(M49&gt;10,M49&lt;=100),M49*5%,M49*8%))))</f>
        <v>13.65</v>
      </c>
      <c r="M63" s="302">
        <f ca="1">ROUND(L63,1)</f>
        <v>13.7</v>
      </c>
      <c r="N63" s="2543"/>
      <c r="Z63" s="1752"/>
      <c r="AI63" s="1753"/>
    </row>
    <row r="64" spans="1:35" ht="14.25" customHeight="1">
      <c r="A64" s="169" t="s">
        <v>325</v>
      </c>
      <c r="B64" s="170" t="s">
        <v>1381</v>
      </c>
      <c r="C64" s="2565">
        <f ca="1">D45</f>
        <v>455</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3.64</v>
      </c>
      <c r="M64" s="302">
        <f t="shared" ref="M64:M65" ca="1" si="1">ROUND(L64,1)</f>
        <v>3.6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4.55</v>
      </c>
      <c r="M65" s="302">
        <f t="shared" ca="1" si="1"/>
        <v>4.5999999999999996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2.2749999999999999</v>
      </c>
      <c r="M66" s="302">
        <f ca="1">IF(L66&gt;0.5,0.5,ROUND(L66,0))</f>
        <v>0.5</v>
      </c>
      <c r="N66" s="2544" t="s">
        <v>1388</v>
      </c>
      <c r="Z66" s="1752"/>
      <c r="AI66" s="1753"/>
    </row>
    <row r="67" spans="1:35" ht="14.25" customHeight="1">
      <c r="A67" s="173" t="s">
        <v>328</v>
      </c>
      <c r="B67" s="174" t="s">
        <v>1389</v>
      </c>
      <c r="C67" s="2568">
        <f ca="1">C63-C66</f>
        <v>433</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1.3875000000000002</v>
      </c>
      <c r="M67" s="302">
        <f ca="1">ROUND(L67*0.9,1)</f>
        <v>1.2</v>
      </c>
      <c r="N67" s="2543"/>
      <c r="Z67" s="1752"/>
      <c r="AI67" s="1753"/>
    </row>
    <row r="68" spans="1:35" ht="14.25" customHeight="1" thickBot="1">
      <c r="A68" s="176" t="s">
        <v>329</v>
      </c>
      <c r="B68" s="177" t="s">
        <v>1391</v>
      </c>
      <c r="C68" s="2569">
        <f ca="1">IF(C67&lt;=0,0,ROUND(C67*D68,0))</f>
        <v>24</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13.65</v>
      </c>
      <c r="M68" s="302">
        <f ca="1">ROUND(L68,1)</f>
        <v>13.7</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37</v>
      </c>
      <c r="N69" s="2545">
        <f ca="1">M69/M49</f>
        <v>8.1318681318681321E-2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215.5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431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215.5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455</v>
      </c>
      <c r="I101" s="129"/>
    </row>
    <row r="102" spans="1:35" ht="18.75" customHeight="1">
      <c r="A102" s="3578" t="s">
        <v>1433</v>
      </c>
      <c r="B102" s="2584" t="s">
        <v>1432</v>
      </c>
      <c r="C102" s="2585">
        <f ca="1">IF(D32="楼面单价",ROUND(C19,0),C19)</f>
        <v>481</v>
      </c>
      <c r="D102" s="2586">
        <f ca="1">IF(D32="楼面单价",ROUND(D19,0),D19)</f>
        <v>429</v>
      </c>
      <c r="E102" s="3546"/>
      <c r="F102" s="3547"/>
      <c r="G102" s="1827" t="s">
        <v>1434</v>
      </c>
      <c r="H102" s="2555">
        <f ca="1">I118</f>
        <v>22773</v>
      </c>
      <c r="I102" s="129"/>
    </row>
    <row r="103" spans="1:35" ht="42.75" customHeight="1">
      <c r="A103" s="3578"/>
      <c r="B103" s="2584" t="s">
        <v>1434</v>
      </c>
      <c r="C103" s="2587">
        <f ca="1">C20</f>
        <v>24063</v>
      </c>
      <c r="D103" s="2588">
        <f ca="1">D20</f>
        <v>21482</v>
      </c>
      <c r="E103" s="3539" t="s">
        <v>1435</v>
      </c>
      <c r="F103" s="3540"/>
      <c r="G103" s="1828" t="s">
        <v>1436</v>
      </c>
      <c r="H103" s="2595">
        <f>IF(D36="正常操作",H104+H105+H106,H105+H106)</f>
        <v>0</v>
      </c>
      <c r="I103" s="129"/>
    </row>
    <row r="104" spans="1:35" ht="18.75" customHeight="1">
      <c r="A104" s="3578" t="s">
        <v>1437</v>
      </c>
      <c r="B104" s="2589" t="s">
        <v>1432</v>
      </c>
      <c r="C104" s="2590">
        <f ca="1">H118</f>
        <v>455</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22773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455</v>
      </c>
      <c r="I107" s="129"/>
    </row>
    <row r="108" spans="1:35" ht="18.75" customHeight="1">
      <c r="A108" s="129"/>
      <c r="B108" s="129"/>
      <c r="C108" s="129"/>
      <c r="D108" s="129"/>
      <c r="E108" s="3579"/>
      <c r="F108" s="3547"/>
      <c r="G108" s="1827" t="s">
        <v>1434</v>
      </c>
      <c r="H108" s="2555">
        <f ca="1">IF(H107=H101,H102,ROUND(H107*10000/'数据-汇总表'!E3,0))</f>
        <v>22773</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199.85</v>
      </c>
      <c r="C118" s="2329">
        <f>M19</f>
        <v>0</v>
      </c>
      <c r="D118" s="2329">
        <f ca="1">ROUND(IF(D32="总价",C34,E118*B118/10000),0)</f>
        <v>387</v>
      </c>
      <c r="E118" s="2329">
        <f ca="1">ROUND(IF(C33="自定义",IF(D32="楼面单价",C34,D118*10000/B118),I118-G118),0)</f>
        <v>19380</v>
      </c>
      <c r="F118" s="2329">
        <f ca="1">ROUND(IF(D32="总价",C35,G118*B118/10000),0)</f>
        <v>68</v>
      </c>
      <c r="G118" s="2329">
        <f ca="1">ROUND(IF(D32="楼面单价",C35,F118*10000/B118),0)</f>
        <v>3393</v>
      </c>
      <c r="H118" s="2329">
        <f ca="1">ROUND(IF(D32="总价",C32,I118*B118/10000),0)</f>
        <v>455</v>
      </c>
      <c r="I118" s="2329">
        <f ca="1">ROUND(IF(D32="楼面单价",C32,H118*10000/B118),0)</f>
        <v>22773</v>
      </c>
    </row>
    <row r="119" spans="1:27" ht="18.75" customHeight="1">
      <c r="A119" s="3554" t="s">
        <v>1452</v>
      </c>
      <c r="B119" s="3554"/>
      <c r="C119" s="3554"/>
      <c r="D119" s="3560" t="str">
        <f ca="1">NUMBERSTRING(INT(D118*10000),2)&amp;"元整"</f>
        <v>叁佰捌拾柒万元整</v>
      </c>
      <c r="E119" s="3561"/>
      <c r="F119" s="3560" t="str">
        <f ca="1">NUMBERSTRING(INT(F118*10000),2)&amp;"元整"</f>
        <v>陆拾捌万元整</v>
      </c>
      <c r="G119" s="3561"/>
      <c r="H119" s="3560" t="str">
        <f ca="1">NUMBERSTRING(INT(H118*10000),2)&amp;"元整"</f>
        <v>肆佰伍拾伍万元整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455</v>
      </c>
      <c r="E122" s="3556"/>
      <c r="F122" s="3556"/>
      <c r="G122" s="3556"/>
      <c r="H122" s="3556"/>
      <c r="I122" s="3557"/>
      <c r="AA122" s="725"/>
    </row>
    <row r="123" spans="1:27" ht="18.75" customHeight="1">
      <c r="A123" s="3554" t="s">
        <v>1452</v>
      </c>
      <c r="B123" s="3554"/>
      <c r="C123" s="3554"/>
      <c r="D123" s="3560" t="str">
        <f ca="1">NUMBERSTRING(INT(D122*10000),2)&amp;"元整"</f>
        <v>肆佰伍拾伍万元整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199.85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199.85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199.85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71</v>
      </c>
      <c r="D51" s="232"/>
      <c r="E51" s="232"/>
      <c r="F51" s="264"/>
      <c r="G51" s="234" t="s">
        <v>1560</v>
      </c>
    </row>
    <row r="52" spans="1:7" s="208" customFormat="1" ht="16.5" thickBot="1">
      <c r="A52" s="265" t="s">
        <v>1561</v>
      </c>
      <c r="B52" s="266"/>
      <c r="C52" s="267">
        <f ca="1">C31+C51</f>
        <v>76</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59" sqref="I5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v>205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480.89030000000002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24063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3035446.25</v>
      </c>
      <c r="D5" s="211" t="s">
        <v>1469</v>
      </c>
      <c r="E5" s="212" t="s">
        <v>1470</v>
      </c>
      <c r="F5" s="212" t="s">
        <v>1471</v>
      </c>
      <c r="G5" s="213"/>
    </row>
    <row r="6" spans="1:8" s="214" customFormat="1" ht="13.5" customHeight="1">
      <c r="A6" s="778" t="s">
        <v>1472</v>
      </c>
      <c r="B6" s="215" t="s">
        <v>1473</v>
      </c>
      <c r="C6" s="216">
        <f>基准地价修正!T3*基准地价修正!U3</f>
        <v>2906818.25</v>
      </c>
      <c r="D6" s="217"/>
      <c r="E6" s="218"/>
      <c r="F6" s="218"/>
      <c r="G6" s="219"/>
    </row>
    <row r="7" spans="1:8" s="214" customFormat="1" ht="13.5" customHeight="1">
      <c r="A7" s="778" t="s">
        <v>1474</v>
      </c>
      <c r="B7" s="215" t="s">
        <v>1475</v>
      </c>
      <c r="C7" s="220">
        <f>ROUND(C6*F7,0)</f>
        <v>88658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39970</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39970</v>
      </c>
      <c r="D10" s="845">
        <f ca="1">IF(B1="",'数据-汇总表'!E6,IF(INDIRECT("'数据-取费表'!c"&amp;$G$1)="住宅",INDIRECT("'数据-取费表'!s"&amp;$G$1),INDIRECT("'数据-取费表'!k"&amp;$G$1)+INDIRECT("'数据-取费表'!s"&amp;$G$1)))</f>
        <v>199.85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199.85</v>
      </c>
      <c r="E19" s="211">
        <f>'数据-取费表'!B31</f>
        <v>200</v>
      </c>
      <c r="F19" s="231"/>
      <c r="G19" s="1856" t="s">
        <v>3405</v>
      </c>
    </row>
    <row r="20" spans="1:7" s="214" customFormat="1" ht="13.5" customHeight="1">
      <c r="A20" s="255" t="s">
        <v>1574</v>
      </c>
      <c r="B20" s="210" t="s">
        <v>1575</v>
      </c>
      <c r="C20" s="232">
        <f ca="1">ROUND((C5+C19)*F20,0)</f>
        <v>60709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221497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219342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2155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464423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464423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4093598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666500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599550</v>
      </c>
      <c r="D34" s="217"/>
      <c r="E34" s="220"/>
      <c r="F34" s="257"/>
      <c r="G34" s="219"/>
    </row>
    <row r="35" spans="1:7" ht="13.5" customHeight="1">
      <c r="A35" s="780" t="s">
        <v>351</v>
      </c>
      <c r="B35" s="215" t="s">
        <v>1527</v>
      </c>
      <c r="C35" s="220">
        <f ca="1">ROUND(C34*F35,0)</f>
        <v>17987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39970</v>
      </c>
      <c r="D37" s="217">
        <f ca="1">D19</f>
        <v>199.85</v>
      </c>
      <c r="E37" s="249">
        <f>'数据-取费表'!B35</f>
        <v>200</v>
      </c>
      <c r="F37" s="259"/>
      <c r="G37" s="261"/>
    </row>
    <row r="38" spans="1:7" ht="13.5" customHeight="1">
      <c r="A38" s="780" t="s">
        <v>354</v>
      </c>
      <c r="B38" s="215" t="s">
        <v>1533</v>
      </c>
      <c r="C38" s="220">
        <f ca="1">ROUND(C34*F38,0)</f>
        <v>8993</v>
      </c>
      <c r="D38" s="220"/>
      <c r="E38" s="220"/>
      <c r="F38" s="259">
        <f>'数据-取费表'!B36</f>
        <v>1.4999999999999999E-2</v>
      </c>
      <c r="G38" s="219" t="s">
        <v>1528</v>
      </c>
    </row>
    <row r="39" spans="1:7" s="214" customFormat="1" ht="13.5" customHeight="1">
      <c r="A39" s="255" t="s">
        <v>1534</v>
      </c>
      <c r="B39" s="210" t="s">
        <v>1535</v>
      </c>
      <c r="C39" s="232">
        <f ca="1">ROUND(C33*F20,0)</f>
        <v>13330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24134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23661</v>
      </c>
      <c r="D42" s="238"/>
      <c r="E42" s="238"/>
      <c r="F42" s="239"/>
      <c r="G42" s="3633" t="s">
        <v>1591</v>
      </c>
    </row>
    <row r="43" spans="1:7" ht="13.5" customHeight="1">
      <c r="A43" s="780" t="s">
        <v>347</v>
      </c>
      <c r="B43" s="215" t="s">
        <v>1545</v>
      </c>
      <c r="C43" s="238">
        <f ca="1">ROUND(IF('数据-取费表'!B22&lt;=1,C39*F22*'数据-取费表'!B20/2,C39*(POWER((1+F22),'数据-取费表'!B20/2)-1)),0)</f>
        <v>473</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101975</v>
      </c>
      <c r="D45" s="235">
        <f ca="1">C47</f>
        <v>3.0000000000000001E-3</v>
      </c>
      <c r="E45" s="236" t="s">
        <v>1539</v>
      </c>
      <c r="F45" s="246">
        <f ca="1">F27</f>
        <v>0.15</v>
      </c>
      <c r="G45" s="247" t="s">
        <v>1548</v>
      </c>
    </row>
    <row r="46" spans="1:7" s="214" customFormat="1" ht="13.5" customHeight="1">
      <c r="A46" s="780" t="s">
        <v>346</v>
      </c>
      <c r="B46" s="248" t="s">
        <v>1549</v>
      </c>
      <c r="C46" s="249">
        <f ca="1">ROUND((C33+C39)*F27,0)</f>
        <v>101975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872323</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715305</v>
      </c>
      <c r="D51" s="232"/>
      <c r="E51" s="232"/>
      <c r="F51" s="264"/>
      <c r="G51" s="234" t="s">
        <v>1560</v>
      </c>
    </row>
    <row r="52" spans="1:7" s="208" customFormat="1" ht="16.5" thickBot="1">
      <c r="A52" s="265" t="s">
        <v>1561</v>
      </c>
      <c r="B52" s="266"/>
      <c r="C52" s="267">
        <f ca="1">C31+C51</f>
        <v>4808903</v>
      </c>
      <c r="D52" s="266"/>
      <c r="E52" s="266"/>
      <c r="F52" s="266"/>
      <c r="G52" s="268"/>
    </row>
    <row r="55" spans="1:7" ht="15">
      <c r="B55" s="270" t="s">
        <v>1562</v>
      </c>
      <c r="C55" s="271"/>
    </row>
    <row r="56" spans="1:7">
      <c r="B56" s="273" t="s">
        <v>802</v>
      </c>
      <c r="C56" s="275">
        <f ca="1">1-C57</f>
        <v>0.85099999999999998</v>
      </c>
    </row>
    <row r="57" spans="1:7">
      <c r="B57" s="273" t="s">
        <v>803</v>
      </c>
      <c r="C57" s="274">
        <f ca="1">ROUND(C51/C52,3)</f>
        <v>0.14899999999999999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-250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199.85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199.85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199.85</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A4" sqref="A4:J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199.85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291</v>
      </c>
      <c r="C2" s="1999" t="s">
        <v>1935</v>
      </c>
      <c r="D2" s="2000" t="s">
        <v>1936</v>
      </c>
      <c r="E2" s="3422"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Ⅴ-通2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18454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14561</v>
      </c>
      <c r="C3" s="1999" t="s">
        <v>1941</v>
      </c>
      <c r="D3" s="2000" t="s">
        <v>1942</v>
      </c>
      <c r="E3" s="3420" t="s">
        <v>2443</v>
      </c>
      <c r="F3" s="2004" t="s">
        <v>3390</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14545</v>
      </c>
      <c r="U3" s="1213">
        <f>'数据-基础表'!I13</f>
        <v>199.85</v>
      </c>
      <c r="V3" s="3361">
        <f t="shared" ref="V3:V16" si="1">ROUND(T3*U3/10000,0)</f>
        <v>291</v>
      </c>
      <c r="W3" s="1216"/>
      <c r="X3" s="1216"/>
      <c r="Y3" s="1216"/>
      <c r="Z3" s="1216"/>
      <c r="AA3" s="1216"/>
      <c r="AB3" s="1216"/>
      <c r="AC3" s="1217"/>
      <c r="AD3" s="1218"/>
      <c r="AE3" s="1218"/>
      <c r="AF3" s="1218"/>
      <c r="AG3" s="1218"/>
      <c r="AH3" s="1218"/>
      <c r="AI3" s="1218"/>
      <c r="AJ3" s="1219"/>
    </row>
    <row r="4" spans="1:36" ht="15.75">
      <c r="A4" s="3648"/>
      <c r="B4" s="3649"/>
      <c r="C4" s="3649"/>
      <c r="D4" s="3650"/>
      <c r="E4" s="3650"/>
      <c r="F4" s="3650"/>
      <c r="G4" s="3650"/>
      <c r="H4" s="3650"/>
      <c r="I4" s="3650"/>
      <c r="J4" s="36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12293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13570</v>
      </c>
      <c r="D5" s="1339">
        <f>ROUND(C6*C17+C20,0)</f>
        <v>13570</v>
      </c>
      <c r="E5" s="1339"/>
      <c r="F5" s="2007"/>
      <c r="G5" s="2008"/>
      <c r="H5" s="2008"/>
      <c r="I5" s="2008"/>
      <c r="J5" s="2009"/>
      <c r="K5" s="2010"/>
      <c r="L5" s="2003" t="s">
        <v>1948</v>
      </c>
      <c r="M5" s="864">
        <f>SUMPRODUCT((区片价!B87:B126=I2)*(区片价!C3:G3=E2)*(区片价!C87:G126))</f>
        <v>13590</v>
      </c>
      <c r="N5" s="866">
        <f>SUMPRODUCT((因素修正幅度!B87:B126=I2)*(因素修正幅度!C3:G3=E2)*(因素修正幅度!C87:G126))</f>
        <v>0.1</v>
      </c>
      <c r="O5" s="1119"/>
      <c r="P5" s="1119"/>
      <c r="Q5" s="1119"/>
      <c r="R5" s="1212">
        <v>4</v>
      </c>
      <c r="S5" s="3361">
        <f>ROUND(SUMPRODUCT((B106:B110=R5)*(C105:N105=G2)*(C106:N110)),4)</f>
        <v>0.88239999999999996</v>
      </c>
      <c r="T5" s="3361">
        <f t="shared" si="0"/>
        <v>10842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10419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5" t="s">
        <v>1960</v>
      </c>
      <c r="X8" s="36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2" t="s">
        <v>3260</v>
      </c>
      <c r="B20" s="167" t="s">
        <v>1994</v>
      </c>
      <c r="C20" s="3325">
        <f>ROUND(IF(F21="与级别开发程度一致",0,(G21-E21)/C21),0)</f>
        <v>-20</v>
      </c>
      <c r="D20" s="3341" t="s">
        <v>1998</v>
      </c>
      <c r="E20" s="3342"/>
      <c r="F20" s="3658" t="s">
        <v>1995</v>
      </c>
      <c r="G20" s="3659"/>
      <c r="H20" s="3326" t="s">
        <v>3393</v>
      </c>
      <c r="I20" s="3326" t="s">
        <v>3394</v>
      </c>
      <c r="J20" s="3327" t="s">
        <v>3395</v>
      </c>
      <c r="K20" s="2047" t="s">
        <v>3396</v>
      </c>
      <c r="L20" s="2047" t="s">
        <v>3397</v>
      </c>
      <c r="M20" s="2047" t="s">
        <v>3409</v>
      </c>
      <c r="N20" s="2047"/>
      <c r="O20" s="2048" t="s">
        <v>3398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45155</v>
      </c>
      <c r="H23" s="3343" t="s">
        <v>3261</v>
      </c>
      <c r="I23" s="3344" t="str">
        <f>IF(H23="季度增幅（自定义）",SUMIF(N25:N28,E2,O25:O28),"")</f>
        <v/>
      </c>
      <c r="J23" s="3446" t="s">
        <v>3399</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0.84889999999999999</v>
      </c>
      <c r="D24" s="2060" t="s">
        <v>2007</v>
      </c>
      <c r="E24" s="1335">
        <f>存贷款利率!E23/100</f>
        <v>4.3499999999999997E-2</v>
      </c>
      <c r="F24" s="2060" t="s">
        <v>1999</v>
      </c>
      <c r="G24" s="768">
        <f>SUMIF(M30:Q30,E2,M33:Q33)</f>
        <v>5.5E-2</v>
      </c>
      <c r="H24" s="2060" t="s">
        <v>2008</v>
      </c>
      <c r="I24" s="769">
        <f>SUMIF('数据-取费表'!C6:C15,E2,'数据-取费表'!F6:F15)/COUNTIF('数据-取费表'!C6:C15,E2)</f>
        <v>25.83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3392</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291</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14545</v>
      </c>
      <c r="D33" s="2098">
        <f>'数据-基础表'!I13</f>
        <v>199.85</v>
      </c>
      <c r="E33" s="773">
        <f>ROUND(C33*D33/10000,0)</f>
        <v>291</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6"/>
      <c r="B37" s="2113" t="s">
        <v>2036</v>
      </c>
      <c r="C37" s="175">
        <f>ROUND(D5*C22*C23*C24*C28*F37,0)</f>
        <v>7372</v>
      </c>
      <c r="D37" s="2098"/>
      <c r="E37" s="171">
        <f>ROUND(C37*D37/10000,0)</f>
        <v>0</v>
      </c>
      <c r="F37" s="171">
        <f>SUMIF(修正!A57:A68,G2,修正!B57:B68)</f>
        <v>0.6</v>
      </c>
      <c r="G37" s="171">
        <f>ROUND(IF(E2="工业",C37*$M$42,C37*$M$41),0)</f>
        <v>1843</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7"/>
      <c r="B38" s="2041" t="s">
        <v>2037</v>
      </c>
      <c r="C38" s="175">
        <f>ROUND(D5*C22*C23*C24*C28*F38,0)</f>
        <v>3686</v>
      </c>
      <c r="D38" s="2098"/>
      <c r="E38" s="171">
        <f t="shared" ref="E38:E42" si="4">ROUND(C38*D38/10000,0)</f>
        <v>0</v>
      </c>
      <c r="F38" s="171">
        <f>SUMIF(修正!A57:A68,G2,修正!C57:C68)</f>
        <v>0.3</v>
      </c>
      <c r="G38" s="171">
        <f>ROUND(IF(E2="工业",C38*$M$42,C38*$M$41),0)</f>
        <v>922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7"/>
      <c r="B39" s="2041" t="s">
        <v>3264</v>
      </c>
      <c r="C39" s="175">
        <f>ROUND(D5*C22*C23*C24*C28*F39,0)</f>
        <v>3072</v>
      </c>
      <c r="D39" s="2098"/>
      <c r="E39" s="171">
        <f t="shared" si="4"/>
        <v>0</v>
      </c>
      <c r="F39" s="171">
        <f>SUMIF(修正!A57:A68,G2,修正!D57:D68)</f>
        <v>0.25</v>
      </c>
      <c r="G39" s="171">
        <f>ROUND(IF(E2="工业",C39*$M$42,C39*$M$41),0)</f>
        <v>768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3072</v>
      </c>
      <c r="D40" s="2098"/>
      <c r="E40" s="171">
        <f t="shared" si="4"/>
        <v>0</v>
      </c>
      <c r="F40" s="175">
        <f>SUMIF(修正!A57:A68,G2,修正!E57:E68)</f>
        <v>0.25</v>
      </c>
      <c r="G40" s="171">
        <f>ROUND(IF(E2="工业",C40*$M$42,C40*$M$41),0)</f>
        <v>768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0</v>
      </c>
      <c r="E50" s="744">
        <f>ROUND(SUM(D50:D58),4)</f>
        <v>2.5999999999999999E-2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3401</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0</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0</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4" t="s">
        <v>3299</v>
      </c>
      <c r="B103" s="3654"/>
      <c r="C103" s="3654"/>
      <c r="D103" s="3654"/>
      <c r="E103" s="3654"/>
      <c r="F103" s="3654"/>
      <c r="G103" s="3654"/>
      <c r="H103" s="3654"/>
      <c r="I103" s="3654"/>
      <c r="J103" s="3654"/>
      <c r="K103" s="3390"/>
      <c r="L103" s="3390"/>
      <c r="M103" s="3390"/>
      <c r="N103" s="3390"/>
    </row>
    <row r="104" spans="1:14">
      <c r="A104" s="3655" t="s">
        <v>3300</v>
      </c>
      <c r="B104" s="3655" t="s">
        <v>3301</v>
      </c>
      <c r="C104" s="3391" t="s">
        <v>3302</v>
      </c>
      <c r="D104" s="3392"/>
      <c r="E104" s="3392"/>
      <c r="F104" s="3392"/>
      <c r="G104" s="3392"/>
      <c r="H104" s="3392"/>
      <c r="I104" s="3392"/>
      <c r="J104" s="3393"/>
      <c r="K104" s="3394"/>
      <c r="L104" s="3394"/>
      <c r="M104" s="3394"/>
      <c r="N104" s="3394"/>
    </row>
    <row r="105" spans="1:14">
      <c r="A105" s="3655"/>
      <c r="B105" s="365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2"/>
      <c r="B111" s="3395" t="s">
        <v>3273</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643"/>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644" t="s">
        <v>3316</v>
      </c>
      <c r="B113" s="3644"/>
      <c r="C113" s="3644"/>
      <c r="D113" s="3644"/>
      <c r="E113" s="3644"/>
      <c r="F113" s="3644"/>
      <c r="G113" s="3644"/>
      <c r="H113" s="3644"/>
      <c r="I113" s="3644"/>
      <c r="J113" s="36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0.91400000000000003</v>
      </c>
      <c r="E116" s="2000" t="s">
        <v>3319</v>
      </c>
      <c r="F116" s="3402" t="str">
        <f>E2</f>
        <v>商业</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205</v>
      </c>
      <c r="D1" s="1362" t="s">
        <v>43</v>
      </c>
      <c r="E1" s="1363" t="s">
        <v>678</v>
      </c>
      <c r="F1" s="1062">
        <f ca="1">J53</f>
        <v>25.83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429.3236</v>
      </c>
      <c r="C2" s="1387" t="s">
        <v>879</v>
      </c>
      <c r="D2" s="1471">
        <f ca="1">C40+J29+L46</f>
        <v>4293236</v>
      </c>
      <c r="E2" s="1388" t="s">
        <v>880</v>
      </c>
      <c r="F2" s="1389"/>
      <c r="G2" s="2706"/>
      <c r="H2" s="2695"/>
      <c r="I2" s="2695"/>
      <c r="J2" s="2695"/>
      <c r="K2" s="2696"/>
      <c r="L2" s="2695"/>
      <c r="M2" s="2695"/>
    </row>
    <row r="3" spans="1:37" ht="18" customHeight="1" thickBot="1">
      <c r="A3" s="1390" t="s">
        <v>881</v>
      </c>
      <c r="B3" s="1391">
        <f ca="1">IF(ISERROR(D2/F43),0,ROUND(D2/F43,0))</f>
        <v>21482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322091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321689</v>
      </c>
      <c r="D6" s="155" t="s">
        <v>2106</v>
      </c>
      <c r="E6" s="302" t="s">
        <v>696</v>
      </c>
      <c r="F6" s="303">
        <f ca="1">INDIRECT("'数据-取费表'!u"&amp;$G$1)</f>
        <v>4.9000000000000004</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199.85</v>
      </c>
      <c r="G7" s="1384"/>
      <c r="H7" s="304"/>
      <c r="I7" s="3639"/>
      <c r="J7" s="306"/>
      <c r="K7" s="307"/>
      <c r="L7" s="302" t="s">
        <v>697</v>
      </c>
      <c r="M7" s="303">
        <f ca="1">F7</f>
        <v>199.85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402</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715305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599550</v>
      </c>
      <c r="D14" s="1345" t="s">
        <v>708</v>
      </c>
      <c r="E14" s="1342"/>
      <c r="F14" s="319"/>
      <c r="G14" s="1384"/>
      <c r="H14" s="982" t="s">
        <v>398</v>
      </c>
      <c r="I14" s="302" t="s">
        <v>709</v>
      </c>
      <c r="J14" s="21">
        <f ca="1">C29</f>
        <v>872323</v>
      </c>
      <c r="K14" s="12"/>
      <c r="L14" s="807"/>
      <c r="M14" s="808"/>
    </row>
    <row r="15" spans="1:37" s="1397" customFormat="1" ht="18" customHeight="1" thickBot="1">
      <c r="A15" s="982" t="s">
        <v>399</v>
      </c>
      <c r="B15" s="302" t="s">
        <v>710</v>
      </c>
      <c r="C15" s="21">
        <f ca="1">ROUND(C14*F15,0)</f>
        <v>17987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8723</v>
      </c>
      <c r="K16" s="1087" t="s">
        <v>715</v>
      </c>
      <c r="L16" s="1088"/>
      <c r="M16" s="1072"/>
    </row>
    <row r="17" spans="1:37" s="1397" customFormat="1" ht="18" customHeight="1">
      <c r="A17" s="982" t="s">
        <v>681</v>
      </c>
      <c r="B17" s="302" t="s">
        <v>716</v>
      </c>
      <c r="C17" s="21">
        <f ca="1">ROUND(F17*(F43+INDIRECT("'数据-取费表'!S"&amp;$G$1)),0)</f>
        <v>39970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666500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13330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8723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24134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-8723</v>
      </c>
      <c r="K25" s="1095" t="s">
        <v>753</v>
      </c>
      <c r="L25" s="1096"/>
      <c r="M25" s="1097"/>
    </row>
    <row r="26" spans="1:37" ht="18" customHeight="1">
      <c r="A26" s="982" t="s">
        <v>397</v>
      </c>
      <c r="B26" s="302" t="s">
        <v>754</v>
      </c>
      <c r="C26" s="21">
        <f ca="1">ROUND((C19+C20)*F26,0)</f>
        <v>101975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872323</v>
      </c>
      <c r="D29" s="1092"/>
      <c r="E29" s="1090"/>
      <c r="F29" s="1093"/>
      <c r="G29" s="1396"/>
      <c r="H29" s="334" t="s">
        <v>396</v>
      </c>
      <c r="I29" s="335" t="s">
        <v>768</v>
      </c>
      <c r="J29" s="336">
        <f ca="1">ROUND(J26/(1+F40)^F41,0)</f>
        <v>0</v>
      </c>
      <c r="K29" s="337" t="s">
        <v>769</v>
      </c>
      <c r="L29" s="338"/>
      <c r="M29" s="339">
        <f ca="1">INDIRECT("'数据-取费表'!k"&amp;$G$1)</f>
        <v>199.85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66631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53614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16850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36764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8723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1073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3221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255460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4245439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21243</v>
      </c>
      <c r="D43" s="337" t="s">
        <v>777</v>
      </c>
      <c r="E43" s="338" t="s">
        <v>778</v>
      </c>
      <c r="F43" s="339">
        <f ca="1">INDIRECT("'数据-取费表'!k"&amp;$G$1)</f>
        <v>199.85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-437.88720000000001</v>
      </c>
      <c r="D45" s="3432" t="s">
        <v>3357</v>
      </c>
      <c r="E45" s="1400"/>
      <c r="F45" s="1400"/>
      <c r="O45" s="1403" t="s">
        <v>808</v>
      </c>
      <c r="P45" s="1461"/>
      <c r="Q45" s="1461"/>
      <c r="R45" s="1461"/>
    </row>
    <row r="46" spans="1:18" s="1384" customFormat="1" ht="13.5" thickBot="1">
      <c r="A46" s="1404" t="s">
        <v>809</v>
      </c>
      <c r="C46" s="1405">
        <f ca="1">ROUND(C45,0)</f>
        <v>-438</v>
      </c>
      <c r="D46" s="1406" t="str">
        <f>C2</f>
        <v>万元</v>
      </c>
      <c r="I46" s="1407" t="s">
        <v>810</v>
      </c>
      <c r="J46" s="1408"/>
      <c r="K46" s="1409"/>
      <c r="L46" s="1410">
        <f ca="1">IF(M47="住宅",0,IF(L48&gt;J51,L60,J60))</f>
        <v>47797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4245439</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25.83</v>
      </c>
      <c r="O48" s="1418" t="s">
        <v>404</v>
      </c>
      <c r="P48" s="1419" t="s">
        <v>821</v>
      </c>
      <c r="Q48" s="1420">
        <f ca="1">J60</f>
        <v>47797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872323</v>
      </c>
      <c r="R49" s="1420" t="s">
        <v>818</v>
      </c>
    </row>
    <row r="50" spans="1:18" s="1384" customFormat="1" ht="13.5" thickBot="1">
      <c r="A50" s="976"/>
      <c r="B50" s="979"/>
      <c r="C50" s="980"/>
      <c r="D50" s="953"/>
      <c r="E50" s="1056" t="s">
        <v>697</v>
      </c>
      <c r="F50" s="1057">
        <f ca="1">F7</f>
        <v>199.85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3666668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25.83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25.83</v>
      </c>
      <c r="K53" s="3636" t="s">
        <v>837</v>
      </c>
      <c r="L53" s="3637"/>
      <c r="O53" s="1418" t="s">
        <v>409</v>
      </c>
      <c r="P53" s="1419" t="s">
        <v>838</v>
      </c>
      <c r="Q53" s="1420">
        <f ca="1">Q47+Q48</f>
        <v>4293236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0.38600000000000001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715305</v>
      </c>
      <c r="D56" s="1447"/>
      <c r="E56" s="1448"/>
      <c r="F56" s="1440"/>
      <c r="I56" s="1449" t="s">
        <v>842</v>
      </c>
      <c r="J56" s="1450" t="s">
        <v>3389</v>
      </c>
      <c r="K56" s="1421" t="s">
        <v>843</v>
      </c>
      <c r="L56" s="1424" t="str">
        <f ca="1">IF(L48&lt;J51,"——",L48-J51)</f>
        <v>——</v>
      </c>
      <c r="O56" s="1418" t="s">
        <v>403</v>
      </c>
      <c r="P56" s="1419" t="s">
        <v>817</v>
      </c>
      <c r="Q56" s="1420">
        <f ca="1">C40+J29</f>
        <v>4245439</v>
      </c>
      <c r="R56" s="1420" t="s">
        <v>818</v>
      </c>
    </row>
    <row r="57" spans="1:18" s="1384" customFormat="1" ht="24.75" thickBot="1">
      <c r="A57" s="1451"/>
      <c r="B57" s="950" t="s">
        <v>767</v>
      </c>
      <c r="C57" s="238">
        <f ca="1">C29</f>
        <v>872323</v>
      </c>
      <c r="D57" s="1452"/>
      <c r="E57" s="1453"/>
      <c r="F57" s="1454"/>
      <c r="I57" s="1455" t="s">
        <v>844</v>
      </c>
      <c r="J57" s="1456">
        <f ca="1">IF(OR(M47="住宅",J51&lt;L48,J56="是"),"——",J51-L48)</f>
        <v>23.17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9796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348929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47797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4245439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8723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1073</v>
      </c>
      <c r="D65" s="964" t="s">
        <v>743</v>
      </c>
      <c r="E65" s="950" t="s">
        <v>744</v>
      </c>
      <c r="F65" s="330">
        <f t="shared" ca="1" si="0"/>
        <v>1.5E-3</v>
      </c>
      <c r="I65" s="1462" t="s">
        <v>867</v>
      </c>
      <c r="J65" s="1463">
        <v>40</v>
      </c>
      <c r="K65" s="1463">
        <v>30</v>
      </c>
      <c r="L65" s="1463">
        <v>50</v>
      </c>
      <c r="M65" s="1465">
        <v>0.02</v>
      </c>
      <c r="O65" s="1418" t="s">
        <v>403</v>
      </c>
      <c r="P65" s="1419" t="s">
        <v>868</v>
      </c>
      <c r="Q65" s="1420">
        <f ca="1">C40+J29</f>
        <v>4245439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-9796</v>
      </c>
      <c r="D67" s="963" t="s">
        <v>753</v>
      </c>
      <c r="E67" s="968"/>
      <c r="F67" s="969"/>
      <c r="O67" s="1428" t="s">
        <v>405</v>
      </c>
      <c r="P67" s="1419" t="s">
        <v>850</v>
      </c>
      <c r="Q67" s="1466">
        <f ca="1">L51</f>
        <v>3666668</v>
      </c>
      <c r="R67" s="1420" t="s">
        <v>870</v>
      </c>
    </row>
    <row r="68" spans="1:18" s="1384" customFormat="1" ht="16.5" thickBot="1">
      <c r="A68" s="947" t="s">
        <v>395</v>
      </c>
      <c r="B68" s="948" t="s">
        <v>774</v>
      </c>
      <c r="C68" s="301">
        <f ca="1">ROUND(C67*(1-((1+F70)/(1+F68))^F69)/(F68-F70),0)</f>
        <v>-133433</v>
      </c>
      <c r="D68" s="965" t="s">
        <v>758</v>
      </c>
      <c r="E68" s="950" t="s">
        <v>759</v>
      </c>
      <c r="F68" s="312">
        <f ca="1">F40</f>
        <v>5.5E-2</v>
      </c>
      <c r="O68" s="1428" t="s">
        <v>406</v>
      </c>
      <c r="P68" s="1467" t="s">
        <v>871</v>
      </c>
      <c r="Q68" s="1420">
        <f ca="1">ROUND(Q69-Q70*Q71,0)</f>
        <v>201812</v>
      </c>
      <c r="R68" s="1420" t="s">
        <v>414</v>
      </c>
    </row>
    <row r="69" spans="1:18" s="1384" customFormat="1" ht="13.5" thickBot="1">
      <c r="A69" s="951"/>
      <c r="B69" s="952"/>
      <c r="C69" s="306"/>
      <c r="D69" s="970" t="s">
        <v>762</v>
      </c>
      <c r="E69" s="950" t="s">
        <v>763</v>
      </c>
      <c r="F69" s="333">
        <f ca="1">F41</f>
        <v>25.83</v>
      </c>
      <c r="O69" s="1428" t="s">
        <v>411</v>
      </c>
      <c r="P69" s="1467" t="s">
        <v>872</v>
      </c>
      <c r="Q69" s="1420">
        <f ca="1">C39</f>
        <v>255460</v>
      </c>
      <c r="R69" s="1420" t="s">
        <v>818</v>
      </c>
    </row>
    <row r="70" spans="1:18" s="1384" customFormat="1" ht="13.5" thickBot="1">
      <c r="A70" s="954"/>
      <c r="B70" s="955"/>
      <c r="C70" s="310"/>
      <c r="D70" s="966"/>
      <c r="E70" s="950" t="s">
        <v>766</v>
      </c>
      <c r="F70" s="1054"/>
      <c r="O70" s="1428" t="s">
        <v>412</v>
      </c>
      <c r="P70" s="1467" t="s">
        <v>873</v>
      </c>
      <c r="Q70" s="1420">
        <f ca="1">C13</f>
        <v>715305</v>
      </c>
      <c r="R70" s="1420" t="s">
        <v>818</v>
      </c>
    </row>
    <row r="71" spans="1:18" s="1384" customFormat="1" ht="13.5" thickBot="1">
      <c r="A71" s="971" t="s">
        <v>396</v>
      </c>
      <c r="B71" s="972" t="s">
        <v>776</v>
      </c>
      <c r="C71" s="336">
        <f ca="1">ROUND(C68/F71,0)</f>
        <v>-668</v>
      </c>
      <c r="D71" s="973" t="s">
        <v>777</v>
      </c>
      <c r="E71" s="974" t="s">
        <v>778</v>
      </c>
      <c r="F71" s="339">
        <f ca="1">F43</f>
        <v>199.85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53648</v>
      </c>
      <c r="D75" s="1384"/>
      <c r="E75" s="1384"/>
      <c r="F75" s="1384"/>
      <c r="K75" s="1402"/>
      <c r="L75" s="1384"/>
      <c r="O75" s="1418" t="s">
        <v>409</v>
      </c>
      <c r="P75" s="1419" t="s">
        <v>838</v>
      </c>
      <c r="Q75" s="1420">
        <f ca="1">Q65+Q66</f>
        <v>4245439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v>
      </c>
    </row>
    <row r="80" spans="1:18">
      <c r="B80" s="340" t="s">
        <v>800</v>
      </c>
      <c r="C80" s="274">
        <f ca="1">ROUND(C75/C39,3)</f>
        <v>0.21</v>
      </c>
    </row>
    <row r="81" spans="2:3">
      <c r="B81" s="270" t="s">
        <v>801</v>
      </c>
      <c r="C81" s="238"/>
    </row>
    <row r="82" spans="2:3">
      <c r="B82" s="273" t="s">
        <v>802</v>
      </c>
      <c r="C82" s="275">
        <f ca="1">1-C83</f>
        <v>0.83199999999999996</v>
      </c>
    </row>
    <row r="83" spans="2:3">
      <c r="B83" s="273" t="s">
        <v>803</v>
      </c>
      <c r="C83" s="274">
        <f ca="1">ROUND(C13/C40,3)</f>
        <v>0.16800000000000001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0" t="s">
        <v>2321</v>
      </c>
      <c r="K2" s="366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2" t="s">
        <v>2331</v>
      </c>
      <c r="K3" s="366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2" t="s">
        <v>2333</v>
      </c>
      <c r="K4" s="366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4" t="s">
        <v>2337</v>
      </c>
      <c r="B6" s="3665"/>
      <c r="C6" s="3666"/>
      <c r="D6" s="2870"/>
      <c r="E6" s="2871"/>
      <c r="F6" s="2872"/>
      <c r="G6" s="2873"/>
      <c r="H6" s="2848"/>
      <c r="I6" s="2849"/>
      <c r="J6" s="3667">
        <v>1</v>
      </c>
      <c r="K6" s="366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7"/>
      <c r="K7" s="366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1" t="s">
        <v>2351</v>
      </c>
      <c r="C8" s="3672"/>
      <c r="D8" s="2889" t="s">
        <v>2352</v>
      </c>
      <c r="E8" s="2890" t="s">
        <v>2353</v>
      </c>
      <c r="F8" s="2891" t="s">
        <v>2354</v>
      </c>
      <c r="G8" s="2892"/>
      <c r="H8" s="2848"/>
      <c r="I8" s="2849"/>
      <c r="J8" s="3667"/>
      <c r="K8" s="366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1" t="s">
        <v>2357</v>
      </c>
      <c r="C9" s="3672"/>
      <c r="D9" s="2889">
        <f>ROUND(D6*E9,0)</f>
        <v>0</v>
      </c>
      <c r="E9" s="2893"/>
      <c r="F9" s="2894" t="s">
        <v>2358</v>
      </c>
      <c r="G9" s="2873"/>
      <c r="H9" s="2848"/>
      <c r="I9" s="2849"/>
      <c r="J9" s="3667"/>
      <c r="K9" s="3669"/>
      <c r="L9" s="2883" t="s">
        <v>2359</v>
      </c>
      <c r="M9" s="2884"/>
      <c r="N9" s="2860"/>
      <c r="O9" s="2885"/>
      <c r="P9" s="2885"/>
      <c r="Q9" s="2886">
        <v>365</v>
      </c>
      <c r="R9" s="2887">
        <f t="shared" si="0"/>
        <v>0</v>
      </c>
      <c r="S9" s="2841"/>
      <c r="T9" s="2841"/>
      <c r="U9" s="2841"/>
      <c r="V9" s="2849"/>
    </row>
    <row r="10" spans="1:22" s="2853" customFormat="1" ht="13.15" customHeight="1">
      <c r="A10" s="2888">
        <v>2</v>
      </c>
      <c r="B10" s="3671" t="s">
        <v>2360</v>
      </c>
      <c r="C10" s="3672"/>
      <c r="D10" s="2889">
        <f>ROUND(D6*E10,0)</f>
        <v>0</v>
      </c>
      <c r="E10" s="2893"/>
      <c r="F10" s="2894" t="s">
        <v>2361</v>
      </c>
      <c r="G10" s="2873"/>
      <c r="H10" s="2848"/>
      <c r="I10" s="2849"/>
      <c r="J10" s="3667"/>
      <c r="K10" s="3669"/>
      <c r="L10" s="2883" t="s">
        <v>2362</v>
      </c>
      <c r="M10" s="2884"/>
      <c r="N10" s="2860"/>
      <c r="O10" s="2885"/>
      <c r="P10" s="2885"/>
      <c r="Q10" s="2886">
        <v>365</v>
      </c>
      <c r="R10" s="2887">
        <f t="shared" si="0"/>
        <v>0</v>
      </c>
      <c r="S10" s="2841"/>
      <c r="T10" s="2841"/>
      <c r="U10" s="2841"/>
      <c r="V10" s="2849"/>
    </row>
    <row r="11" spans="1:22" s="2853" customFormat="1" ht="13.15" customHeight="1">
      <c r="A11" s="2888">
        <v>3</v>
      </c>
      <c r="B11" s="3671" t="s">
        <v>2363</v>
      </c>
      <c r="C11" s="3672"/>
      <c r="D11" s="2889">
        <f>D12+D14+D15+D16</f>
        <v>0</v>
      </c>
      <c r="E11" s="2895" t="e">
        <f>D11/D6</f>
        <v>#DIV/0!</v>
      </c>
      <c r="F11" s="2891"/>
      <c r="G11" s="2892"/>
      <c r="H11" s="2848"/>
      <c r="I11" s="2849"/>
      <c r="J11" s="3667"/>
      <c r="K11" s="366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3" t="s">
        <v>2366</v>
      </c>
      <c r="C12" s="3674"/>
      <c r="D12" s="2897">
        <f>ROUND(D13*1.2%*(1-30%),0)</f>
        <v>0</v>
      </c>
      <c r="E12" s="2898">
        <v>1.2E-2</v>
      </c>
      <c r="F12" s="2891" t="s">
        <v>2367</v>
      </c>
      <c r="G12" s="2892"/>
      <c r="H12" s="2848"/>
      <c r="I12" s="2849"/>
      <c r="J12" s="3667"/>
      <c r="K12" s="366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7"/>
      <c r="K13" s="366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3" t="s">
        <v>2372</v>
      </c>
      <c r="C14" s="3674"/>
      <c r="D14" s="2897">
        <f>ROUND(E14*B5/10000,0)</f>
        <v>0</v>
      </c>
      <c r="E14" s="2886"/>
      <c r="F14" s="2891" t="s">
        <v>2373</v>
      </c>
      <c r="G14" s="2892"/>
      <c r="H14" s="2848"/>
      <c r="I14" s="2849"/>
      <c r="J14" s="3667"/>
      <c r="K14" s="367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3" t="s">
        <v>2376</v>
      </c>
      <c r="C15" s="3674"/>
      <c r="D15" s="2897">
        <f>ROUND(D6*E15,0)</f>
        <v>0</v>
      </c>
      <c r="E15" s="2898">
        <v>5.5E-2</v>
      </c>
      <c r="F15" s="2891" t="s">
        <v>2377</v>
      </c>
      <c r="G15" s="2873"/>
      <c r="H15" s="2848"/>
      <c r="I15" s="2849"/>
      <c r="J15" s="3667">
        <v>2</v>
      </c>
      <c r="K15" s="366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3" t="s">
        <v>2385</v>
      </c>
      <c r="C16" s="3674"/>
      <c r="D16" s="2908">
        <f>D6*E16</f>
        <v>0</v>
      </c>
      <c r="E16" s="2909"/>
      <c r="F16" s="2894" t="s">
        <v>2386</v>
      </c>
      <c r="G16" s="2873"/>
      <c r="H16" s="2848"/>
      <c r="I16" s="2849"/>
      <c r="J16" s="3667"/>
      <c r="K16" s="366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5" t="s">
        <v>2388</v>
      </c>
      <c r="C17" s="3676"/>
      <c r="D17" s="2911">
        <f>ROUND(D6*E17,0)</f>
        <v>0</v>
      </c>
      <c r="E17" s="2912"/>
      <c r="F17" s="2913" t="s">
        <v>2389</v>
      </c>
      <c r="G17" s="2873"/>
      <c r="H17" s="2848"/>
      <c r="I17" s="2849"/>
      <c r="J17" s="3667"/>
      <c r="K17" s="366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7"/>
      <c r="K18" s="366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7"/>
      <c r="K19" s="367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7"/>
      <c r="K21" s="366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7"/>
      <c r="K22" s="366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7"/>
      <c r="K23" s="366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7"/>
      <c r="K24" s="367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0" t="s">
        <v>2321</v>
      </c>
      <c r="K32" s="366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2" t="s">
        <v>2331</v>
      </c>
      <c r="K33" s="366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2" t="s">
        <v>2333</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7">
        <v>1</v>
      </c>
      <c r="K36" s="366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7"/>
      <c r="K40" s="367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429.3236</v>
      </c>
      <c r="C2" s="1872" t="s">
        <v>1651</v>
      </c>
      <c r="D2" s="1873" t="s">
        <v>1652</v>
      </c>
      <c r="E2" s="2607">
        <f>SUM(E6:E13)</f>
        <v>199.85</v>
      </c>
      <c r="F2" s="2707"/>
      <c r="G2" s="1489"/>
      <c r="H2" s="1489"/>
      <c r="I2" s="1489"/>
      <c r="J2" s="1489"/>
      <c r="K2" s="1489"/>
      <c r="L2" s="1489"/>
      <c r="M2" s="1489"/>
      <c r="N2" s="1489"/>
      <c r="O2" s="1489"/>
      <c r="P2" s="1489"/>
      <c r="Q2" s="1489"/>
      <c r="R2" s="1489"/>
      <c r="S2" s="1489"/>
    </row>
    <row r="3" spans="1:22" ht="15.75">
      <c r="A3" s="1870" t="s">
        <v>686</v>
      </c>
      <c r="B3" s="2601">
        <f ca="1">ROUND(B2*10000/E2,0)</f>
        <v>21482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429.3236</v>
      </c>
      <c r="C6" s="1872" t="s">
        <v>1651</v>
      </c>
      <c r="D6" s="2709"/>
      <c r="E6" s="2606">
        <f>IF(OR(A6=0,F6="否"),0,'数据-取费表'!K6+'数据-取费表'!S6)</f>
        <v>199.85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199.85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45155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199.85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75" thickBot="1">
      <c r="A7" s="362" t="s">
        <v>1679</v>
      </c>
      <c r="B7" s="363"/>
      <c r="C7" s="364">
        <f>'数据-取费表'!B2</f>
        <v>45155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8"/>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5"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199.85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2" t="s">
        <v>1673</v>
      </c>
      <c r="D5" s="3693"/>
      <c r="E5" s="3690" t="s">
        <v>1674</v>
      </c>
      <c r="F5" s="3691"/>
      <c r="G5" s="3692" t="s">
        <v>1675</v>
      </c>
      <c r="H5" s="3693"/>
      <c r="I5" s="3692" t="s">
        <v>1676</v>
      </c>
      <c r="J5" s="3693"/>
      <c r="K5" s="559"/>
      <c r="L5" s="2715"/>
      <c r="M5" s="2716"/>
      <c r="N5" s="2716"/>
      <c r="O5" s="2716"/>
      <c r="P5" s="3735"/>
      <c r="Q5" s="3706"/>
      <c r="R5" s="3688"/>
      <c r="S5" s="3689"/>
      <c r="T5" s="3688"/>
      <c r="U5" s="3689"/>
      <c r="V5" s="3711"/>
      <c r="W5" s="3711"/>
      <c r="X5" s="1355"/>
      <c r="Y5" s="3688"/>
      <c r="Z5" s="3689"/>
      <c r="AA5" s="3682"/>
      <c r="AB5" s="3682"/>
      <c r="AC5" s="3731"/>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36"/>
      <c r="Q6" s="3708"/>
      <c r="R6" s="3688"/>
      <c r="S6" s="3689"/>
      <c r="T6" s="3709"/>
      <c r="U6" s="3710"/>
      <c r="V6" s="3711"/>
      <c r="W6" s="3711"/>
      <c r="X6" s="1355"/>
      <c r="Y6" s="3709"/>
      <c r="Z6" s="3710"/>
      <c r="AA6" s="3683"/>
      <c r="AB6" s="3683"/>
      <c r="AC6" s="3732"/>
    </row>
    <row r="7" spans="1:29" s="108" customFormat="1" ht="15.75" thickBot="1">
      <c r="A7" s="362" t="s">
        <v>1679</v>
      </c>
      <c r="B7" s="363"/>
      <c r="C7" s="364">
        <f>'数据-取费表'!B2</f>
        <v>45155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估价对象为北京市房地产，为所有。根据《国有土地使用证》[]，估价对象（分摊）出让国有建设用地使用权面积为0平方米，建筑面积为199.85平方米。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估价对象为北京市房地产,属开发建设的，该项目尚在开发建设中。根据《国有土地使用证》[]，估价对象（分摊）出让国有建设用地使用权面积为0平方米，规划建筑面积为199.85平方米。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199.85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45155</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45155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45155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75" thickBot="1">
      <c r="A7" s="362" t="s">
        <v>1679</v>
      </c>
      <c r="B7" s="363"/>
      <c r="C7" s="364">
        <f>'数据-取费表'!B2</f>
        <v>45155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16"/>
      <c r="Q10" s="1343" t="str">
        <f t="shared" si="6"/>
        <v>土地使用年限（年）</v>
      </c>
      <c r="R10" s="701" t="s">
        <v>14</v>
      </c>
      <c r="S10" s="702">
        <f t="shared" si="0"/>
        <v>120</v>
      </c>
      <c r="T10" s="701" t="s">
        <v>14</v>
      </c>
      <c r="U10" s="702">
        <f t="shared" si="1"/>
        <v>120</v>
      </c>
      <c r="V10" s="701" t="s">
        <v>14</v>
      </c>
      <c r="W10" s="702">
        <f t="shared" si="2"/>
        <v>120</v>
      </c>
      <c r="X10" s="703"/>
      <c r="Y10" s="3609"/>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199.85</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199.85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45155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16"/>
      <c r="Q10" s="1343" t="str">
        <f t="shared" si="6"/>
        <v>土地使用年限（年）</v>
      </c>
      <c r="R10" s="701" t="s">
        <v>14</v>
      </c>
      <c r="S10" s="702">
        <f t="shared" si="0"/>
        <v>120</v>
      </c>
      <c r="T10" s="701" t="s">
        <v>14</v>
      </c>
      <c r="U10" s="702">
        <f t="shared" si="1"/>
        <v>120</v>
      </c>
      <c r="V10" s="701" t="s">
        <v>14</v>
      </c>
      <c r="W10" s="702">
        <f t="shared" si="2"/>
        <v>120</v>
      </c>
      <c r="X10" s="703"/>
      <c r="Y10" s="3609"/>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199.85</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291</v>
      </c>
      <c r="C2" s="2145" t="s">
        <v>2074</v>
      </c>
      <c r="D2" s="2145" t="s">
        <v>2075</v>
      </c>
      <c r="E2" s="2612">
        <f ca="1">SUMIF(E6:E13,"&lt;&gt;#ref!",E6:E13)</f>
        <v>199.85</v>
      </c>
      <c r="F2" s="2793"/>
      <c r="G2" s="2793"/>
      <c r="H2" s="2793"/>
      <c r="I2" s="2793"/>
      <c r="J2" s="2793"/>
      <c r="K2" s="2793"/>
      <c r="L2" s="2793"/>
      <c r="M2" s="2793"/>
      <c r="N2" s="2793"/>
      <c r="O2" s="2793"/>
      <c r="P2" s="2793"/>
    </row>
    <row r="3" spans="1:16" ht="15.75">
      <c r="A3" s="2145" t="s">
        <v>2076</v>
      </c>
      <c r="B3" s="2602">
        <f ca="1">ROUND(B2*10000/E2,0)</f>
        <v>14561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291</v>
      </c>
      <c r="C6" s="2145" t="s">
        <v>2074</v>
      </c>
      <c r="D6" s="2793"/>
      <c r="E6" s="2612">
        <f ca="1">SUMIF(INDIRECT("'"&amp;A6&amp;"'"&amp;"!C:C"),"建筑面积",INDIRECT("'"&amp;A6&amp;"'"&amp;"!D:D"))</f>
        <v>199.85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1394546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199.85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199.85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199.85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10</v>
      </c>
      <c r="D45" s="235">
        <f>C47</f>
        <v>3.0000000000000001E-3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87</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71</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455</v>
      </c>
      <c r="E5" s="1491"/>
    </row>
    <row r="6" spans="1:5" ht="15.75">
      <c r="A6" s="1491"/>
      <c r="B6" s="3452"/>
      <c r="C6" s="1494" t="s">
        <v>911</v>
      </c>
      <c r="D6" s="850" t="str">
        <f ca="1">NUMBERSTRING(INT(D5*10000),2)&amp;"元整"</f>
        <v>肆佰伍拾伍万元整</v>
      </c>
      <c r="E6" s="1491"/>
    </row>
    <row r="7" spans="1:5" ht="15.75">
      <c r="A7" s="1491"/>
      <c r="B7" s="3457"/>
      <c r="C7" s="1495" t="s">
        <v>912</v>
      </c>
      <c r="D7" s="851">
        <f ca="1">结果表!H102</f>
        <v>22773</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455</v>
      </c>
      <c r="E13" s="1491"/>
    </row>
    <row r="14" spans="1:5" ht="15.75">
      <c r="A14" s="1491"/>
      <c r="B14" s="3452"/>
      <c r="C14" s="1494" t="s">
        <v>911</v>
      </c>
      <c r="D14" s="850" t="str">
        <f ca="1">NUMBERSTRING(INT(D13*10000),2)&amp;"元整"</f>
        <v>肆佰伍拾伍万元整</v>
      </c>
      <c r="E14" s="1491"/>
    </row>
    <row r="15" spans="1:5" ht="15">
      <c r="A15" s="1491"/>
      <c r="B15" s="3457"/>
      <c r="C15" s="1495" t="s">
        <v>921</v>
      </c>
      <c r="D15" s="859">
        <f ca="1">结果表!H108</f>
        <v>22773</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45155</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45155</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199.85</v>
      </c>
      <c r="C4" s="854">
        <f>项目基本情况!C18</f>
        <v>0</v>
      </c>
      <c r="D4" s="854">
        <f ca="1">结果表!D118</f>
        <v>387</v>
      </c>
      <c r="E4" s="854">
        <f ca="1">结果表!E118</f>
        <v>19380</v>
      </c>
      <c r="F4" s="854">
        <f ca="1">结果表!F118</f>
        <v>68</v>
      </c>
      <c r="G4" s="854">
        <f ca="1">结果表!G118</f>
        <v>3393</v>
      </c>
      <c r="H4" s="854">
        <f ca="1">结果表!H118</f>
        <v>455</v>
      </c>
      <c r="I4" s="854">
        <f ca="1">结果表!I118</f>
        <v>22773</v>
      </c>
    </row>
    <row r="5" spans="1:9" ht="30" customHeight="1">
      <c r="A5" s="3463" t="s">
        <v>927</v>
      </c>
      <c r="B5" s="3463"/>
      <c r="C5" s="3463"/>
      <c r="D5" s="3463" t="str">
        <f ca="1">结果表!D119</f>
        <v>叁佰捌拾柒万元整</v>
      </c>
      <c r="E5" s="3463"/>
      <c r="F5" s="3463" t="str">
        <f ca="1">结果表!F119</f>
        <v>陆拾捌万元整</v>
      </c>
      <c r="G5" s="3463"/>
      <c r="H5" s="3463" t="str">
        <f ca="1">结果表!H119</f>
        <v>肆佰伍拾伍万元整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455</v>
      </c>
      <c r="E8" s="3464"/>
      <c r="F8" s="3464"/>
      <c r="G8" s="3464"/>
      <c r="H8" s="3464"/>
      <c r="I8" s="3464"/>
    </row>
    <row r="9" spans="1:9" ht="15">
      <c r="A9" s="3463" t="s">
        <v>927</v>
      </c>
      <c r="B9" s="3463"/>
      <c r="C9" s="3463"/>
      <c r="D9" s="3463" t="str">
        <f ca="1">结果表!D123</f>
        <v>肆佰伍拾伍万元整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2023-08-17T08:15:38Z</dcterms:modified>
</cp:coreProperties>
</file>