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55" yWindow="75" windowWidth="12975" windowHeight="122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比较法-租金" sheetId="83"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83" l="1"/>
  <c r="G47" i="83"/>
  <c r="E47" i="83"/>
  <c r="E66" i="83"/>
  <c r="D66" i="83"/>
  <c r="B130" i="83"/>
  <c r="B128" i="83"/>
  <c r="B126" i="83"/>
  <c r="G125" i="83"/>
  <c r="D125" i="83"/>
  <c r="E125" i="83" s="1"/>
  <c r="F125" i="83" s="1"/>
  <c r="E123" i="83"/>
  <c r="F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D113" i="83"/>
  <c r="E113" i="83" s="1"/>
  <c r="E111" i="83"/>
  <c r="F111" i="83" s="1"/>
  <c r="G111" i="83" s="1"/>
  <c r="H111" i="83" s="1"/>
  <c r="I111" i="83" s="1"/>
  <c r="J111" i="83" s="1"/>
  <c r="K111" i="83" s="1"/>
  <c r="L111" i="83" s="1"/>
  <c r="M111" i="83" s="1"/>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O95" i="83"/>
  <c r="Q90" i="83" s="1"/>
  <c r="B94" i="83"/>
  <c r="O92" i="83"/>
  <c r="P90" i="83" s="1"/>
  <c r="B92" i="83"/>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E85" i="83"/>
  <c r="F85" i="83" s="1"/>
  <c r="G85" i="83" s="1"/>
  <c r="D85" i="83"/>
  <c r="G83" i="83"/>
  <c r="E83" i="83"/>
  <c r="F83" i="83" s="1"/>
  <c r="D83" i="83"/>
  <c r="E81" i="83"/>
  <c r="F81" i="83" s="1"/>
  <c r="G81" i="83" s="1"/>
  <c r="D81" i="83"/>
  <c r="G79" i="83"/>
  <c r="E79" i="83"/>
  <c r="F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Z46" i="83"/>
  <c r="Q46" i="83"/>
  <c r="J46" i="83"/>
  <c r="AC46" i="83" s="1"/>
  <c r="H46" i="83"/>
  <c r="AB46" i="83" s="1"/>
  <c r="F46" i="83"/>
  <c r="AA46" i="83" s="1"/>
  <c r="Q45" i="83"/>
  <c r="Z45" i="83" s="1"/>
  <c r="J45" i="83"/>
  <c r="AC45" i="83" s="1"/>
  <c r="H45" i="83"/>
  <c r="AB45" i="83" s="1"/>
  <c r="F45" i="83"/>
  <c r="AA45" i="83" s="1"/>
  <c r="U44" i="83"/>
  <c r="Q44" i="83"/>
  <c r="Z44" i="83" s="1"/>
  <c r="J44" i="83"/>
  <c r="AC44" i="83" s="1"/>
  <c r="H44" i="83"/>
  <c r="AB44" i="83" s="1"/>
  <c r="F44" i="83"/>
  <c r="AA44" i="83" s="1"/>
  <c r="Q43" i="83"/>
  <c r="Z43" i="83" s="1"/>
  <c r="J43" i="83"/>
  <c r="AC43" i="83" s="1"/>
  <c r="H43" i="83"/>
  <c r="AB43" i="83" s="1"/>
  <c r="F43" i="83"/>
  <c r="AA43" i="83" s="1"/>
  <c r="Q42" i="83"/>
  <c r="Z42" i="83" s="1"/>
  <c r="Q41" i="83"/>
  <c r="Z41" i="83" s="1"/>
  <c r="J41" i="83"/>
  <c r="AC41" i="83" s="1"/>
  <c r="H41" i="83"/>
  <c r="AB41" i="83" s="1"/>
  <c r="F41" i="83"/>
  <c r="AA41" i="83" s="1"/>
  <c r="U40"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AC37" i="83"/>
  <c r="Q37" i="83"/>
  <c r="Z37" i="83" s="1"/>
  <c r="J37" i="83"/>
  <c r="W37" i="83" s="1"/>
  <c r="Q36" i="83"/>
  <c r="Z36" i="83" s="1"/>
  <c r="C36" i="83"/>
  <c r="Q35" i="83"/>
  <c r="Z35" i="83" s="1"/>
  <c r="J35" i="83"/>
  <c r="AC35" i="83" s="1"/>
  <c r="H35" i="83"/>
  <c r="AB35" i="83" s="1"/>
  <c r="F35" i="83"/>
  <c r="AA35" i="83" s="1"/>
  <c r="AC34" i="83"/>
  <c r="W34" i="83"/>
  <c r="Q34" i="83"/>
  <c r="Z34" i="83" s="1"/>
  <c r="J34" i="83"/>
  <c r="H34" i="83"/>
  <c r="AB34" i="83" s="1"/>
  <c r="F34" i="83"/>
  <c r="AA34" i="83" s="1"/>
  <c r="Q33" i="83"/>
  <c r="Z33" i="83" s="1"/>
  <c r="C33" i="83"/>
  <c r="AB32" i="83"/>
  <c r="U32" i="83"/>
  <c r="Q32" i="83"/>
  <c r="Z32" i="83" s="1"/>
  <c r="H32" i="83"/>
  <c r="Q31" i="83"/>
  <c r="Z31" i="83" s="1"/>
  <c r="J31" i="83"/>
  <c r="AC31" i="83" s="1"/>
  <c r="H31" i="83"/>
  <c r="AB31" i="83" s="1"/>
  <c r="F31" i="83"/>
  <c r="AA31" i="83" s="1"/>
  <c r="Z30" i="83"/>
  <c r="Q30" i="83"/>
  <c r="J30" i="83"/>
  <c r="AC30" i="83" s="1"/>
  <c r="H30" i="83"/>
  <c r="AB30" i="83" s="1"/>
  <c r="F30" i="83"/>
  <c r="AA30" i="83" s="1"/>
  <c r="Q29" i="83"/>
  <c r="Z29" i="83" s="1"/>
  <c r="J29" i="83"/>
  <c r="AC29" i="83" s="1"/>
  <c r="Q28" i="83"/>
  <c r="Z28" i="83" s="1"/>
  <c r="J28" i="83"/>
  <c r="AC28" i="83" s="1"/>
  <c r="H28" i="83"/>
  <c r="AB28" i="83" s="1"/>
  <c r="F28" i="83"/>
  <c r="AA28" i="83" s="1"/>
  <c r="Q27" i="83"/>
  <c r="Z27" i="83" s="1"/>
  <c r="Z26" i="83"/>
  <c r="W26" i="83"/>
  <c r="Q26" i="83"/>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C7" i="83"/>
  <c r="C58" i="83" s="1"/>
  <c r="D58" i="83" s="1"/>
  <c r="E58" i="83" s="1"/>
  <c r="F58" i="83" s="1"/>
  <c r="G58" i="83" s="1"/>
  <c r="H58" i="83" s="1"/>
  <c r="I58" i="83" s="1"/>
  <c r="J58" i="83" s="1"/>
  <c r="K58" i="83" s="1"/>
  <c r="L58" i="83" s="1"/>
  <c r="M58" i="83" s="1"/>
  <c r="N58" i="83" s="1"/>
  <c r="O58" i="83" s="1"/>
  <c r="D3" i="83"/>
  <c r="E104" i="33"/>
  <c r="F104" i="33" s="1"/>
  <c r="G104" i="33" s="1"/>
  <c r="H104" i="33" s="1"/>
  <c r="D104" i="33"/>
  <c r="I36" i="33"/>
  <c r="E36" i="33"/>
  <c r="O20" i="1"/>
  <c r="O95" i="33"/>
  <c r="Q90" i="33" s="1"/>
  <c r="D2" i="83"/>
  <c r="AA8" i="83" l="1"/>
  <c r="U28" i="83"/>
  <c r="C93" i="83"/>
  <c r="F27" i="83"/>
  <c r="R47" i="83"/>
  <c r="H104" i="83"/>
  <c r="H33" i="83"/>
  <c r="U9" i="83"/>
  <c r="S12" i="83"/>
  <c r="U13" i="83"/>
  <c r="AC14" i="83"/>
  <c r="W10" i="83"/>
  <c r="W15" i="83"/>
  <c r="W17" i="83"/>
  <c r="W19" i="83"/>
  <c r="W21" i="83"/>
  <c r="W23" i="83"/>
  <c r="J42" i="83"/>
  <c r="G123" i="83"/>
  <c r="H123" i="83" s="1"/>
  <c r="I123" i="83" s="1"/>
  <c r="J123" i="83" s="1"/>
  <c r="K123" i="83" s="1"/>
  <c r="L123" i="83" s="1"/>
  <c r="M123" i="83" s="1"/>
  <c r="H42" i="83"/>
  <c r="F42" i="83"/>
  <c r="F7" i="83"/>
  <c r="AB8" i="83"/>
  <c r="W9" i="83"/>
  <c r="S11" i="83"/>
  <c r="U12" i="83"/>
  <c r="W13" i="83"/>
  <c r="S25" i="83"/>
  <c r="S31" i="83"/>
  <c r="J36" i="83"/>
  <c r="E54" i="83"/>
  <c r="F54" i="83" s="1"/>
  <c r="H7" i="83"/>
  <c r="AC8" i="83"/>
  <c r="S10" i="83"/>
  <c r="U11" i="83"/>
  <c r="W12" i="83"/>
  <c r="S14" i="83"/>
  <c r="S15" i="83"/>
  <c r="S17" i="83"/>
  <c r="S19" i="83"/>
  <c r="S21" i="83"/>
  <c r="S23" i="83"/>
  <c r="U25" i="83"/>
  <c r="W29" i="83"/>
  <c r="S39" i="83"/>
  <c r="W41" i="83"/>
  <c r="S43" i="83"/>
  <c r="W45" i="83"/>
  <c r="J7" i="83"/>
  <c r="S9" i="83"/>
  <c r="U10" i="83"/>
  <c r="W11" i="83"/>
  <c r="S13" i="83"/>
  <c r="U14" i="83"/>
  <c r="U15" i="83"/>
  <c r="U17" i="83"/>
  <c r="U19" i="83"/>
  <c r="U21" i="83"/>
  <c r="U23" i="83"/>
  <c r="W25" i="83"/>
  <c r="F33" i="83"/>
  <c r="H36" i="83"/>
  <c r="F36" i="83"/>
  <c r="J27" i="83"/>
  <c r="H27" i="83"/>
  <c r="H29" i="83"/>
  <c r="F29" i="83"/>
  <c r="F32"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J33" i="83"/>
  <c r="S35" i="83"/>
  <c r="S38" i="83"/>
  <c r="U39" i="83"/>
  <c r="W40" i="83"/>
  <c r="U43" i="83"/>
  <c r="W44" i="83"/>
  <c r="S46" i="83"/>
  <c r="T47"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I54" i="83" l="1"/>
  <c r="J54" i="83" s="1"/>
  <c r="AA27" i="83"/>
  <c r="S27" i="83"/>
  <c r="G54" i="83"/>
  <c r="H54" i="83" s="1"/>
  <c r="AC32" i="83"/>
  <c r="W32" i="83"/>
  <c r="AB29" i="83"/>
  <c r="U29" i="83"/>
  <c r="AA36" i="83"/>
  <c r="S36" i="83"/>
  <c r="AA42" i="83"/>
  <c r="S42" i="83"/>
  <c r="AA29" i="83"/>
  <c r="S29" i="83"/>
  <c r="AC33" i="83"/>
  <c r="W33" i="83"/>
  <c r="AA37" i="83"/>
  <c r="S37" i="83"/>
  <c r="AB27" i="83"/>
  <c r="U27" i="83"/>
  <c r="U36" i="83"/>
  <c r="AB36" i="83"/>
  <c r="AB42" i="83"/>
  <c r="U42" i="83"/>
  <c r="AB37" i="83"/>
  <c r="U37" i="83"/>
  <c r="AA32" i="83"/>
  <c r="S32" i="83"/>
  <c r="AC27" i="83"/>
  <c r="W27" i="83"/>
  <c r="AA33" i="83"/>
  <c r="S33" i="83"/>
  <c r="W7" i="83"/>
  <c r="AC7" i="83"/>
  <c r="AB33" i="83"/>
  <c r="U33" i="83"/>
  <c r="AB7" i="83"/>
  <c r="U7" i="83"/>
  <c r="AC36" i="83"/>
  <c r="W36" i="83"/>
  <c r="AA7" i="83"/>
  <c r="S7" i="83"/>
  <c r="AC42" i="83"/>
  <c r="W42" i="83"/>
  <c r="O92" i="33"/>
  <c r="P90" i="33"/>
  <c r="R48" i="83" l="1"/>
  <c r="T48" i="83"/>
  <c r="G48" i="83" s="1"/>
  <c r="G52" i="83" s="1"/>
  <c r="H52" i="83" s="1"/>
  <c r="V48" i="83"/>
  <c r="I48" i="83" s="1"/>
  <c r="I52" i="83" s="1"/>
  <c r="J52" i="83" s="1"/>
  <c r="T21" i="1"/>
  <c r="U4" i="43" s="1"/>
  <c r="T19" i="1"/>
  <c r="R49" i="83" l="1"/>
  <c r="C48" i="83" s="1"/>
  <c r="E48" i="83"/>
  <c r="E53" i="83" s="1"/>
  <c r="F53" i="83" s="1"/>
  <c r="I53" i="83"/>
  <c r="J53" i="83" s="1"/>
  <c r="G53" i="83"/>
  <c r="H53" i="83" s="1"/>
  <c r="T20" i="1"/>
  <c r="U3" i="43" s="1"/>
  <c r="U2" i="43"/>
  <c r="T22" i="1"/>
  <c r="U5" i="43" s="1"/>
  <c r="O22" i="1"/>
  <c r="N6" i="1" s="1"/>
  <c r="C36" i="33" s="1"/>
  <c r="E52" i="83" l="1"/>
  <c r="F52" i="83" s="1"/>
  <c r="C49" i="83"/>
  <c r="B2" i="83"/>
  <c r="B3" i="83"/>
  <c r="T23" i="1"/>
  <c r="V23" i="1" s="1"/>
  <c r="Z19" i="1"/>
  <c r="X20" i="1"/>
  <c r="C88" i="9"/>
  <c r="J49" i="15" l="1"/>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c r="K64" i="80"/>
  <c r="J64" i="80" s="1"/>
  <c r="D64" i="80"/>
  <c r="M63" i="80"/>
  <c r="N63" i="80"/>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D55" i="80" s="1"/>
  <c r="J55" i="80"/>
  <c r="M54" i="80"/>
  <c r="N54" i="80" s="1"/>
  <c r="K54" i="80"/>
  <c r="M53" i="80"/>
  <c r="N53" i="80" s="1"/>
  <c r="K53" i="80"/>
  <c r="D53" i="80" s="1"/>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G24" i="80"/>
  <c r="E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M4" i="80"/>
  <c r="I2" i="80"/>
  <c r="G2" i="80"/>
  <c r="N21" i="80" s="1"/>
  <c r="N1" i="80"/>
  <c r="J49" i="67"/>
  <c r="D37" i="43"/>
  <c r="Y6" i="1"/>
  <c r="B21" i="1"/>
  <c r="B23" i="1" s="1"/>
  <c r="D66" i="80"/>
  <c r="C44" i="80"/>
  <c r="N3" i="80"/>
  <c r="N11" i="80"/>
  <c r="J51" i="80"/>
  <c r="H37" i="80"/>
  <c r="F50" i="80"/>
  <c r="H50" i="80" s="1"/>
  <c r="P61" i="82"/>
  <c r="D3" i="4"/>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N12" i="43"/>
  <c r="G2" i="43"/>
  <c r="C27" i="43" s="1"/>
  <c r="AB52" i="79"/>
  <c r="AA52" i="79"/>
  <c r="Z52" i="79"/>
  <c r="W52" i="79"/>
  <c r="N52" i="79"/>
  <c r="M52" i="79"/>
  <c r="P52" i="79"/>
  <c r="L52" i="79"/>
  <c r="I52" i="79"/>
  <c r="AD52" i="79" s="1"/>
  <c r="AB51" i="79"/>
  <c r="AA51" i="79"/>
  <c r="Z51" i="79"/>
  <c r="N51" i="79"/>
  <c r="U51" i="79"/>
  <c r="AI51" i="79" s="1"/>
  <c r="M51" i="79"/>
  <c r="L51" i="79"/>
  <c r="S51" i="79" s="1"/>
  <c r="AG51" i="79" s="1"/>
  <c r="I51" i="79"/>
  <c r="AD51" i="79" s="1"/>
  <c r="AB50" i="79"/>
  <c r="AA50" i="79"/>
  <c r="Z50" i="79"/>
  <c r="N50" i="79"/>
  <c r="M50" i="79"/>
  <c r="L50" i="79"/>
  <c r="I50" i="79"/>
  <c r="AD50" i="79" s="1"/>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c r="Z24" i="79"/>
  <c r="Y24" i="79"/>
  <c r="W24" i="79"/>
  <c r="P24" i="79"/>
  <c r="O24" i="79"/>
  <c r="N24" i="79"/>
  <c r="M24" i="79"/>
  <c r="L24" i="79"/>
  <c r="K24" i="79"/>
  <c r="I24" i="79"/>
  <c r="AC23" i="79"/>
  <c r="AB23" i="79"/>
  <c r="AA23" i="79"/>
  <c r="AD23" i="79"/>
  <c r="Z23" i="79"/>
  <c r="Y23" i="79"/>
  <c r="O23" i="79"/>
  <c r="V23" i="79"/>
  <c r="AJ23" i="79" s="1"/>
  <c r="N23" i="79"/>
  <c r="M23" i="79"/>
  <c r="L23" i="79"/>
  <c r="S21" i="79" s="1"/>
  <c r="AG21" i="79" s="1"/>
  <c r="K23" i="79"/>
  <c r="R23" i="79"/>
  <c r="AF23" i="79" s="1"/>
  <c r="I23" i="79"/>
  <c r="AC22" i="79"/>
  <c r="AB22" i="79"/>
  <c r="AA22" i="79"/>
  <c r="AD22" i="79" s="1"/>
  <c r="Z22" i="79"/>
  <c r="Y22" i="79"/>
  <c r="O22" i="79"/>
  <c r="N22" i="79"/>
  <c r="M22" i="79"/>
  <c r="P22" i="79" s="1"/>
  <c r="L22" i="79"/>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T12" i="79" s="1"/>
  <c r="W12" i="79" s="1"/>
  <c r="AK12" i="79" s="1"/>
  <c r="L18" i="79"/>
  <c r="K18" i="79"/>
  <c r="I18" i="79"/>
  <c r="AC17" i="79"/>
  <c r="AB17" i="79"/>
  <c r="AA17" i="79"/>
  <c r="Z17" i="79"/>
  <c r="Y17" i="79"/>
  <c r="O17" i="79"/>
  <c r="N17" i="79"/>
  <c r="M17" i="79"/>
  <c r="L17" i="79"/>
  <c r="K17" i="79"/>
  <c r="I17" i="79"/>
  <c r="AC11" i="79"/>
  <c r="AB11" i="79"/>
  <c r="AA11" i="79"/>
  <c r="AD11" i="79" s="1"/>
  <c r="Z11" i="79"/>
  <c r="Y11" i="79"/>
  <c r="O11" i="79"/>
  <c r="N11" i="79"/>
  <c r="M11" i="79"/>
  <c r="T8" i="79" s="1"/>
  <c r="W8" i="79" s="1"/>
  <c r="AK8" i="79" s="1"/>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c r="S22" i="79"/>
  <c r="AG22" i="79" s="1"/>
  <c r="U20" i="79"/>
  <c r="AI20" i="79" s="1"/>
  <c r="U38" i="79"/>
  <c r="AI38" i="79" s="1"/>
  <c r="AD49" i="79"/>
  <c r="T39" i="79"/>
  <c r="R20" i="79"/>
  <c r="AF20" i="79" s="1"/>
  <c r="S39" i="79"/>
  <c r="AG39" i="79" s="1"/>
  <c r="T51" i="79"/>
  <c r="W51" i="79" s="1"/>
  <c r="S44" i="79"/>
  <c r="AG44" i="79" s="1"/>
  <c r="U12" i="79"/>
  <c r="AI12" i="79" s="1"/>
  <c r="T21" i="79"/>
  <c r="P19" i="79"/>
  <c r="T23" i="79"/>
  <c r="AH23" i="79" s="1"/>
  <c r="P17" i="79"/>
  <c r="P18" i="79"/>
  <c r="S6" i="43"/>
  <c r="S5" i="43"/>
  <c r="S4" i="43"/>
  <c r="E93" i="43"/>
  <c r="B91" i="43" s="1"/>
  <c r="N21" i="43"/>
  <c r="H116" i="43"/>
  <c r="F37" i="43"/>
  <c r="F38" i="43"/>
  <c r="F40" i="43"/>
  <c r="F41" i="43"/>
  <c r="F42" i="43"/>
  <c r="M4" i="43"/>
  <c r="F93" i="43"/>
  <c r="H100" i="43" s="1"/>
  <c r="M11" i="43"/>
  <c r="I21" i="43"/>
  <c r="K21" i="43"/>
  <c r="O21" i="43"/>
  <c r="D21" i="43"/>
  <c r="H21" i="43"/>
  <c r="L21" i="43"/>
  <c r="P50" i="79"/>
  <c r="P47" i="79"/>
  <c r="P49" i="79"/>
  <c r="P51" i="79"/>
  <c r="E25" i="78"/>
  <c r="E24" i="78"/>
  <c r="F23" i="78"/>
  <c r="F24" i="78"/>
  <c r="E23" i="78"/>
  <c r="G23" i="78" s="1"/>
  <c r="E22" i="78"/>
  <c r="G22" i="78"/>
  <c r="F12" i="78"/>
  <c r="F11" i="78"/>
  <c r="AK51" i="79"/>
  <c r="AH51" i="79"/>
  <c r="W23" i="79"/>
  <c r="AK23" i="79" s="1"/>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D23" i="77"/>
  <c r="E23" i="77" s="1"/>
  <c r="R22" i="77"/>
  <c r="R21" i="77"/>
  <c r="R24" i="77" s="1"/>
  <c r="N19" i="77"/>
  <c r="R18" i="77"/>
  <c r="D18" i="77"/>
  <c r="R17" i="77"/>
  <c r="D17" i="77"/>
  <c r="R16" i="77"/>
  <c r="D16" i="77"/>
  <c r="D15" i="77"/>
  <c r="M14" i="77"/>
  <c r="N14" i="77"/>
  <c r="D14" i="77"/>
  <c r="R13" i="77"/>
  <c r="R12" i="77"/>
  <c r="D12" i="77"/>
  <c r="D11" i="77" s="1"/>
  <c r="E11" i="77" s="1"/>
  <c r="E7" i="77" s="1"/>
  <c r="C27" i="77" s="1"/>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E24" i="71"/>
  <c r="O24" i="71"/>
  <c r="C24" i="71"/>
  <c r="Q25" i="71"/>
  <c r="F24" i="71"/>
  <c r="F23" i="71" s="1"/>
  <c r="F22" i="71" s="1"/>
  <c r="P25" i="71"/>
  <c r="O25" i="71"/>
  <c r="N25" i="71"/>
  <c r="A2" i="53"/>
  <c r="B19" i="72" s="1"/>
  <c r="K59" i="67"/>
  <c r="P61" i="67"/>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F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N62" i="71"/>
  <c r="Q61" i="71"/>
  <c r="F62" i="71" s="1"/>
  <c r="F64" i="7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D41" i="71"/>
  <c r="Q40" i="71"/>
  <c r="P40" i="71"/>
  <c r="O40" i="71"/>
  <c r="N40" i="71"/>
  <c r="AB39" i="71"/>
  <c r="Q39" i="71"/>
  <c r="P39" i="71"/>
  <c r="AA39" i="71" s="1"/>
  <c r="O39" i="71"/>
  <c r="N39" i="71"/>
  <c r="X39" i="71"/>
  <c r="Q38" i="71"/>
  <c r="P38" i="71"/>
  <c r="O38" i="71"/>
  <c r="N38" i="71"/>
  <c r="X38" i="71" s="1"/>
  <c r="Q37" i="71"/>
  <c r="P37" i="71"/>
  <c r="E38" i="71" s="1"/>
  <c r="O37" i="71"/>
  <c r="C38" i="71" s="1"/>
  <c r="D38" i="71" s="1"/>
  <c r="N37" i="71"/>
  <c r="B38" i="71" s="1"/>
  <c r="B39" i="71" s="1"/>
  <c r="B40" i="71" s="1"/>
  <c r="D37" i="71"/>
  <c r="Q36" i="71"/>
  <c r="P36" i="71"/>
  <c r="O36" i="71"/>
  <c r="N36" i="71"/>
  <c r="Q35" i="71"/>
  <c r="P35" i="71"/>
  <c r="O35" i="71"/>
  <c r="N35" i="71"/>
  <c r="Q34" i="71"/>
  <c r="P34" i="71"/>
  <c r="O34" i="71"/>
  <c r="N34" i="71"/>
  <c r="Q33" i="71"/>
  <c r="F34" i="71" s="1"/>
  <c r="P33" i="71"/>
  <c r="E34" i="71" s="1"/>
  <c r="O33" i="71"/>
  <c r="C34"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S40" i="71"/>
  <c r="C30" i="71"/>
  <c r="B28" i="71"/>
  <c r="X26" i="71"/>
  <c r="P28" i="71"/>
  <c r="E28" i="71"/>
  <c r="U68" i="71"/>
  <c r="E67" i="71"/>
  <c r="Q28" i="71"/>
  <c r="F28" i="71" s="1"/>
  <c r="D62" i="71"/>
  <c r="E71" i="71"/>
  <c r="E70" i="71" s="1"/>
  <c r="D72" i="71"/>
  <c r="C87" i="71"/>
  <c r="F26"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S25" i="40"/>
  <c r="H25" i="40"/>
  <c r="AB25" i="40" s="1"/>
  <c r="J25" i="40"/>
  <c r="W25" i="40" s="1"/>
  <c r="H29" i="39"/>
  <c r="J29" i="39"/>
  <c r="AC29" i="39" s="1"/>
  <c r="J18" i="36"/>
  <c r="H18" i="35"/>
  <c r="AB18" i="35" s="1"/>
  <c r="J18" i="35"/>
  <c r="W18" i="35" s="1"/>
  <c r="H21" i="37"/>
  <c r="F21" i="37"/>
  <c r="AA21" i="37" s="1"/>
  <c r="H21" i="34"/>
  <c r="AB21" i="34"/>
  <c r="H21" i="33"/>
  <c r="F21" i="33"/>
  <c r="AA21" i="33" s="1"/>
  <c r="E83" i="21"/>
  <c r="F83" i="21" s="1"/>
  <c r="G83" i="21" s="1"/>
  <c r="H1" i="69"/>
  <c r="AC25" i="40"/>
  <c r="U25" i="40"/>
  <c r="W29" i="39"/>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c r="K66" i="43"/>
  <c r="J66" i="43" s="1"/>
  <c r="M65" i="43"/>
  <c r="N65" i="43" s="1"/>
  <c r="K65" i="43"/>
  <c r="J65" i="43" s="1"/>
  <c r="M64" i="43"/>
  <c r="N64" i="43" s="1"/>
  <c r="K64" i="43"/>
  <c r="J64" i="43" s="1"/>
  <c r="M63" i="43"/>
  <c r="N63" i="43"/>
  <c r="K63" i="43"/>
  <c r="J63" i="43" s="1"/>
  <c r="M62" i="43"/>
  <c r="N62" i="43"/>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c r="I10" i="31" s="1"/>
  <c r="J10" i="31" s="1"/>
  <c r="K10" i="31" s="1"/>
  <c r="L10" i="31"/>
  <c r="M10" i="31" s="1"/>
  <c r="N10" i="31" s="1"/>
  <c r="O10" i="31" s="1"/>
  <c r="P10" i="31" s="1"/>
  <c r="Q10" i="31" s="1"/>
  <c r="R10" i="31" s="1"/>
  <c r="S10" i="31" s="1"/>
  <c r="D8" i="31"/>
  <c r="E8" i="31" s="1"/>
  <c r="F8" i="31" s="1"/>
  <c r="G8" i="31" s="1"/>
  <c r="H8" i="31"/>
  <c r="I8" i="31" s="1"/>
  <c r="J8" i="31" s="1"/>
  <c r="K8" i="31" s="1"/>
  <c r="L8" i="31"/>
  <c r="M8" i="31" s="1"/>
  <c r="N8" i="31" s="1"/>
  <c r="O8" i="31" s="1"/>
  <c r="P8" i="31" s="1"/>
  <c r="Q8" i="31" s="1"/>
  <c r="R8" i="31" s="1"/>
  <c r="S8" i="31" s="1"/>
  <c r="D6" i="31"/>
  <c r="E6" i="31" s="1"/>
  <c r="F6" i="31" s="1"/>
  <c r="G6" i="31" s="1"/>
  <c r="H6" i="31"/>
  <c r="I6" i="31" s="1"/>
  <c r="J6" i="31" s="1"/>
  <c r="K6" i="31" s="1"/>
  <c r="L6" i="3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A118" i="3" s="1"/>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c r="R266" i="31"/>
  <c r="R267" i="31"/>
  <c r="S267" i="3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c r="R388" i="31"/>
  <c r="R389" i="31"/>
  <c r="S389" i="31"/>
  <c r="R390" i="31"/>
  <c r="R391" i="31"/>
  <c r="S391" i="31" s="1"/>
  <c r="R392" i="31"/>
  <c r="R393" i="31"/>
  <c r="S393" i="31"/>
  <c r="R394" i="31"/>
  <c r="R395" i="31"/>
  <c r="S395" i="3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H15" i="4"/>
  <c r="G15" i="4"/>
  <c r="F12" i="1"/>
  <c r="F15" i="4"/>
  <c r="F11" i="1"/>
  <c r="D15" i="4"/>
  <c r="F7" i="1" s="1"/>
  <c r="C15" i="4"/>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C33" i="3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G29" i="6"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A548" i="3" s="1"/>
  <c r="BE548" i="3"/>
  <c r="BF548" i="3"/>
  <c r="BG548" i="3"/>
  <c r="BH548" i="3"/>
  <c r="BI548" i="3"/>
  <c r="BJ548" i="3"/>
  <c r="BK548" i="3"/>
  <c r="BM548" i="3"/>
  <c r="BL548" i="3" s="1"/>
  <c r="AZ548" i="3" s="1"/>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A550" i="3" s="1"/>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AZ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A577" i="3" s="1"/>
  <c r="AZ577" i="3" s="1"/>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c r="H83" i="36" s="1"/>
  <c r="I83" i="36" s="1"/>
  <c r="J83" i="36" s="1"/>
  <c r="K83" i="36" s="1"/>
  <c r="L83" i="36" s="1"/>
  <c r="M83" i="36" s="1"/>
  <c r="D78" i="36"/>
  <c r="E78" i="36"/>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c r="J9" i="36"/>
  <c r="AC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6" i="39"/>
  <c r="S36" i="39" s="1"/>
  <c r="H36" i="39"/>
  <c r="J35" i="39"/>
  <c r="AC35" i="39" s="1"/>
  <c r="F35" i="39"/>
  <c r="J36" i="39"/>
  <c r="AC36" i="39" s="1"/>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S27" i="35"/>
  <c r="F11" i="40"/>
  <c r="AA11" i="40" s="1"/>
  <c r="H11" i="40"/>
  <c r="AB11" i="40" s="1"/>
  <c r="AA9" i="40"/>
  <c r="S34"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H19" i="39"/>
  <c r="AB19" i="39"/>
  <c r="F19" i="39"/>
  <c r="AA19" i="39"/>
  <c r="H17" i="39"/>
  <c r="AB17" i="39"/>
  <c r="F17" i="39"/>
  <c r="AA17" i="39"/>
  <c r="J23" i="40"/>
  <c r="AC23" i="40"/>
  <c r="F21" i="40"/>
  <c r="AA21" i="40"/>
  <c r="J21" i="40"/>
  <c r="W21" i="40"/>
  <c r="H42" i="39"/>
  <c r="AB42" i="39"/>
  <c r="J34" i="39"/>
  <c r="AC34" i="39"/>
  <c r="J31" i="39"/>
  <c r="H27" i="39"/>
  <c r="U27" i="39"/>
  <c r="J19" i="39"/>
  <c r="AC19" i="39" s="1"/>
  <c r="J17" i="39"/>
  <c r="J27" i="39"/>
  <c r="AC27" i="39" s="1"/>
  <c r="F27" i="39"/>
  <c r="F11" i="21"/>
  <c r="S11" i="21"/>
  <c r="S40" i="21"/>
  <c r="U34" i="21"/>
  <c r="H11" i="39"/>
  <c r="S40" i="39"/>
  <c r="C15" i="39"/>
  <c r="H11" i="21"/>
  <c r="U11" i="21"/>
  <c r="J11" i="21"/>
  <c r="W11" i="21"/>
  <c r="H37" i="40"/>
  <c r="U37" i="40"/>
  <c r="H36" i="40"/>
  <c r="AB36" i="40"/>
  <c r="F35" i="40"/>
  <c r="AA35" i="40" s="1"/>
  <c r="H23" i="40"/>
  <c r="AB23" i="40" s="1"/>
  <c r="H17" i="40"/>
  <c r="J15" i="40"/>
  <c r="W15" i="40"/>
  <c r="J11" i="40"/>
  <c r="W11" i="40" s="1"/>
  <c r="AB8" i="39"/>
  <c r="AB12" i="35"/>
  <c r="W32" i="40"/>
  <c r="U30" i="36"/>
  <c r="J30" i="35"/>
  <c r="W30" i="35" s="1"/>
  <c r="H30" i="35"/>
  <c r="AB30" i="35" s="1"/>
  <c r="F22" i="35"/>
  <c r="AA22" i="35"/>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c r="J32" i="35"/>
  <c r="AC32" i="35" s="1"/>
  <c r="J16" i="35"/>
  <c r="AC16" i="35" s="1"/>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H36" i="34"/>
  <c r="U36" i="34" s="1"/>
  <c r="F37" i="34"/>
  <c r="AA37" i="34"/>
  <c r="S35" i="34"/>
  <c r="F28" i="34"/>
  <c r="AA28" i="34" s="1"/>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c r="H28" i="40"/>
  <c r="U28" i="40" s="1"/>
  <c r="F23" i="40"/>
  <c r="AA23" i="40" s="1"/>
  <c r="F17" i="40"/>
  <c r="AA17" i="40" s="1"/>
  <c r="J17" i="40"/>
  <c r="W17" i="40"/>
  <c r="F15" i="40"/>
  <c r="S15" i="40" s="1"/>
  <c r="H15" i="40"/>
  <c r="AB15" i="40" s="1"/>
  <c r="AC11" i="40"/>
  <c r="AB30" i="36"/>
  <c r="F29" i="35"/>
  <c r="AA29" i="35" s="1"/>
  <c r="H29" i="35"/>
  <c r="H33" i="37"/>
  <c r="F33" i="37"/>
  <c r="AA33" i="37" s="1"/>
  <c r="U34" i="37"/>
  <c r="S34" i="37"/>
  <c r="AA34" i="37"/>
  <c r="J43" i="34"/>
  <c r="J40" i="34"/>
  <c r="H38" i="34"/>
  <c r="AB38" i="34"/>
  <c r="J36" i="34"/>
  <c r="W36" i="34"/>
  <c r="H37" i="34"/>
  <c r="U37" i="34"/>
  <c r="H25" i="34"/>
  <c r="AB25" i="34"/>
  <c r="J25" i="34"/>
  <c r="AC25" i="34"/>
  <c r="F23" i="34"/>
  <c r="AA23" i="34"/>
  <c r="J19" i="34"/>
  <c r="AC19" i="34"/>
  <c r="F17" i="34"/>
  <c r="AA17" i="34"/>
  <c r="J17" i="34"/>
  <c r="W17" i="34"/>
  <c r="H11" i="33"/>
  <c r="F28" i="40"/>
  <c r="AA28" i="40" s="1"/>
  <c r="AA42" i="34"/>
  <c r="S42" i="34"/>
  <c r="AC38" i="34"/>
  <c r="AA38" i="34"/>
  <c r="J37" i="34"/>
  <c r="AC37" i="34" s="1"/>
  <c r="J11" i="33"/>
  <c r="W11" i="33" s="1"/>
  <c r="S28" i="34"/>
  <c r="J42" i="21"/>
  <c r="AC42" i="21" s="1"/>
  <c r="H42" i="21"/>
  <c r="U42" i="21" s="1"/>
  <c r="J44" i="34"/>
  <c r="F44" i="34"/>
  <c r="S44" i="34" s="1"/>
  <c r="J10" i="35"/>
  <c r="AC10" i="35" s="1"/>
  <c r="W14" i="21"/>
  <c r="F14" i="21"/>
  <c r="S14" i="21"/>
  <c r="H14" i="21"/>
  <c r="U14" i="21"/>
  <c r="H28" i="21"/>
  <c r="AB28" i="21"/>
  <c r="F28" i="21"/>
  <c r="AA28" i="21"/>
  <c r="H30" i="21"/>
  <c r="U30" i="21"/>
  <c r="F30" i="21"/>
  <c r="S30" i="21"/>
  <c r="AC30" i="21"/>
  <c r="H44" i="21"/>
  <c r="U44" i="21" s="1"/>
  <c r="H46" i="21"/>
  <c r="U46" i="21" s="1"/>
  <c r="J46" i="21"/>
  <c r="W46" i="21" s="1"/>
  <c r="F46" i="21"/>
  <c r="AA46" i="21"/>
  <c r="E119" i="21"/>
  <c r="F119" i="21"/>
  <c r="G119" i="21" s="1"/>
  <c r="H119" i="21" s="1"/>
  <c r="I119" i="21" s="1"/>
  <c r="J119" i="21" s="1"/>
  <c r="K119" i="21" s="1"/>
  <c r="L119" i="21" s="1"/>
  <c r="M119" i="21" s="1"/>
  <c r="H28" i="33"/>
  <c r="U28" i="33" s="1"/>
  <c r="F28" i="33"/>
  <c r="AA28" i="33" s="1"/>
  <c r="J28" i="33"/>
  <c r="W28" i="33" s="1"/>
  <c r="F33" i="35"/>
  <c r="S33" i="35" s="1"/>
  <c r="J33" i="35"/>
  <c r="AC33" i="35"/>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J40" i="37"/>
  <c r="W40" i="37" s="1"/>
  <c r="AC12" i="40"/>
  <c r="H14" i="33"/>
  <c r="U14" i="33" s="1"/>
  <c r="F14" i="33"/>
  <c r="S14" i="33" s="1"/>
  <c r="H30" i="33"/>
  <c r="AB30" i="33" s="1"/>
  <c r="H44" i="33"/>
  <c r="J44" i="33"/>
  <c r="AC44" i="33" s="1"/>
  <c r="J46" i="33"/>
  <c r="AC46" i="33" s="1"/>
  <c r="F46" i="33"/>
  <c r="AA46" i="33"/>
  <c r="H46" i="33"/>
  <c r="U46" i="33" s="1"/>
  <c r="H13" i="34"/>
  <c r="U13" i="34" s="1"/>
  <c r="J13" i="34"/>
  <c r="W13" i="34" s="1"/>
  <c r="F13" i="34"/>
  <c r="AA13" i="34"/>
  <c r="J29" i="34"/>
  <c r="F29" i="34"/>
  <c r="S29" i="34" s="1"/>
  <c r="H29" i="34"/>
  <c r="AB29" i="34"/>
  <c r="J31" i="34"/>
  <c r="F31" i="34"/>
  <c r="S31" i="34" s="1"/>
  <c r="H45" i="34"/>
  <c r="U45" i="34" s="1"/>
  <c r="J45" i="34"/>
  <c r="W45" i="34" s="1"/>
  <c r="F45" i="34"/>
  <c r="S45" i="34" s="1"/>
  <c r="H47" i="34"/>
  <c r="U47" i="34" s="1"/>
  <c r="F47" i="34"/>
  <c r="S47" i="34" s="1"/>
  <c r="J47" i="34"/>
  <c r="AC47" i="34" s="1"/>
  <c r="F13" i="35"/>
  <c r="J13" i="35"/>
  <c r="AC13" i="35"/>
  <c r="H13" i="35"/>
  <c r="U13" i="35" s="1"/>
  <c r="J35" i="35"/>
  <c r="F35" i="35"/>
  <c r="AA35" i="35"/>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c r="G544" i="3"/>
  <c r="G531" i="3"/>
  <c r="G523" i="3"/>
  <c r="G508" i="3"/>
  <c r="G584" i="3"/>
  <c r="G576" i="3"/>
  <c r="G568" i="3"/>
  <c r="G560" i="3"/>
  <c r="G554" i="3"/>
  <c r="BL584" i="3"/>
  <c r="BL568" i="3"/>
  <c r="BL582" i="3"/>
  <c r="BL532" i="3"/>
  <c r="G529" i="3"/>
  <c r="BA584" i="3"/>
  <c r="AZ584" i="3" s="1"/>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AA36" i="39"/>
  <c r="E123" i="33"/>
  <c r="H28" i="34"/>
  <c r="AB28" i="34" s="1"/>
  <c r="F14" i="36"/>
  <c r="AA14" i="36"/>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H19" i="40"/>
  <c r="U19" i="40"/>
  <c r="F88" i="40"/>
  <c r="G88" i="40"/>
  <c r="F19" i="40"/>
  <c r="S19" i="40"/>
  <c r="W23" i="39"/>
  <c r="AC43" i="39"/>
  <c r="W43" i="39"/>
  <c r="U45" i="39"/>
  <c r="AB45" i="39"/>
  <c r="G100" i="39"/>
  <c r="H37" i="39"/>
  <c r="AB37" i="39" s="1"/>
  <c r="H25" i="39"/>
  <c r="AB25" i="39" s="1"/>
  <c r="J25" i="39"/>
  <c r="W25" i="39" s="1"/>
  <c r="F25" i="39"/>
  <c r="AA25" i="39"/>
  <c r="F15" i="39"/>
  <c r="AA15" i="39" s="1"/>
  <c r="H15" i="39"/>
  <c r="U15" i="39"/>
  <c r="J15" i="39"/>
  <c r="W15" i="39" s="1"/>
  <c r="H41" i="39"/>
  <c r="AB41" i="39"/>
  <c r="W27" i="39"/>
  <c r="AB34" i="39"/>
  <c r="U40" i="39"/>
  <c r="S42" i="39"/>
  <c r="AA41" i="39"/>
  <c r="W8" i="39"/>
  <c r="J19" i="40"/>
  <c r="J50" i="40"/>
  <c r="H103" i="9"/>
  <c r="D8" i="53" s="1"/>
  <c r="B16" i="53"/>
  <c r="B33" i="72"/>
  <c r="W35" i="40"/>
  <c r="A4" i="52"/>
  <c r="B41" i="72" s="1"/>
  <c r="J11" i="39"/>
  <c r="AC11" i="39" s="1"/>
  <c r="W11" i="39"/>
  <c r="F11" i="39"/>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AZ389" i="3" s="1"/>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AZ200" i="3" s="1"/>
  <c r="G201" i="3"/>
  <c r="BA203" i="3"/>
  <c r="BL204" i="3"/>
  <c r="AZ144" i="3"/>
  <c r="AZ176" i="3"/>
  <c r="AZ120" i="3"/>
  <c r="G530" i="3"/>
  <c r="G522" i="3"/>
  <c r="G516" i="3"/>
  <c r="G494" i="3"/>
  <c r="G16" i="3"/>
  <c r="BA304" i="3"/>
  <c r="AZ304" i="3" s="1"/>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AZ336" i="3" s="1"/>
  <c r="BA337" i="3"/>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AZ314" i="3"/>
  <c r="BL315" i="3"/>
  <c r="G316" i="3"/>
  <c r="BA318" i="3"/>
  <c r="BL319" i="3"/>
  <c r="G320" i="3"/>
  <c r="BA322" i="3"/>
  <c r="AZ322" i="3"/>
  <c r="BL323" i="3"/>
  <c r="G324" i="3"/>
  <c r="BA326" i="3"/>
  <c r="AZ326" i="3"/>
  <c r="BL327" i="3"/>
  <c r="AZ327" i="3" s="1"/>
  <c r="G328" i="3"/>
  <c r="BA330" i="3"/>
  <c r="BL331" i="3"/>
  <c r="AZ331" i="3" s="1"/>
  <c r="G332" i="3"/>
  <c r="BA334" i="3"/>
  <c r="AZ334" i="3" s="1"/>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AZ380" i="3" s="1"/>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c r="J39" i="39"/>
  <c r="AC39" i="39" s="1"/>
  <c r="E96" i="39"/>
  <c r="F96" i="39"/>
  <c r="G96" i="39" s="1"/>
  <c r="C40" i="11"/>
  <c r="AZ110" i="3"/>
  <c r="F23" i="39"/>
  <c r="H27" i="36"/>
  <c r="U27" i="36"/>
  <c r="F27" i="36"/>
  <c r="AA27" i="36" s="1"/>
  <c r="H33" i="34"/>
  <c r="AB33" i="34"/>
  <c r="F32" i="37"/>
  <c r="F20" i="36"/>
  <c r="J33" i="34"/>
  <c r="AC33" i="34" s="1"/>
  <c r="H23" i="39"/>
  <c r="U23" i="39" s="1"/>
  <c r="K9" i="1"/>
  <c r="M9" i="1" s="1"/>
  <c r="D93" i="9"/>
  <c r="W27" i="34"/>
  <c r="AC27" i="34"/>
  <c r="AB33" i="36"/>
  <c r="U33" i="36"/>
  <c r="AC12" i="39"/>
  <c r="W12" i="39"/>
  <c r="AC13" i="34"/>
  <c r="AA47" i="34"/>
  <c r="W28" i="37"/>
  <c r="F12" i="33"/>
  <c r="S12" i="33" s="1"/>
  <c r="H12" i="39"/>
  <c r="U12" i="39" s="1"/>
  <c r="F39" i="40"/>
  <c r="B12" i="1"/>
  <c r="E12" i="1" s="1"/>
  <c r="B10" i="1"/>
  <c r="E10" i="1" s="1"/>
  <c r="K12" i="1"/>
  <c r="M12" i="1" s="1"/>
  <c r="S13" i="1"/>
  <c r="AR13" i="1" s="1"/>
  <c r="R13" i="1"/>
  <c r="AB37" i="40"/>
  <c r="S35" i="40"/>
  <c r="U35" i="40"/>
  <c r="AC36" i="40"/>
  <c r="AA32" i="40"/>
  <c r="S23" i="40"/>
  <c r="AC17" i="40"/>
  <c r="AC15" i="40"/>
  <c r="S30" i="40"/>
  <c r="AA19" i="40"/>
  <c r="S28" i="40"/>
  <c r="U21" i="40"/>
  <c r="AB19" i="40"/>
  <c r="U37" i="39"/>
  <c r="S43" i="39"/>
  <c r="U35" i="39"/>
  <c r="F32" i="39"/>
  <c r="AA32"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16" i="36"/>
  <c r="S14" i="36"/>
  <c r="AA25" i="35"/>
  <c r="S23" i="35"/>
  <c r="W24" i="35"/>
  <c r="U28" i="35"/>
  <c r="AB27" i="35"/>
  <c r="U32" i="35"/>
  <c r="AA33" i="35"/>
  <c r="AC30" i="35"/>
  <c r="AA36" i="35"/>
  <c r="S28" i="35"/>
  <c r="AB16" i="35"/>
  <c r="U22" i="35"/>
  <c r="S22" i="35"/>
  <c r="U14" i="35"/>
  <c r="AA11" i="35"/>
  <c r="AC9" i="35"/>
  <c r="W9" i="35"/>
  <c r="W13" i="35"/>
  <c r="F9" i="35"/>
  <c r="S9" i="35" s="1"/>
  <c r="H9" i="35"/>
  <c r="AB9" i="35" s="1"/>
  <c r="W27" i="37"/>
  <c r="AC29" i="37"/>
  <c r="U29" i="37"/>
  <c r="W30" i="37"/>
  <c r="S36" i="37"/>
  <c r="AA38" i="37"/>
  <c r="U32" i="37"/>
  <c r="AC35" i="37"/>
  <c r="AC15" i="37"/>
  <c r="J17" i="37"/>
  <c r="W17" i="37" s="1"/>
  <c r="G73" i="37"/>
  <c r="F17" i="37"/>
  <c r="AA17" i="37"/>
  <c r="AB17" i="37"/>
  <c r="F75" i="37"/>
  <c r="G75" i="37" s="1"/>
  <c r="F19" i="37"/>
  <c r="AA19" i="37" s="1"/>
  <c r="S19" i="37"/>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AB31" i="40"/>
  <c r="S37" i="40"/>
  <c r="AB28" i="40"/>
  <c r="W34" i="40"/>
  <c r="S36" i="40"/>
  <c r="W37" i="40"/>
  <c r="AC14" i="40"/>
  <c r="S13" i="40"/>
  <c r="S33" i="40"/>
  <c r="AA15" i="40"/>
  <c r="U11" i="40"/>
  <c r="S31" i="40"/>
  <c r="AB13" i="40"/>
  <c r="U15"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9"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H15" i="21"/>
  <c r="U15" i="21" s="1"/>
  <c r="J17" i="21"/>
  <c r="AC17" i="21" s="1"/>
  <c r="AC19" i="21"/>
  <c r="W39" i="21"/>
  <c r="AC14" i="21"/>
  <c r="W30" i="21"/>
  <c r="S46" i="21"/>
  <c r="H45" i="21"/>
  <c r="F29" i="21"/>
  <c r="AA29" i="2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G70" i="34"/>
  <c r="H70" i="34" s="1"/>
  <c r="I70" i="34" s="1"/>
  <c r="J70" i="34" s="1"/>
  <c r="K70" i="34" s="1"/>
  <c r="L70" i="34" s="1"/>
  <c r="M70" i="34" s="1"/>
  <c r="H11" i="34"/>
  <c r="U11" i="34" s="1"/>
  <c r="J10" i="34"/>
  <c r="AC10" i="34"/>
  <c r="AB41" i="33"/>
  <c r="J27" i="33"/>
  <c r="W27" i="33" s="1"/>
  <c r="J25" i="33"/>
  <c r="W25" i="33" s="1"/>
  <c r="S37" i="21"/>
  <c r="J23" i="21"/>
  <c r="F85" i="21"/>
  <c r="G85" i="21" s="1"/>
  <c r="H23" i="21"/>
  <c r="AB23" i="21" s="1"/>
  <c r="D6" i="52"/>
  <c r="AP7" i="1"/>
  <c r="AA32" i="21"/>
  <c r="S32" i="21"/>
  <c r="U32" i="39"/>
  <c r="W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18" i="3"/>
  <c r="AZ351" i="3"/>
  <c r="AZ341" i="3"/>
  <c r="AZ306" i="3"/>
  <c r="AB46" i="34"/>
  <c r="U46" i="34"/>
  <c r="S11" i="39"/>
  <c r="AA11" i="39"/>
  <c r="J13" i="39"/>
  <c r="H13" i="39"/>
  <c r="AB13" i="39" s="1"/>
  <c r="F13" i="39"/>
  <c r="AB9" i="40"/>
  <c r="U9" i="40"/>
  <c r="AC31" i="40"/>
  <c r="W31" i="40"/>
  <c r="BL580" i="3"/>
  <c r="BM5" i="3"/>
  <c r="J25" i="35"/>
  <c r="W25" i="35" s="1"/>
  <c r="H25" i="35"/>
  <c r="AC28" i="36"/>
  <c r="W28" i="36"/>
  <c r="S17" i="37"/>
  <c r="AB31" i="37"/>
  <c r="AB11" i="33"/>
  <c r="U11" i="33"/>
  <c r="AB35" i="33"/>
  <c r="U35" i="33"/>
  <c r="AA44" i="39"/>
  <c r="S44" i="39"/>
  <c r="AZ372" i="3"/>
  <c r="AZ337" i="3"/>
  <c r="AZ309" i="3"/>
  <c r="AB23" i="34"/>
  <c r="H36" i="35"/>
  <c r="J36" i="35"/>
  <c r="AC36" i="35" s="1"/>
  <c r="H34" i="36"/>
  <c r="U34" i="36" s="1"/>
  <c r="J34" i="36"/>
  <c r="W34" i="36"/>
  <c r="J39" i="37"/>
  <c r="H39" i="37"/>
  <c r="AB39" i="37" s="1"/>
  <c r="F39" i="37"/>
  <c r="S39" i="37"/>
  <c r="G552" i="3"/>
  <c r="AZ582" i="3"/>
  <c r="AA44" i="34"/>
  <c r="AB17" i="34"/>
  <c r="S44" i="33"/>
  <c r="AA44" i="33"/>
  <c r="J12" i="36"/>
  <c r="W12" i="36" s="1"/>
  <c r="F12" i="36"/>
  <c r="H12" i="36"/>
  <c r="U12" i="36" s="1"/>
  <c r="AA31" i="35"/>
  <c r="S31" i="35"/>
  <c r="G582" i="3"/>
  <c r="B97" i="43"/>
  <c r="J26" i="33"/>
  <c r="AC26" i="33" s="1"/>
  <c r="F26" i="33"/>
  <c r="H26" i="33"/>
  <c r="AB26" i="33" s="1"/>
  <c r="J24" i="36"/>
  <c r="H24" i="36"/>
  <c r="AB24" i="36" s="1"/>
  <c r="F24" i="36"/>
  <c r="H44" i="39"/>
  <c r="AB44" i="39" s="1"/>
  <c r="J44" i="39"/>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AZ409" i="3" s="1"/>
  <c r="BL412" i="3"/>
  <c r="BL417" i="3"/>
  <c r="BA225" i="3"/>
  <c r="BL230" i="3"/>
  <c r="G251" i="3"/>
  <c r="U30" i="37"/>
  <c r="G587" i="3"/>
  <c r="F9" i="33"/>
  <c r="AA9" i="33" s="1"/>
  <c r="J12" i="35"/>
  <c r="W12" i="35" s="1"/>
  <c r="F25" i="37"/>
  <c r="BL403" i="3"/>
  <c r="BL410" i="3"/>
  <c r="AZ422" i="3"/>
  <c r="BA431" i="3"/>
  <c r="BL289" i="3"/>
  <c r="W22" i="35"/>
  <c r="BL585" i="3"/>
  <c r="BL398" i="3"/>
  <c r="G408" i="3"/>
  <c r="BL411" i="3"/>
  <c r="AZ411" i="3"/>
  <c r="BL414" i="3"/>
  <c r="BL415" i="3"/>
  <c r="BL440" i="3"/>
  <c r="AZ443" i="3"/>
  <c r="BA452" i="3"/>
  <c r="BA458" i="3"/>
  <c r="AZ458" i="3" s="1"/>
  <c r="G229" i="3"/>
  <c r="G249" i="3"/>
  <c r="BA148" i="3"/>
  <c r="AZ148" i="3" s="1"/>
  <c r="BL418" i="3"/>
  <c r="BL420" i="3"/>
  <c r="G423" i="3"/>
  <c r="BL424" i="3"/>
  <c r="G427" i="3"/>
  <c r="BL428" i="3"/>
  <c r="BL429" i="3"/>
  <c r="BL432" i="3"/>
  <c r="BL435" i="3"/>
  <c r="BL436" i="3"/>
  <c r="AZ436" i="3" s="1"/>
  <c r="BA439" i="3"/>
  <c r="AZ439" i="3" s="1"/>
  <c r="BA440" i="3"/>
  <c r="AZ440" i="3" s="1"/>
  <c r="BA442" i="3"/>
  <c r="AZ442" i="3" s="1"/>
  <c r="BA445" i="3"/>
  <c r="BA447" i="3"/>
  <c r="BA449" i="3"/>
  <c r="BL453" i="3"/>
  <c r="BL454" i="3"/>
  <c r="G458" i="3"/>
  <c r="BL459" i="3"/>
  <c r="G461" i="3"/>
  <c r="G462" i="3"/>
  <c r="BA465" i="3"/>
  <c r="BA467" i="3"/>
  <c r="BA468" i="3"/>
  <c r="AZ468" i="3" s="1"/>
  <c r="BL471" i="3"/>
  <c r="BL475" i="3"/>
  <c r="BA477" i="3"/>
  <c r="AZ477" i="3" s="1"/>
  <c r="BA478" i="3"/>
  <c r="AZ478" i="3" s="1"/>
  <c r="BA481" i="3"/>
  <c r="BA488" i="3"/>
  <c r="BA491" i="3"/>
  <c r="BL324" i="3"/>
  <c r="AZ324" i="3" s="1"/>
  <c r="BL328" i="3"/>
  <c r="AZ328" i="3"/>
  <c r="BA335" i="3"/>
  <c r="BA339" i="3"/>
  <c r="AZ339" i="3"/>
  <c r="BA348" i="3"/>
  <c r="BA350" i="3"/>
  <c r="BA354" i="3"/>
  <c r="BA366" i="3"/>
  <c r="AZ366" i="3" s="1"/>
  <c r="BL375" i="3"/>
  <c r="AZ375" i="3" s="1"/>
  <c r="BL385" i="3"/>
  <c r="BA397" i="3"/>
  <c r="BL397" i="3"/>
  <c r="BA210" i="3"/>
  <c r="BL210" i="3"/>
  <c r="BL212" i="3"/>
  <c r="BL214" i="3"/>
  <c r="BL225" i="3"/>
  <c r="BL226" i="3"/>
  <c r="BA239" i="3"/>
  <c r="AZ239" i="3" s="1"/>
  <c r="BL239" i="3"/>
  <c r="BA241" i="3"/>
  <c r="AZ241" i="3" s="1"/>
  <c r="BL241" i="3"/>
  <c r="BA244" i="3"/>
  <c r="AZ244" i="3" s="1"/>
  <c r="BL244" i="3"/>
  <c r="BA246" i="3"/>
  <c r="BA252" i="3"/>
  <c r="AZ252" i="3"/>
  <c r="BA254" i="3"/>
  <c r="BA256" i="3"/>
  <c r="BL256" i="3"/>
  <c r="AZ256" i="3" s="1"/>
  <c r="BA258" i="3"/>
  <c r="BL264" i="3"/>
  <c r="BL266" i="3"/>
  <c r="AZ266" i="3" s="1"/>
  <c r="BA268" i="3"/>
  <c r="AZ268" i="3" s="1"/>
  <c r="BL273" i="3"/>
  <c r="G274" i="3"/>
  <c r="BA277" i="3"/>
  <c r="BL277" i="3"/>
  <c r="BA282" i="3"/>
  <c r="BL282" i="3"/>
  <c r="BA284" i="3"/>
  <c r="AZ284" i="3" s="1"/>
  <c r="BL290" i="3"/>
  <c r="AZ290" i="3" s="1"/>
  <c r="BL291" i="3"/>
  <c r="BL293" i="3"/>
  <c r="BL294" i="3"/>
  <c r="AZ294" i="3" s="1"/>
  <c r="BA297" i="3"/>
  <c r="BL297" i="3"/>
  <c r="BL300" i="3"/>
  <c r="BA302" i="3"/>
  <c r="G115" i="3"/>
  <c r="BA117" i="3"/>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BA429" i="3"/>
  <c r="BA430" i="3"/>
  <c r="AZ430" i="3"/>
  <c r="BA432" i="3"/>
  <c r="AZ432" i="3" s="1"/>
  <c r="BA434" i="3"/>
  <c r="BA436" i="3"/>
  <c r="BA438" i="3"/>
  <c r="BA446" i="3"/>
  <c r="AZ446" i="3" s="1"/>
  <c r="BA450" i="3"/>
  <c r="BA453" i="3"/>
  <c r="BA455" i="3"/>
  <c r="AZ455" i="3" s="1"/>
  <c r="BL457" i="3"/>
  <c r="BL460" i="3"/>
  <c r="BL461" i="3"/>
  <c r="BL463" i="3"/>
  <c r="BA471" i="3"/>
  <c r="BL317" i="3"/>
  <c r="BA349" i="3"/>
  <c r="AZ349" i="3" s="1"/>
  <c r="BA353" i="3"/>
  <c r="BL353" i="3"/>
  <c r="AZ353" i="3" s="1"/>
  <c r="BA358" i="3"/>
  <c r="AZ358" i="3" s="1"/>
  <c r="BL365" i="3"/>
  <c r="AZ365" i="3"/>
  <c r="BA368" i="3"/>
  <c r="BL368" i="3"/>
  <c r="BA374" i="3"/>
  <c r="AZ374" i="3"/>
  <c r="BA388" i="3"/>
  <c r="AZ388" i="3" s="1"/>
  <c r="BA396" i="3"/>
  <c r="BA209" i="3"/>
  <c r="BL217" i="3"/>
  <c r="BA219" i="3"/>
  <c r="BA221" i="3"/>
  <c r="AZ221" i="3" s="1"/>
  <c r="BA223" i="3"/>
  <c r="AZ223" i="3"/>
  <c r="BL228" i="3"/>
  <c r="BA230" i="3"/>
  <c r="BL232" i="3"/>
  <c r="BL234" i="3"/>
  <c r="BA236" i="3"/>
  <c r="BA238" i="3"/>
  <c r="BA243" i="3"/>
  <c r="BL248" i="3"/>
  <c r="G250" i="3"/>
  <c r="BL250" i="3"/>
  <c r="BA259" i="3"/>
  <c r="BL261" i="3"/>
  <c r="BA263" i="3"/>
  <c r="BA267" i="3"/>
  <c r="BA269" i="3"/>
  <c r="BA271" i="3"/>
  <c r="BL271" i="3"/>
  <c r="BA274" i="3"/>
  <c r="AZ274" i="3" s="1"/>
  <c r="BL274" i="3"/>
  <c r="BA276" i="3"/>
  <c r="AZ276" i="3" s="1"/>
  <c r="BA279" i="3"/>
  <c r="BA281" i="3"/>
  <c r="BL286" i="3"/>
  <c r="BA296" i="3"/>
  <c r="BA116" i="3"/>
  <c r="AZ116" i="3"/>
  <c r="BA121" i="3"/>
  <c r="BL121" i="3"/>
  <c r="BA124" i="3"/>
  <c r="AZ124" i="3"/>
  <c r="BA126" i="3"/>
  <c r="AZ126" i="3" s="1"/>
  <c r="BA129" i="3"/>
  <c r="BL133" i="3"/>
  <c r="BL139" i="3"/>
  <c r="AZ139" i="3" s="1"/>
  <c r="BL141" i="3"/>
  <c r="BL143" i="3"/>
  <c r="AZ143" i="3"/>
  <c r="BL155" i="3"/>
  <c r="AZ155" i="3" s="1"/>
  <c r="BL157" i="3"/>
  <c r="BL159" i="3"/>
  <c r="AZ159" i="3"/>
  <c r="BA164" i="3"/>
  <c r="AZ164" i="3" s="1"/>
  <c r="BA166" i="3"/>
  <c r="AZ166" i="3"/>
  <c r="BA189" i="3"/>
  <c r="AZ189" i="3" s="1"/>
  <c r="BA207" i="3"/>
  <c r="BL401" i="3"/>
  <c r="AZ401" i="3" s="1"/>
  <c r="BL404" i="3"/>
  <c r="AZ404" i="3" s="1"/>
  <c r="BL405" i="3"/>
  <c r="AZ405" i="3" s="1"/>
  <c r="BL407" i="3"/>
  <c r="BA412" i="3"/>
  <c r="AZ412" i="3" s="1"/>
  <c r="BA414" i="3"/>
  <c r="AZ414" i="3"/>
  <c r="BA415" i="3"/>
  <c r="BA416" i="3"/>
  <c r="AZ416" i="3" s="1"/>
  <c r="BA418" i="3"/>
  <c r="AZ418" i="3" s="1"/>
  <c r="BA421" i="3"/>
  <c r="AZ421" i="3" s="1"/>
  <c r="BA423" i="3"/>
  <c r="BA425" i="3"/>
  <c r="BA426" i="3"/>
  <c r="AZ426" i="3" s="1"/>
  <c r="BA427" i="3"/>
  <c r="AZ427" i="3" s="1"/>
  <c r="BA433" i="3"/>
  <c r="BA435" i="3"/>
  <c r="AZ435" i="3" s="1"/>
  <c r="BL437" i="3"/>
  <c r="G439" i="3"/>
  <c r="G440" i="3"/>
  <c r="BL441" i="3"/>
  <c r="AZ441" i="3"/>
  <c r="BL442" i="3"/>
  <c r="BL444" i="3"/>
  <c r="AZ444" i="3" s="1"/>
  <c r="G446" i="3"/>
  <c r="G447" i="3"/>
  <c r="BL448" i="3"/>
  <c r="AZ448" i="3" s="1"/>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AZ483" i="3" s="1"/>
  <c r="BL483" i="3"/>
  <c r="BA486" i="3"/>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AZ224" i="3" s="1"/>
  <c r="BA226" i="3"/>
  <c r="BA237" i="3"/>
  <c r="AZ237" i="3" s="1"/>
  <c r="BL240" i="3"/>
  <c r="BA242" i="3"/>
  <c r="BL245" i="3"/>
  <c r="AZ245" i="3" s="1"/>
  <c r="G247" i="3"/>
  <c r="BL255" i="3"/>
  <c r="AZ255" i="3" s="1"/>
  <c r="G257" i="3"/>
  <c r="BL257" i="3"/>
  <c r="AZ257" i="3"/>
  <c r="BL258" i="3"/>
  <c r="G259" i="3"/>
  <c r="BA262" i="3"/>
  <c r="AZ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AZ145" i="3" s="1"/>
  <c r="G152" i="3"/>
  <c r="BA153" i="3"/>
  <c r="AZ153" i="3" s="1"/>
  <c r="AZ201" i="3"/>
  <c r="BA160" i="3"/>
  <c r="AZ160" i="3" s="1"/>
  <c r="G162" i="3"/>
  <c r="BL162" i="3"/>
  <c r="BL165" i="3"/>
  <c r="G166" i="3"/>
  <c r="BL170" i="3"/>
  <c r="G171" i="3"/>
  <c r="BA173" i="3"/>
  <c r="AZ173" i="3" s="1"/>
  <c r="BA174" i="3"/>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c r="G35" i="3"/>
  <c r="G36" i="3"/>
  <c r="G37" i="3"/>
  <c r="G40" i="3"/>
  <c r="BL40" i="3"/>
  <c r="BL41" i="3"/>
  <c r="G45" i="3"/>
  <c r="BL45" i="3"/>
  <c r="BA48" i="3"/>
  <c r="BA49" i="3"/>
  <c r="BL64" i="3"/>
  <c r="G65" i="3"/>
  <c r="BL65" i="3"/>
  <c r="AZ65" i="3" s="1"/>
  <c r="G72" i="3"/>
  <c r="BL73" i="3"/>
  <c r="BA74" i="3"/>
  <c r="AZ74" i="3" s="1"/>
  <c r="BL79" i="3"/>
  <c r="G80" i="3"/>
  <c r="G85" i="3"/>
  <c r="BL85" i="3"/>
  <c r="AZ85" i="3" s="1"/>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AZ183" i="3" s="1"/>
  <c r="BA186" i="3"/>
  <c r="BA190" i="3"/>
  <c r="BA197" i="3"/>
  <c r="BL201" i="3"/>
  <c r="BL203" i="3"/>
  <c r="AZ203" i="3" s="1"/>
  <c r="BA204" i="3"/>
  <c r="AZ204" i="3" s="1"/>
  <c r="BA18" i="3"/>
  <c r="BL21" i="3"/>
  <c r="BL29" i="3"/>
  <c r="BA37" i="3"/>
  <c r="AZ37" i="3" s="1"/>
  <c r="BL39" i="3"/>
  <c r="BA45" i="3"/>
  <c r="BA46" i="3"/>
  <c r="AZ46" i="3" s="1"/>
  <c r="BA52" i="3"/>
  <c r="BA53" i="3"/>
  <c r="BA54" i="3"/>
  <c r="BL57" i="3"/>
  <c r="AZ57" i="3" s="1"/>
  <c r="BL62" i="3"/>
  <c r="BL63" i="3"/>
  <c r="G67" i="3"/>
  <c r="BL68" i="3"/>
  <c r="BA69" i="3"/>
  <c r="BA73" i="3"/>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AZ193" i="3" s="1"/>
  <c r="BA196" i="3"/>
  <c r="AZ196" i="3" s="1"/>
  <c r="G203" i="3"/>
  <c r="BA205" i="3"/>
  <c r="G20" i="3"/>
  <c r="BL20" i="3"/>
  <c r="BA21" i="3"/>
  <c r="AZ21" i="3"/>
  <c r="BA25" i="3"/>
  <c r="AZ25" i="3"/>
  <c r="BA26" i="3"/>
  <c r="G28" i="3"/>
  <c r="BL28" i="3"/>
  <c r="BA29" i="3"/>
  <c r="AZ29" i="3"/>
  <c r="BA36" i="3"/>
  <c r="BL38" i="3"/>
  <c r="BA39" i="3"/>
  <c r="AZ39" i="3" s="1"/>
  <c r="BL47" i="3"/>
  <c r="G49" i="3"/>
  <c r="BL54" i="3"/>
  <c r="BL55" i="3"/>
  <c r="AZ55" i="3" s="1"/>
  <c r="G57" i="3"/>
  <c r="G58" i="3"/>
  <c r="BA59" i="3"/>
  <c r="AZ59" i="3" s="1"/>
  <c r="G61" i="3"/>
  <c r="BL61" i="3"/>
  <c r="G64" i="3"/>
  <c r="BA64" i="3"/>
  <c r="AZ64" i="3"/>
  <c r="BA68" i="3"/>
  <c r="AZ68" i="3" s="1"/>
  <c r="BL74" i="3"/>
  <c r="G75" i="3"/>
  <c r="BL75" i="3"/>
  <c r="BL86" i="3"/>
  <c r="AZ86" i="3" s="1"/>
  <c r="BA88" i="3"/>
  <c r="AZ88" i="3" s="1"/>
  <c r="BA89" i="3"/>
  <c r="G93" i="3"/>
  <c r="BA98" i="3"/>
  <c r="AZ98" i="3" s="1"/>
  <c r="W21" i="21"/>
  <c r="U21" i="33"/>
  <c r="AB21" i="33"/>
  <c r="E39" i="71"/>
  <c r="E40" i="71" s="1"/>
  <c r="U40" i="71" s="1"/>
  <c r="Y37" i="71"/>
  <c r="Z37" i="71" s="1"/>
  <c r="X25" i="71"/>
  <c r="V24" i="71"/>
  <c r="E23" i="71"/>
  <c r="E22" i="71" s="1"/>
  <c r="E21" i="71" s="1"/>
  <c r="E20" i="71" s="1"/>
  <c r="G103" i="3"/>
  <c r="BA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BL51" i="3"/>
  <c r="AZ51" i="3" s="1"/>
  <c r="G53" i="3"/>
  <c r="BL53" i="3"/>
  <c r="BA56" i="3"/>
  <c r="BA57" i="3"/>
  <c r="BL58" i="3"/>
  <c r="G60" i="3"/>
  <c r="BA60" i="3"/>
  <c r="AZ60" i="3" s="1"/>
  <c r="BA63" i="3"/>
  <c r="BA66" i="3"/>
  <c r="AZ66" i="3"/>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AZ111" i="3" s="1"/>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B44" i="34"/>
  <c r="AZ382" i="3"/>
  <c r="AZ321" i="3"/>
  <c r="AZ343" i="3"/>
  <c r="AC13" i="36"/>
  <c r="W13" i="36"/>
  <c r="AB31" i="33"/>
  <c r="U31" i="33"/>
  <c r="S15" i="34"/>
  <c r="AB33" i="35"/>
  <c r="U33" i="35"/>
  <c r="AB43" i="33"/>
  <c r="AB33" i="37"/>
  <c r="U33" i="37"/>
  <c r="AC19" i="37"/>
  <c r="AB13" i="34"/>
  <c r="AC14" i="37"/>
  <c r="W14" i="37"/>
  <c r="AC29" i="33"/>
  <c r="W29" i="33"/>
  <c r="AC46" i="21"/>
  <c r="AB35" i="35"/>
  <c r="U35" i="35"/>
  <c r="S13" i="35"/>
  <c r="AA13" i="35"/>
  <c r="AB31" i="34"/>
  <c r="U31" i="34"/>
  <c r="S12" i="21"/>
  <c r="AA12" i="21"/>
  <c r="S12" i="35"/>
  <c r="AA12" i="35"/>
  <c r="AC45" i="39"/>
  <c r="S34" i="21"/>
  <c r="J34" i="35"/>
  <c r="F34" i="35"/>
  <c r="S34" i="35" s="1"/>
  <c r="J26" i="37"/>
  <c r="F26" i="37"/>
  <c r="AA26" i="37" s="1"/>
  <c r="F40" i="40"/>
  <c r="G578" i="3"/>
  <c r="AZ431" i="3"/>
  <c r="AZ449" i="3"/>
  <c r="W35" i="39"/>
  <c r="F27" i="34"/>
  <c r="S27" i="34" s="1"/>
  <c r="C21" i="39"/>
  <c r="U9" i="36"/>
  <c r="U14" i="37"/>
  <c r="H12" i="21"/>
  <c r="AB12" i="21" s="1"/>
  <c r="G526" i="3"/>
  <c r="AZ434" i="3"/>
  <c r="AZ438" i="3"/>
  <c r="U26" i="21"/>
  <c r="W36" i="39"/>
  <c r="U23" i="40"/>
  <c r="AA39" i="37"/>
  <c r="AC16" i="36"/>
  <c r="C27" i="39"/>
  <c r="U40" i="40"/>
  <c r="AC9" i="40"/>
  <c r="J12" i="21"/>
  <c r="W12" i="21" s="1"/>
  <c r="B73" i="43"/>
  <c r="B76" i="43"/>
  <c r="F9" i="36"/>
  <c r="S9" i="36" s="1"/>
  <c r="J40" i="40"/>
  <c r="AC40" i="40" s="1"/>
  <c r="AZ231" i="3"/>
  <c r="BA472" i="3"/>
  <c r="AZ472" i="3"/>
  <c r="G476" i="3"/>
  <c r="BA479" i="3"/>
  <c r="AZ479" i="3" s="1"/>
  <c r="BA490" i="3"/>
  <c r="BL312" i="3"/>
  <c r="AZ312" i="3" s="1"/>
  <c r="G313" i="3"/>
  <c r="BA316" i="3"/>
  <c r="BA317" i="3"/>
  <c r="AZ317" i="3" s="1"/>
  <c r="BA323" i="3"/>
  <c r="AZ323" i="3" s="1"/>
  <c r="G327" i="3"/>
  <c r="BL330" i="3"/>
  <c r="G331" i="3"/>
  <c r="BL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G278" i="3"/>
  <c r="BA474" i="3"/>
  <c r="AZ474" i="3" s="1"/>
  <c r="BA475" i="3"/>
  <c r="AZ475" i="3" s="1"/>
  <c r="BL481" i="3"/>
  <c r="BL482" i="3"/>
  <c r="G483" i="3"/>
  <c r="BL485" i="3"/>
  <c r="BL486" i="3"/>
  <c r="AZ486" i="3"/>
  <c r="G487" i="3"/>
  <c r="BA492" i="3"/>
  <c r="BL363" i="3"/>
  <c r="AZ363" i="3" s="1"/>
  <c r="G369" i="3"/>
  <c r="BL393" i="3"/>
  <c r="AZ393" i="3" s="1"/>
  <c r="BL396" i="3"/>
  <c r="AZ396" i="3"/>
  <c r="BL209" i="3"/>
  <c r="AZ209" i="3" s="1"/>
  <c r="AZ226" i="3"/>
  <c r="G240" i="3"/>
  <c r="G242" i="3"/>
  <c r="G245" i="3"/>
  <c r="BL246" i="3"/>
  <c r="AZ246" i="3" s="1"/>
  <c r="BL253" i="3"/>
  <c r="BA261" i="3"/>
  <c r="BA264" i="3"/>
  <c r="AZ264" i="3" s="1"/>
  <c r="BA266" i="3"/>
  <c r="G272" i="3"/>
  <c r="G275" i="3"/>
  <c r="BL276" i="3"/>
  <c r="BL279" i="3"/>
  <c r="AZ279" i="3"/>
  <c r="BL281" i="3"/>
  <c r="BA285" i="3"/>
  <c r="BA287" i="3"/>
  <c r="AZ287" i="3" s="1"/>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AZ138" i="3" s="1"/>
  <c r="BA141" i="3"/>
  <c r="AZ141" i="3"/>
  <c r="BL145" i="3"/>
  <c r="BL147" i="3"/>
  <c r="AZ147" i="3"/>
  <c r="G148" i="3"/>
  <c r="BL151" i="3"/>
  <c r="AZ151" i="3" s="1"/>
  <c r="BA165" i="3"/>
  <c r="G168" i="3"/>
  <c r="BA170" i="3"/>
  <c r="AZ170" i="3" s="1"/>
  <c r="BL174" i="3"/>
  <c r="AZ174" i="3"/>
  <c r="BL202" i="3"/>
  <c r="BL36" i="3"/>
  <c r="AZ36" i="3" s="1"/>
  <c r="AZ73" i="3"/>
  <c r="AZ106" i="3"/>
  <c r="G200" i="3"/>
  <c r="G207" i="3"/>
  <c r="BA23" i="3"/>
  <c r="AZ23" i="3" s="1"/>
  <c r="BA24" i="3"/>
  <c r="AZ24" i="3" s="1"/>
  <c r="BL26" i="3"/>
  <c r="AZ26" i="3"/>
  <c r="BL32" i="3"/>
  <c r="BA34" i="3"/>
  <c r="AZ34" i="3"/>
  <c r="BA35" i="3"/>
  <c r="BL37" i="3"/>
  <c r="BL42" i="3"/>
  <c r="AZ42" i="3" s="1"/>
  <c r="BA44" i="3"/>
  <c r="AZ44" i="3" s="1"/>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AZ87" i="3" s="1"/>
  <c r="BA93" i="3"/>
  <c r="AZ93" i="3" s="1"/>
  <c r="BA96" i="3"/>
  <c r="BA99" i="3"/>
  <c r="BL104" i="3"/>
  <c r="AZ104" i="3" s="1"/>
  <c r="U18" i="35"/>
  <c r="Y32" i="71"/>
  <c r="Z32" i="71"/>
  <c r="Y33" i="71"/>
  <c r="Z33" i="71" s="1"/>
  <c r="Y22" i="71"/>
  <c r="Z22" i="7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C34" i="36"/>
  <c r="AA31" i="36"/>
  <c r="S30" i="36"/>
  <c r="S29" i="36"/>
  <c r="W8" i="36"/>
  <c r="AB8" i="36"/>
  <c r="S8" i="36"/>
  <c r="AB11" i="36"/>
  <c r="AB10" i="35"/>
  <c r="U30" i="35"/>
  <c r="AA30" i="35"/>
  <c r="W32" i="35"/>
  <c r="W33" i="35"/>
  <c r="S8" i="35"/>
  <c r="U11" i="35"/>
  <c r="AB37" i="21"/>
  <c r="S33" i="37"/>
  <c r="AC9" i="37"/>
  <c r="W11" i="37"/>
  <c r="AA8" i="37"/>
  <c r="AA12" i="37"/>
  <c r="AB9" i="37"/>
  <c r="U11" i="37"/>
  <c r="U12" i="37"/>
  <c r="AC8" i="37"/>
  <c r="AB37" i="34"/>
  <c r="AC11" i="34"/>
  <c r="U33" i="21"/>
  <c r="AB13" i="33"/>
  <c r="S9" i="33"/>
  <c r="S8" i="33"/>
  <c r="U8" i="33"/>
  <c r="W8" i="21"/>
  <c r="S8" i="21"/>
  <c r="AA11" i="21"/>
  <c r="AC11" i="21"/>
  <c r="AB11" i="21"/>
  <c r="C5" i="11"/>
  <c r="C4" i="12"/>
  <c r="O6" i="1"/>
  <c r="T13" i="1"/>
  <c r="F31" i="15"/>
  <c r="F31" i="67"/>
  <c r="U10" i="36"/>
  <c r="S10" i="36"/>
  <c r="AA10" i="35"/>
  <c r="W10" i="35"/>
  <c r="S10" i="37"/>
  <c r="AC10" i="37"/>
  <c r="W10" i="34"/>
  <c r="S10" i="34"/>
  <c r="U10" i="21"/>
  <c r="W10" i="21"/>
  <c r="AB27" i="36"/>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F28" i="15"/>
  <c r="P6" i="1"/>
  <c r="C70" i="71"/>
  <c r="D70" i="71" s="1"/>
  <c r="C22" i="71"/>
  <c r="D22" i="71" s="1"/>
  <c r="D23" i="71"/>
  <c r="C52" i="71"/>
  <c r="T52" i="71" s="1"/>
  <c r="D51" i="71"/>
  <c r="AC44" i="39"/>
  <c r="W44" i="39"/>
  <c r="AC24" i="36"/>
  <c r="W24" i="36"/>
  <c r="W13" i="39"/>
  <c r="AC13" i="39"/>
  <c r="AZ79" i="3"/>
  <c r="D79" i="71"/>
  <c r="C78" i="71"/>
  <c r="D78" i="71" s="1"/>
  <c r="AZ45" i="3"/>
  <c r="C56" i="71"/>
  <c r="D56" i="71" s="1"/>
  <c r="AZ49" i="3"/>
  <c r="AZ415" i="3"/>
  <c r="AZ230" i="3"/>
  <c r="AZ297" i="3"/>
  <c r="AZ210" i="3"/>
  <c r="AA25" i="37"/>
  <c r="S25" i="37"/>
  <c r="U44" i="39"/>
  <c r="AB12" i="36"/>
  <c r="AB34" i="36"/>
  <c r="C82" i="71"/>
  <c r="D82" i="71" s="1"/>
  <c r="AZ53" i="3"/>
  <c r="AZ302"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U12" i="21"/>
  <c r="AA27" i="34"/>
  <c r="AC26" i="37"/>
  <c r="W26" i="37"/>
  <c r="AA9" i="36"/>
  <c r="S40" i="40"/>
  <c r="AA40" i="40"/>
  <c r="AC34" i="35"/>
  <c r="W34" i="35"/>
  <c r="C7" i="43"/>
  <c r="B7" i="74"/>
  <c r="F59" i="67"/>
  <c r="M17" i="67"/>
  <c r="M17" i="15"/>
  <c r="F59" i="15"/>
  <c r="AE11" i="1"/>
  <c r="AE9" i="1"/>
  <c r="AE8" i="1"/>
  <c r="AE12" i="1"/>
  <c r="AE10" i="1"/>
  <c r="AE7" i="1"/>
  <c r="D40" i="71"/>
  <c r="D52"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AO13" i="1"/>
  <c r="B13" i="76"/>
  <c r="AO12" i="1"/>
  <c r="M23" i="15"/>
  <c r="C36" i="69"/>
  <c r="E12" i="76"/>
  <c r="B7" i="76"/>
  <c r="M8" i="15"/>
  <c r="E13" i="76"/>
  <c r="F42" i="67"/>
  <c r="D2" i="35"/>
  <c r="F20" i="31"/>
  <c r="D2" i="36"/>
  <c r="B10" i="76"/>
  <c r="F6" i="15"/>
  <c r="B11" i="76"/>
  <c r="F26" i="67"/>
  <c r="M9" i="15"/>
  <c r="M27" i="15"/>
  <c r="F38" i="67"/>
  <c r="M6" i="15"/>
  <c r="AO7" i="1"/>
  <c r="AO10" i="1"/>
  <c r="D2" i="33"/>
  <c r="F42" i="15"/>
  <c r="B12" i="76"/>
  <c r="E11" i="76"/>
  <c r="J15" i="15"/>
  <c r="E10" i="76"/>
  <c r="AO11" i="1"/>
  <c r="M24" i="15"/>
  <c r="F37" i="15"/>
  <c r="E8" i="76"/>
  <c r="F40" i="15"/>
  <c r="F27" i="69"/>
  <c r="E2" i="81"/>
  <c r="F9" i="15"/>
  <c r="AO8" i="1"/>
  <c r="B8" i="76"/>
  <c r="E9" i="76"/>
  <c r="F26" i="15"/>
  <c r="D9" i="68"/>
  <c r="AO9" i="1"/>
  <c r="E7" i="76"/>
  <c r="E2" i="68"/>
  <c r="F13" i="67"/>
  <c r="D2" i="34"/>
  <c r="B9" i="76"/>
  <c r="D2" i="21"/>
  <c r="D2" i="37"/>
  <c r="D9" i="69"/>
  <c r="M26" i="67"/>
  <c r="E2" i="69"/>
  <c r="AA12" i="33" l="1"/>
  <c r="AZ507" i="3"/>
  <c r="AA32" i="37"/>
  <c r="S32" i="37"/>
  <c r="S13" i="37"/>
  <c r="AA13" i="37"/>
  <c r="AC28" i="40"/>
  <c r="W28" i="40"/>
  <c r="BA571" i="3"/>
  <c r="BA566" i="3"/>
  <c r="AZ566" i="3" s="1"/>
  <c r="BL565" i="3"/>
  <c r="BA560" i="3"/>
  <c r="BA557" i="3"/>
  <c r="BL550" i="3"/>
  <c r="AZ550" i="3" s="1"/>
  <c r="BL542" i="3"/>
  <c r="BA542" i="3"/>
  <c r="BL534" i="3"/>
  <c r="BA534" i="3"/>
  <c r="AZ534" i="3" s="1"/>
  <c r="BL526" i="3"/>
  <c r="BA526" i="3"/>
  <c r="BL512" i="3"/>
  <c r="BA512" i="3"/>
  <c r="AZ512" i="3" s="1"/>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E29" i="6" s="1"/>
  <c r="K15" i="1"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AZ553" i="3" s="1"/>
  <c r="BA552" i="3"/>
  <c r="AZ552" i="3" s="1"/>
  <c r="BA551" i="3"/>
  <c r="BL544" i="3"/>
  <c r="AZ537" i="3"/>
  <c r="BA537" i="3"/>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AZ502" i="3" s="1"/>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242" i="3"/>
  <c r="AZ121" i="3"/>
  <c r="AZ296" i="3"/>
  <c r="AZ368" i="3"/>
  <c r="AZ428" i="3"/>
  <c r="AZ258" i="3"/>
  <c r="AZ350" i="3"/>
  <c r="AZ403" i="3"/>
  <c r="AZ225" i="3"/>
  <c r="W23" i="37"/>
  <c r="AZ355" i="3"/>
  <c r="AZ17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AZ462" i="3" s="1"/>
  <c r="BA463" i="3"/>
  <c r="AZ463" i="3" s="1"/>
  <c r="BL465" i="3"/>
  <c r="AZ465" i="3" s="1"/>
  <c r="BA469" i="3"/>
  <c r="AZ469" i="3" s="1"/>
  <c r="BA480" i="3"/>
  <c r="AZ480" i="3" s="1"/>
  <c r="BA485" i="3"/>
  <c r="AZ485" i="3" s="1"/>
  <c r="BA489" i="3"/>
  <c r="AZ489" i="3" s="1"/>
  <c r="BA303" i="3"/>
  <c r="AZ303" i="3" s="1"/>
  <c r="BA332" i="3"/>
  <c r="BL332" i="3"/>
  <c r="BL350" i="3"/>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U33" i="33"/>
  <c r="H36" i="33"/>
  <c r="AB36" i="33" s="1"/>
  <c r="F36" i="33"/>
  <c r="AA36" i="33" s="1"/>
  <c r="F37" i="33"/>
  <c r="H37" i="33"/>
  <c r="AB37" i="33" s="1"/>
  <c r="J37" i="33"/>
  <c r="F113" i="33"/>
  <c r="G113" i="33" s="1"/>
  <c r="H113" i="33" s="1"/>
  <c r="I113" i="33" s="1"/>
  <c r="J113" i="33" s="1"/>
  <c r="K113" i="33" s="1"/>
  <c r="L113" i="33" s="1"/>
  <c r="M113" i="33" s="1"/>
  <c r="AC34" i="33"/>
  <c r="AA35" i="33"/>
  <c r="W8" i="33"/>
  <c r="S33" i="33"/>
  <c r="W41" i="33"/>
  <c r="U36" i="33"/>
  <c r="AB40" i="33"/>
  <c r="AA41" i="33"/>
  <c r="S43" i="33"/>
  <c r="W42" i="33"/>
  <c r="AA42" i="33"/>
  <c r="S39" i="33"/>
  <c r="U42" i="33"/>
  <c r="S38" i="33"/>
  <c r="AA34" i="33"/>
  <c r="S28" i="33"/>
  <c r="W33" i="33"/>
  <c r="S32"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AZ158" i="3"/>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E10" i="6" s="1"/>
  <c r="AQ7" i="1"/>
  <c r="T12" i="1"/>
  <c r="P16" i="1"/>
  <c r="C11" i="12" s="1"/>
  <c r="C12" i="12" s="1"/>
  <c r="D33" i="80"/>
  <c r="D1" i="80" s="1"/>
  <c r="E19" i="6"/>
  <c r="H5" i="3"/>
  <c r="L27" i="6"/>
  <c r="G8" i="1"/>
  <c r="G12" i="1"/>
  <c r="B2" i="1"/>
  <c r="J51" i="15" s="1"/>
  <c r="C5" i="78"/>
  <c r="D5" i="78" s="1"/>
  <c r="C53" i="10"/>
  <c r="B11" i="70"/>
  <c r="B10" i="70"/>
  <c r="B8" i="70"/>
  <c r="B9" i="70"/>
  <c r="B12" i="70"/>
  <c r="B20" i="31"/>
  <c r="B21" i="31" s="1"/>
  <c r="C47" i="69"/>
  <c r="D45" i="69" s="1"/>
  <c r="F45" i="69"/>
  <c r="C29" i="69"/>
  <c r="D27" i="69" s="1"/>
  <c r="F68" i="15"/>
  <c r="C27" i="67"/>
  <c r="B7" i="70"/>
  <c r="F65" i="15"/>
  <c r="C9" i="69"/>
  <c r="B13" i="70"/>
  <c r="F66"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37" i="67"/>
  <c r="F36" i="15"/>
  <c r="F40" i="67"/>
  <c r="M24" i="67"/>
  <c r="F16" i="15"/>
  <c r="F9" i="67"/>
  <c r="F38" i="15"/>
  <c r="J15" i="67"/>
  <c r="F8" i="67"/>
  <c r="M23" i="67"/>
  <c r="L47" i="15"/>
  <c r="M28" i="15"/>
  <c r="M22" i="67"/>
  <c r="M8" i="67"/>
  <c r="C76" i="67"/>
  <c r="F8" i="15"/>
  <c r="C76" i="15"/>
  <c r="L48" i="82"/>
  <c r="M28" i="67"/>
  <c r="M27" i="67"/>
  <c r="L47" i="67"/>
  <c r="F13" i="15"/>
  <c r="F36" i="67"/>
  <c r="M22" i="15"/>
  <c r="F6" i="73"/>
  <c r="F16" i="67"/>
  <c r="M26" i="15"/>
  <c r="M9" i="67"/>
  <c r="M6" i="67"/>
  <c r="F3" i="73"/>
  <c r="L48" i="15"/>
  <c r="L48" i="67"/>
  <c r="F6" i="67"/>
  <c r="S27" i="33" l="1"/>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57" i="40"/>
  <c r="E61" i="39"/>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4" i="39"/>
  <c r="F27" i="6"/>
  <c r="E51" i="40"/>
  <c r="E56" i="39"/>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Q60" i="67"/>
  <c r="L56" i="15"/>
  <c r="D8" i="49"/>
  <c r="C4" i="4"/>
  <c r="M28" i="82"/>
  <c r="D6" i="73"/>
  <c r="M22" i="82"/>
  <c r="M6" i="82"/>
  <c r="M29" i="15"/>
  <c r="M27" i="82"/>
  <c r="C36" i="81"/>
  <c r="F27" i="81"/>
  <c r="F37" i="82"/>
  <c r="F4" i="73"/>
  <c r="M24" i="82"/>
  <c r="M9" i="82"/>
  <c r="F38" i="82"/>
  <c r="J15" i="82"/>
  <c r="F40" i="82"/>
  <c r="F42" i="82"/>
  <c r="F7" i="15"/>
  <c r="M23" i="82"/>
  <c r="M8" i="82"/>
  <c r="D5" i="73"/>
  <c r="F26" i="82"/>
  <c r="L47" i="82"/>
  <c r="F16" i="82"/>
  <c r="D3" i="73"/>
  <c r="F43" i="67"/>
  <c r="F13" i="82"/>
  <c r="M29" i="67"/>
  <c r="F7" i="82"/>
  <c r="F43" i="82"/>
  <c r="M26" i="82"/>
  <c r="D7" i="73"/>
  <c r="F5" i="73"/>
  <c r="F9" i="82"/>
  <c r="F36" i="82"/>
  <c r="M29" i="82"/>
  <c r="D4" i="73"/>
  <c r="F7" i="73"/>
  <c r="F6" i="82"/>
  <c r="C76" i="82"/>
  <c r="F43" i="15"/>
  <c r="F7" i="67"/>
  <c r="F8" i="82"/>
  <c r="D9" i="81"/>
  <c r="M7" i="67" l="1"/>
  <c r="J6" i="67" s="1"/>
  <c r="J18" i="67" s="1"/>
  <c r="F50" i="67"/>
  <c r="C49" i="67" s="1"/>
  <c r="C61" i="67" s="1"/>
  <c r="C6" i="67"/>
  <c r="F71" i="67"/>
  <c r="J19" i="67"/>
  <c r="D36" i="71"/>
  <c r="T36" i="71"/>
  <c r="D64" i="71"/>
  <c r="T64" i="71"/>
  <c r="AZ5" i="3"/>
  <c r="AY6" i="3" s="1"/>
  <c r="K1" i="73"/>
  <c r="Q74" i="15"/>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J10" i="39"/>
  <c r="W10" i="39" s="1"/>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67"/>
  <c r="C16" i="15"/>
  <c r="C16" i="82"/>
  <c r="C36" i="68"/>
  <c r="G1" i="73"/>
  <c r="AY146" i="3" l="1"/>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U7" i="21"/>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C48" i="82" l="1"/>
  <c r="C66" i="82" s="1"/>
  <c r="AA7" i="36"/>
  <c r="R36" i="36" s="1"/>
  <c r="U7" i="34"/>
  <c r="V2" i="43"/>
  <c r="W2" i="43"/>
  <c r="V4" i="43"/>
  <c r="W4" i="43"/>
  <c r="V3" i="43"/>
  <c r="W3" i="43"/>
  <c r="V5" i="43"/>
  <c r="W5" i="43"/>
  <c r="H23" i="6"/>
  <c r="R23" i="6" s="1"/>
  <c r="H21" i="6"/>
  <c r="H24" i="6"/>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4" i="6"/>
  <c r="R25" i="6"/>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7" i="67"/>
  <c r="D10" i="81"/>
  <c r="C17" i="82"/>
  <c r="C17" i="15"/>
  <c r="F41" i="67"/>
  <c r="C14" i="82"/>
  <c r="D10" i="68"/>
  <c r="F41" i="15"/>
  <c r="C34" i="81"/>
  <c r="C34" i="69"/>
  <c r="D10" i="69"/>
  <c r="C14" i="67"/>
  <c r="F41" i="82"/>
  <c r="C60" i="82" l="1"/>
  <c r="C38" i="69"/>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C33" i="69" l="1"/>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C43" i="69" l="1"/>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F35" i="15"/>
  <c r="F35" i="67"/>
  <c r="M21" i="67"/>
  <c r="F35" i="82"/>
  <c r="M21" i="82"/>
  <c r="M21" i="15"/>
  <c r="C52" i="69" l="1"/>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58" i="67" l="1"/>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0" i="67" l="1"/>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67"/>
  <c r="L51" i="15"/>
  <c r="E6" i="76"/>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20" i="9"/>
  <c r="D19" i="9"/>
  <c r="AO6" i="1"/>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C20" i="9"/>
  <c r="D35" i="9"/>
  <c r="D34"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D14" i="74" s="1"/>
  <c r="E14" i="74"/>
  <c r="F118" i="9"/>
  <c r="H102" i="9"/>
  <c r="I4" i="52"/>
  <c r="C105" i="9"/>
  <c r="E118" i="9"/>
  <c r="E4" i="52" s="1"/>
  <c r="B48" i="72" s="1"/>
  <c r="H101" i="9" l="1"/>
  <c r="D5" i="53" s="1"/>
  <c r="B20" i="72" s="1"/>
  <c r="C104" i="9"/>
  <c r="H4" i="52"/>
  <c r="H119" i="9"/>
  <c r="H5" i="52" s="1"/>
  <c r="G14" i="74"/>
  <c r="F14" i="74"/>
  <c r="B5" i="74"/>
  <c r="D5" i="74" s="1"/>
  <c r="H107" i="9"/>
  <c r="D122" i="9" s="1"/>
  <c r="D45" i="9"/>
  <c r="C78" i="9" s="1"/>
  <c r="C73" i="9" s="1"/>
  <c r="D118" i="9"/>
  <c r="F4" i="52"/>
  <c r="B51" i="72" s="1"/>
  <c r="F119" i="9"/>
  <c r="F5" i="52" s="1"/>
  <c r="B53" i="72" s="1"/>
  <c r="D6" i="53"/>
  <c r="B22" i="72" s="1"/>
  <c r="D7" i="53"/>
  <c r="B21" i="72" s="1"/>
  <c r="M48" i="9" l="1"/>
  <c r="P48" i="9" s="1"/>
  <c r="C5" i="74"/>
  <c r="J14" i="74"/>
  <c r="B6" i="74"/>
  <c r="C85" i="9"/>
  <c r="C72" i="9"/>
  <c r="C79" i="9" s="1"/>
  <c r="C93" i="9"/>
  <c r="C86" i="9" s="1"/>
  <c r="H108" i="9"/>
  <c r="D15" i="53" s="1"/>
  <c r="B31" i="72" s="1"/>
  <c r="D13" i="53"/>
  <c r="D14" i="53" s="1"/>
  <c r="B32" i="72" s="1"/>
  <c r="M49" i="9"/>
  <c r="P54" i="9" s="1"/>
  <c r="D52" i="9"/>
  <c r="D53" i="9"/>
  <c r="D55" i="9"/>
  <c r="M53" i="9" s="1"/>
  <c r="P53" i="9" s="1"/>
  <c r="C64" i="9"/>
  <c r="C63" i="9" s="1"/>
  <c r="C67" i="9" s="1"/>
  <c r="C68" i="9" s="1"/>
  <c r="D54" i="9" s="1"/>
  <c r="D119" i="9"/>
  <c r="D5" i="52" s="1"/>
  <c r="B49" i="72" s="1"/>
  <c r="D4" i="52"/>
  <c r="B47" i="72" s="1"/>
  <c r="D8" i="52"/>
  <c r="D123" i="9"/>
  <c r="D9" i="52" s="1"/>
  <c r="D48" i="9" l="1"/>
  <c r="M52" i="9" s="1"/>
  <c r="E6" i="74"/>
  <c r="D6" i="74"/>
  <c r="C95" i="9"/>
  <c r="C97" i="9" s="1"/>
  <c r="L66" i="9"/>
  <c r="M66" i="9" s="1"/>
  <c r="L67" i="9"/>
  <c r="M67" i="9" s="1"/>
  <c r="C6" i="74"/>
  <c r="L64" i="9"/>
  <c r="M64" i="9" s="1"/>
  <c r="P52" i="9"/>
  <c r="P57" i="9" s="1"/>
  <c r="P58" i="9" s="1"/>
  <c r="B30" i="72"/>
  <c r="P49" i="9"/>
  <c r="L68" i="9"/>
  <c r="M68" i="9" s="1"/>
  <c r="L65" i="9"/>
  <c r="M65" i="9" s="1"/>
  <c r="L63" i="9"/>
  <c r="M63" i="9" s="1"/>
  <c r="C80" i="9"/>
  <c r="E80" i="9" s="1"/>
  <c r="E81" i="9" s="1"/>
  <c r="C96" i="9"/>
  <c r="E96" i="9" s="1"/>
  <c r="E97" i="9" s="1"/>
  <c r="C81" i="9" l="1"/>
  <c r="D58" i="9" s="1"/>
  <c r="D56" i="9" s="1"/>
  <c r="M54" i="9" s="1"/>
  <c r="N57" i="9" s="1"/>
  <c r="N58" i="9" s="1"/>
  <c r="M69" i="9"/>
  <c r="N69" i="9" s="1"/>
  <c r="P59" i="9"/>
  <c r="P61" i="9" s="1"/>
  <c r="N59" i="9" l="1"/>
  <c r="P60" i="9"/>
  <c r="H111" i="9"/>
  <c r="N60" i="9"/>
  <c r="N61" i="9"/>
  <c r="H112" i="9" s="1"/>
  <c r="D21" i="53" s="1"/>
  <c r="B39" i="72" s="1"/>
  <c r="D126" i="9" l="1"/>
  <c r="I14" i="74" s="1"/>
  <c r="J111" i="9"/>
  <c r="D19" i="53"/>
  <c r="D20" i="53" l="1"/>
  <c r="B40" i="72" s="1"/>
  <c r="B38" i="72"/>
  <c r="B8" i="74"/>
  <c r="D12" i="52"/>
  <c r="D127" i="9"/>
  <c r="D13" i="52" s="1"/>
  <c r="D8" i="74" l="1"/>
  <c r="C8" i="74"/>
  <c r="E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<sst xmlns="http://schemas.openxmlformats.org/spreadsheetml/2006/main" count="9295" uniqueCount="3526">
  <si>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</si>
  <si>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</si>
  <si>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</si>
  <si>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</si>
  <si>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</si>
  <si>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</si>
  <si>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</si>
  <si>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</si>
  <si>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</si>
  <si>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</si>
  <si>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</si>
  <si>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</si>
  <si>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</si>
  <si>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</si>
  <si>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</si>
  <si>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</si>
  <si>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</si>
  <si>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</si>
  <si>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</si>
  <si>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</si>
  <si>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</si>
  <si>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</si>
  <si>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</si>
  <si>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</si>
  <si>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</si>
  <si>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</si>
  <si>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</si>
  <si>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</si>
  <si>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</si>
  <si>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</si>
  <si>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</si>
  <si>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</si>
  <si>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</si>
  <si>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</si>
  <si>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</si>
  <si>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</si>
  <si>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</si>
  <si>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</si>
  <si>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</si>
  <si>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</si>
  <si>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</si>
  <si>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</si>
  <si>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</si>
  <si>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</si>
  <si>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</si>
  <si>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</si>
  <si>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</si>
  <si>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</si>
  <si>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</si>
  <si>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</si>
  <si>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</si>
  <si>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</si>
  <si>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</si>
  <si>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</si>
  <si>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</si>
  <si>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</si>
  <si>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</si>
  <si>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</si>
  <si>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</si>
  <si>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</si>
  <si>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</si>
  <si>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</si>
  <si>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</si>
  <si>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</si>
  <si>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</si>
  <si>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</si>
  <si>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</si>
  <si>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</si>
  <si>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</si>
  <si>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</si>
  <si>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</si>
  <si>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</si>
  <si>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</si>
  <si>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</si>
  <si>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</si>
  <si>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</si>
  <si>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</si>
  <si>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</si>
  <si>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</si>
  <si>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</si>
  <si>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</si>
  <si>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</si>
  <si>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</si>
  <si>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</si>
  <si>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</si>
  <si>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</si>
  <si>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</si>
  <si>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</si>
  <si>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</si>
  <si>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</si>
  <si>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</si>
  <si>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</si>
  <si>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</si>
  <si>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</si>
  <si>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</si>
  <si>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</si>
  <si>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</si>
  <si>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</si>
  <si>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</si>
  <si>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</si>
  <si>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</si>
  <si>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</si>
  <si>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</si>
  <si>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</si>
  <si>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</si>
  <si>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</si>
  <si>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</si>
  <si>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</si>
  <si>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</si>
  <si>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</si>
  <si>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</si>
  <si>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</si>
  <si>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</si>
  <si>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</si>
  <si>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</si>
  <si>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</si>
  <si>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</si>
  <si>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</si>
  <si>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</si>
  <si>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</si>
  <si>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</si>
  <si>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</si>
  <si>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</si>
  <si>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</si>
  <si>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</si>
  <si>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</si>
  <si>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</si>
  <si>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</si>
  <si>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</si>
  <si>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</si>
  <si>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</si>
  <si>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</si>
  <si>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</si>
  <si>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</si>
  <si>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</si>
  <si>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</si>
  <si>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</si>
  <si>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</si>
  <si>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</si>
  <si>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</si>
  <si>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</si>
  <si>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</si>
  <si>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</si>
  <si>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</si>
  <si>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</si>
  <si>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</si>
  <si>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</si>
  <si>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</si>
  <si>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</si>
  <si>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</si>
  <si>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</si>
  <si>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</si>
  <si>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</si>
  <si>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</si>
  <si>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</si>
  <si>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</si>
  <si>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</si>
  <si>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</si>
  <si>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</si>
  <si>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</si>
  <si>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</si>
  <si>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</si>
  <si>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</si>
  <si>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</si>
  <si>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</si>
  <si>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</si>
  <si>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</si>
  <si>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</si>
  <si>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</si>
  <si>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</si>
  <si>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</si>
  <si>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</si>
  <si>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</si>
  <si>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</si>
  <si>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</si>
  <si>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</si>
  <si>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</si>
  <si>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</si>
  <si>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</si>
  <si>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</si>
  <si>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</si>
  <si>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</si>
  <si>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</si>
  <si>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</si>
  <si>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</si>
  <si>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</si>
  <si>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</si>
  <si>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</si>
  <si>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</si>
  <si>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</si>
  <si>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</si>
  <si>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</si>
  <si>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</si>
  <si>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</si>
  <si>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</si>
  <si>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</si>
  <si>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</si>
  <si>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</si>
  <si>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</si>
  <si>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</si>
  <si>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</si>
  <si>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</si>
  <si>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</si>
  <si>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</si>
  <si>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</si>
  <si>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</si>
  <si>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</si>
  <si>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</si>
  <si>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</si>
  <si>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</si>
  <si>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</si>
  <si>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</si>
  <si>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</si>
  <si>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</si>
  <si>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</si>
  <si>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</si>
  <si>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</si>
  <si>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</si>
  <si>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</si>
  <si>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</si>
  <si>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</si>
  <si>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</si>
  <si>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</si>
  <si>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</si>
  <si>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</si>
  <si>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</si>
  <si>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</si>
  <si>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</si>
  <si>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</si>
  <si>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</si>
  <si>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</si>
  <si>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</si>
  <si>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</si>
  <si>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</si>
  <si>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</si>
  <si>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</si>
  <si>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</si>
  <si>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</si>
  <si>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</si>
  <si>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</si>
  <si>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</si>
  <si>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</si>
  <si>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</si>
  <si>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</si>
  <si>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</si>
  <si>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</si>
  <si>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</si>
  <si>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</si>
  <si>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</si>
  <si>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</si>
  <si>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</si>
  <si>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</si>
  <si>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</si>
  <si>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</si>
  <si>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</si>
  <si>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</si>
  <si>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</si>
  <si>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</si>
  <si>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</si>
  <si>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</si>
  <si>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</si>
  <si>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</si>
  <si>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</si>
  <si>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</si>
  <si>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</si>
  <si>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</si>
  <si>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</si>
  <si>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</si>
  <si>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</si>
  <si>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</si>
  <si>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</si>
  <si>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</si>
  <si>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</si>
  <si>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</si>
  <si>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</si>
  <si>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</si>
  <si>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</si>
  <si>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</si>
  <si>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</si>
  <si>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</si>
  <si>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</si>
  <si>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</si>
  <si>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</si>
  <si>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</si>
  <si>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</si>
  <si>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</si>
  <si>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</si>
  <si>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</si>
  <si>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</si>
  <si>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</si>
  <si>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</si>
  <si>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</si>
  <si>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</si>
  <si>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</si>
  <si>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</si>
  <si>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</si>
  <si>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</si>
  <si>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</si>
  <si>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</si>
  <si>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</si>
  <si>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</si>
  <si>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</si>
  <si>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</si>
  <si>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</si>
  <si>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</si>
  <si>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</si>
  <si>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</si>
  <si>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</si>
  <si>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</si>
  <si>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</si>
  <si>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</si>
  <si>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</si>
  <si>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</si>
  <si>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</si>
  <si>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</si>
  <si>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</si>
  <si>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</si>
  <si>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</si>
  <si>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</si>
  <si>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</si>
  <si>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</si>
  <si>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</si>
  <si>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</si>
  <si>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</si>
  <si>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</si>
  <si>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</si>
  <si>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</si>
  <si>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</si>
  <si>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</si>
  <si>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</si>
  <si>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</si>
  <si>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</si>
  <si>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</si>
  <si>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</si>
  <si>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</si>
  <si>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</si>
  <si>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</si>
  <si>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</si>
  <si>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</si>
  <si>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</si>
  <si>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</si>
  <si>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</si>
  <si>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</si>
  <si>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</si>
  <si>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</si>
  <si>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</si>
  <si>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</si>
  <si>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</si>
  <si>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</si>
  <si>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</si>
  <si>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</si>
  <si>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</si>
  <si>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</si>
  <si>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</si>
  <si>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</si>
  <si>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</si>
  <si>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</si>
  <si>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</si>
  <si>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</si>
  <si>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</si>
  <si>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</si>
  <si>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</si>
  <si>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</si>
  <si>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</si>
  <si>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</si>
  <si>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</si>
  <si>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</si>
  <si>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</si>
  <si>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</si>
  <si>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</si>
  <si>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</si>
  <si>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</si>
  <si>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</si>
  <si>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</si>
  <si>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</si>
  <si>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</si>
  <si>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</si>
  <si>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</si>
  <si>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</si>
  <si>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</si>
  <si>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</si>
  <si>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</si>
  <si>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</si>
  <si>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</si>
  <si>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</si>
  <si>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</si>
  <si>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</si>
  <si>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</si>
  <si>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</si>
  <si>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</si>
  <si>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</si>
  <si>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</si>
  <si>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</si>
  <si>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</si>
  <si>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</si>
  <si>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</si>
  <si>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</si>
  <si>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</si>
  <si>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</si>
  <si>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</si>
  <si>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</si>
  <si>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</si>
  <si>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</si>
  <si>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</si>
  <si>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</si>
  <si>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</si>
  <si>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</si>
  <si>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</si>
  <si>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</si>
  <si>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</si>
  <si>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</si>
  <si>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</si>
  <si>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</si>
  <si>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</si>
  <si>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</si>
  <si>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</si>
  <si>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</si>
  <si>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</si>
  <si>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</si>
  <si>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</si>
  <si>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</si>
  <si>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</si>
  <si>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</si>
  <si>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</si>
  <si>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</si>
  <si>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</si>
  <si>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</si>
  <si>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</si>
  <si>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</si>
  <si>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</si>
  <si>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</si>
  <si>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</si>
  <si>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</si>
  <si>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</si>
  <si>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</si>
  <si>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</si>
  <si>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</si>
  <si>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</si>
  <si>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</si>
  <si>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</si>
  <si>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</si>
  <si>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</si>
  <si>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</si>
  <si>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</si>
  <si>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</si>
  <si>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</si>
  <si>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</si>
  <si>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</si>
  <si>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</si>
  <si>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</si>
  <si>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</si>
  <si>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</si>
  <si>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</si>
  <si>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</si>
  <si>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</si>
  <si>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</si>
  <si>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</si>
  <si>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</si>
  <si>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</si>
  <si>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</si>
  <si>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</si>
  <si>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</si>
  <si>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</si>
  <si>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</si>
  <si>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</si>
  <si>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</si>
  <si>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</si>
  <si>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</si>
  <si>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</si>
  <si>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</si>
  <si>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</si>
  <si>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</si>
  <si>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</si>
  <si>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</si>
  <si>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</si>
  <si>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</si>
  <si>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</si>
  <si>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</si>
  <si>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</si>
  <si>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</si>
  <si>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</si>
  <si>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</si>
  <si>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</si>
  <si>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</si>
  <si>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</si>
  <si>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</si>
  <si>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</si>
  <si>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</si>
  <si>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</si>
  <si>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</si>
  <si>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</si>
  <si>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</si>
  <si>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</si>
  <si>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</si>
  <si>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</si>
  <si>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</si>
  <si>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</si>
  <si>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</si>
  <si>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</si>
  <si>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</si>
  <si>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</si>
  <si>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</si>
  <si>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</si>
  <si>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</si>
  <si>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</si>
  <si>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</si>
  <si>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</si>
  <si>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</si>
  <si>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</si>
  <si>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</si>
  <si>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</si>
  <si>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</si>
  <si>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</si>
  <si>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</si>
  <si>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</si>
  <si>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</si>
  <si>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</si>
  <si>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</si>
  <si>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</si>
  <si>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</si>
  <si>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</si>
  <si>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</si>
  <si>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</si>
  <si>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</si>
  <si>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</si>
  <si>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</si>
  <si>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</si>
  <si>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</si>
  <si>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</si>
  <si>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</si>
  <si>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</si>
  <si>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</si>
  <si>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</si>
  <si>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</si>
  <si>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</si>
  <si>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</si>
  <si>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</si>
  <si>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</si>
  <si>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</si>
  <si>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</si>
  <si>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</si>
  <si>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</si>
  <si>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</si>
  <si>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</si>
  <si>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</si>
  <si>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</si>
  <si>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</si>
  <si>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</si>
  <si>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</si>
  <si>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</si>
  <si>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</si>
  <si>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</si>
  <si>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</si>
  <si>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</si>
  <si>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</si>
  <si>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</si>
  <si>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</si>
  <si>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</si>
  <si>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</si>
  <si>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</si>
  <si>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</si>
  <si>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</si>
  <si>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</si>
  <si>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</si>
  <si>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</si>
  <si>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</si>
  <si>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</si>
  <si>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</si>
  <si>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</si>
  <si>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</si>
  <si>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</si>
  <si>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</si>
  <si>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</si>
  <si>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</si>
  <si>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</si>
  <si>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</si>
  <si>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</si>
  <si>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</si>
  <si>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</si>
  <si>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</si>
  <si>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</si>
  <si>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</si>
  <si>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</si>
  <si>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</si>
  <si>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</si>
  <si>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</si>
  <si>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</si>
  <si>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</si>
  <si>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</si>
  <si>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</si>
  <si>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</si>
  <si>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</si>
  <si>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</si>
  <si>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</si>
  <si>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</si>
  <si>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</si>
  <si>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</si>
  <si>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</si>
  <si>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</si>
  <si>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</si>
  <si>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</si>
  <si>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</si>
  <si>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</si>
  <si>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</si>
  <si>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</si>
  <si>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</si>
  <si>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</si>
  <si>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</si>
  <si>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</si>
  <si>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</si>
  <si>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</si>
  <si>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</si>
  <si>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</si>
  <si>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</si>
  <si>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</si>
  <si>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</si>
  <si>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</si>
  <si>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</si>
  <si>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</si>
  <si>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</si>
  <si>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</si>
  <si>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</si>
  <si>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</si>
  <si>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</si>
  <si>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</si>
  <si>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</si>
  <si>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</si>
  <si>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</si>
  <si>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</si>
  <si>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</si>
  <si>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</si>
  <si>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</si>
  <si>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</si>
  <si>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</si>
  <si>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</si>
  <si>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</si>
  <si>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</si>
  <si>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</si>
  <si>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</si>
  <si>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</si>
  <si>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</si>
  <si>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</si>
  <si>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</si>
  <si>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</si>
  <si>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</si>
  <si>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</si>
  <si>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</si>
  <si>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</si>
  <si>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</si>
  <si>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</si>
  <si>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</si>
  <si>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</si>
  <si>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</si>
  <si>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</si>
  <si>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</si>
  <si>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</si>
  <si>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</si>
  <si>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</si>
  <si>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</si>
  <si>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</si>
  <si>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</si>
  <si>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</si>
  <si>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</si>
  <si>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</si>
  <si>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</si>
  <si>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</si>
  <si>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</si>
  <si>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</si>
  <si>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</si>
  <si>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</si>
  <si>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</si>
  <si>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</si>
  <si>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</si>
  <si>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</si>
  <si>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</si>
  <si>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</si>
  <si>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</si>
  <si>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</si>
  <si>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</si>
  <si>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</si>
  <si>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</si>
  <si>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</si>
  <si>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</si>
  <si>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</si>
  <si>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</si>
  <si>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</si>
  <si>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</si>
  <si>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</si>
  <si>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</si>
  <si>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</si>
  <si>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</si>
  <si>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</si>
  <si>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</si>
  <si>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</si>
  <si>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</si>
  <si>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</si>
  <si>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</si>
  <si>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</si>
  <si>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</si>
  <si>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</si>
  <si>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</si>
  <si>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</si>
  <si>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</si>
  <si>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</si>
  <si>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</si>
  <si>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</si>
  <si>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</si>
  <si>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</si>
  <si>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</si>
  <si>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</si>
  <si>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</si>
  <si>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</si>
  <si>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</si>
  <si>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</si>
  <si>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</si>
  <si>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</si>
  <si>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</si>
  <si>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</si>
  <si>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</si>
  <si>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</si>
  <si>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</si>
  <si>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</si>
  <si>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</si>
  <si>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</si>
  <si>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</si>
  <si>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</si>
  <si>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</si>
  <si>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</si>
  <si>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</si>
  <si>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</si>
  <si>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</si>
  <si>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</si>
  <si>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</si>
  <si>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</si>
  <si>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</si>
  <si>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</si>
  <si>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</si>
  <si>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</si>
  <si>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</si>
  <si>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</si>
  <si>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</si>
  <si>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</si>
  <si>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</si>
  <si>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</si>
  <si>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</si>
  <si>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</si>
  <si>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</si>
  <si>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</si>
  <si>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</si>
  <si>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</si>
  <si>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</si>
  <si>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</si>
  <si>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</si>
  <si>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</si>
  <si>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</si>
  <si>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</si>
  <si>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</si>
  <si>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</si>
  <si>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</si>
  <si>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</si>
  <si>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</si>
  <si>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</si>
  <si>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</si>
  <si>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</si>
  <si>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</si>
  <si>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</si>
  <si>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</si>
  <si>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</si>
  <si>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</si>
  <si>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</si>
  <si>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</si>
  <si>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</si>
  <si>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</si>
  <si>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</si>
  <si>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</si>
  <si>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</si>
  <si>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</si>
  <si>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</si>
  <si>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</si>
  <si>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</si>
  <si>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</si>
  <si>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</si>
  <si>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</si>
  <si>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</si>
  <si>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</si>
  <si>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</si>
  <si>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</si>
  <si>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</si>
  <si>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</si>
  <si>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</si>
  <si>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</si>
  <si>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</si>
  <si>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</si>
  <si>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</si>
  <si>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</si>
  <si>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</si>
  <si>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</si>
  <si>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</si>
  <si>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</si>
  <si>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</si>
  <si>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</si>
  <si>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</si>
  <si>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</si>
  <si>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</si>
  <si>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</si>
  <si>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</si>
  <si>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</si>
  <si>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</si>
  <si>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</si>
  <si>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</si>
  <si>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</si>
  <si>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</si>
  <si>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</si>
  <si>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</si>
  <si>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</si>
  <si>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</si>
  <si>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</si>
  <si>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</si>
  <si>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</si>
  <si>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</si>
  <si>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</si>
  <si>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</si>
  <si>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</si>
  <si>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</si>
  <si>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</si>
  <si>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</si>
  <si>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</si>
  <si>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</si>
  <si>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</si>
  <si>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</si>
  <si>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</si>
  <si>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</si>
  <si>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</si>
  <si>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</si>
  <si>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</si>
  <si>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</si>
  <si>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</si>
  <si>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</si>
  <si>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</si>
  <si>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</si>
  <si>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</si>
  <si>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</si>
  <si>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</si>
  <si>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</si>
  <si>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</si>
  <si>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</si>
  <si>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</si>
  <si>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</si>
  <si>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</si>
  <si>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</si>
  <si>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</si>
  <si>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</si>
  <si>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</si>
  <si>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</si>
  <si>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</si>
  <si>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</si>
  <si>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</si>
  <si>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</si>
  <si>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</si>
  <si>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</si>
  <si>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</si>
  <si>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</si>
  <si>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</si>
  <si>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</si>
  <si>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</si>
  <si>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</si>
  <si>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</si>
  <si>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</si>
  <si>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</si>
  <si>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</si>
  <si>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</si>
  <si>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</si>
  <si>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</si>
  <si>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</si>
  <si>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</si>
  <si>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</si>
  <si>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</si>
  <si>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</si>
  <si>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</si>
  <si>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</si>
  <si>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</si>
  <si>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</si>
  <si>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</si>
  <si>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</si>
  <si>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</si>
  <si>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</si>
  <si>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</si>
  <si>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</si>
  <si>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</si>
  <si>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</si>
  <si>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</si>
  <si>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</si>
  <si>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</si>
  <si>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</si>
  <si>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</si>
  <si>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</si>
  <si>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</si>
  <si>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</si>
  <si>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</si>
  <si>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</si>
  <si>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</si>
  <si>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</si>
  <si>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</si>
  <si>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</si>
  <si>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</si>
  <si>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</si>
  <si>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</si>
  <si>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</si>
  <si>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</si>
  <si>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</si>
  <si>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</si>
  <si>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</si>
  <si>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</si>
  <si>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</si>
  <si>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</si>
  <si>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</si>
  <si>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</si>
  <si>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</si>
  <si>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</si>
  <si>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</si>
  <si>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</si>
  <si>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</si>
  <si>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</si>
  <si>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</si>
  <si>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</si>
  <si>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</si>
  <si>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</si>
  <si>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</si>
  <si>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</si>
  <si>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</si>
  <si>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</si>
  <si>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</si>
  <si>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</si>
  <si>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</si>
  <si>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</si>
  <si>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</si>
  <si>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</si>
  <si>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</si>
  <si>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</si>
  <si>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</si>
  <si>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</si>
  <si>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</si>
  <si>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</si>
  <si>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</si>
  <si>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</si>
  <si>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</si>
  <si>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</si>
  <si>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</si>
  <si>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</si>
  <si>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</si>
  <si>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</si>
  <si>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</si>
  <si>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</si>
  <si>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</si>
  <si>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</si>
  <si>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</si>
  <si>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</si>
  <si>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</si>
  <si>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</si>
  <si>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</si>
  <si>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</si>
  <si>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</si>
  <si>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</si>
  <si>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</si>
  <si>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</si>
  <si>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</si>
  <si>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</si>
  <si>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</si>
  <si>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</si>
  <si>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</si>
  <si>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</si>
  <si>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</si>
  <si>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</si>
  <si>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</si>
  <si>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</si>
  <si>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</si>
  <si>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</si>
  <si>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</si>
  <si>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</si>
  <si>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</si>
  <si>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</si>
  <si>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</si>
  <si>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</si>
  <si>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</si>
  <si>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</si>
  <si>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</si>
  <si>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</si>
  <si>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</si>
  <si>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</si>
  <si>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</si>
  <si>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</si>
  <si>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</si>
  <si>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</si>
  <si>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</si>
  <si>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</si>
  <si>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</si>
  <si>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</si>
  <si>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</si>
  <si>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</si>
  <si>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</si>
  <si>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</si>
  <si>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</si>
  <si>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</si>
  <si>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</si>
  <si>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</si>
  <si>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</si>
  <si>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</si>
  <si>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</si>
  <si>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</si>
  <si>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</si>
  <si>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</si>
  <si>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</si>
  <si>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</si>
  <si>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</si>
  <si>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</si>
  <si>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</si>
  <si>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</si>
  <si>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</si>
  <si>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</si>
  <si>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</si>
  <si>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</si>
  <si>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</si>
  <si>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</si>
  <si>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</si>
  <si>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</si>
  <si>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</si>
  <si>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</si>
  <si>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</si>
  <si>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</si>
  <si>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</si>
  <si>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</si>
  <si>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</si>
  <si>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</si>
  <si>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</si>
  <si>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</si>
  <si>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</si>
  <si>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</si>
  <si>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</si>
  <si>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</si>
  <si>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</si>
  <si>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</si>
  <si>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</si>
  <si>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</si>
  <si>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</si>
  <si>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</si>
  <si>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</si>
  <si>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</si>
  <si>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</si>
  <si>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</si>
  <si>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</si>
  <si>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</si>
  <si>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</si>
  <si>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</si>
  <si>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</si>
  <si>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</si>
  <si>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</si>
  <si>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</si>
  <si>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</si>
  <si>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</si>
  <si>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</si>
  <si>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</si>
  <si>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</si>
  <si>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</si>
  <si>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</si>
  <si>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</si>
  <si>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</si>
  <si>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</si>
  <si>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</si>
  <si>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</si>
  <si>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</si>
  <si>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</si>
  <si>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</si>
  <si>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</si>
  <si>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</si>
  <si>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</si>
  <si>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</si>
  <si>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</si>
  <si>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</si>
  <si>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</si>
  <si>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</si>
  <si>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</si>
  <si>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</si>
  <si>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</si>
  <si>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</si>
  <si>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</si>
  <si>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</si>
  <si>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</si>
  <si>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</si>
  <si>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</si>
  <si>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</si>
  <si>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</si>
  <si>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</si>
  <si>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</si>
  <si>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</si>
  <si>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</si>
  <si>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</si>
  <si>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</si>
  <si>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</si>
  <si>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</si>
  <si>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</si>
  <si>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</si>
  <si>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</si>
  <si>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</si>
  <si>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</si>
  <si>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</si>
  <si>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</si>
  <si>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</si>
  <si>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</si>
  <si>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</si>
  <si>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</si>
  <si>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</si>
  <si>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</si>
  <si>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</si>
  <si>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</si>
  <si>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</si>
  <si>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</si>
  <si>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</si>
  <si>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</si>
  <si>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</si>
  <si>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</si>
  <si>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</si>
  <si>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</si>
  <si>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</si>
  <si>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</si>
  <si>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</si>
  <si>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</si>
  <si>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</si>
  <si>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</si>
  <si>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</si>
  <si>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</si>
  <si>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</si>
  <si>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</si>
  <si>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</si>
  <si>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</si>
  <si>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</si>
  <si>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</si>
  <si>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</si>
  <si>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</si>
  <si>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</si>
  <si>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</si>
  <si>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</si>
  <si>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</si>
  <si>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</si>
  <si>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</si>
  <si>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</si>
  <si>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</si>
  <si>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</si>
  <si>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</si>
  <si>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</si>
  <si>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</si>
  <si>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</si>
  <si>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</si>
  <si>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</si>
  <si>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</si>
  <si>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</si>
  <si>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</si>
  <si>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</si>
  <si>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</si>
  <si>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</si>
  <si>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</si>
  <si>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</si>
  <si>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</si>
  <si>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</si>
  <si>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</si>
  <si>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</si>
  <si>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</si>
  <si>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</si>
  <si>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</si>
  <si>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</si>
  <si>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</si>
  <si>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</si>
  <si>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</si>
  <si>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</si>
  <si>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</si>
  <si>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</si>
  <si>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</si>
  <si>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</si>
  <si>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</si>
  <si>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</si>
  <si>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</si>
  <si>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</si>
  <si>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</si>
  <si>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</si>
  <si>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</si>
  <si>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</si>
  <si>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</si>
  <si>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</si>
  <si>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</si>
  <si>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</si>
  <si>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</si>
  <si>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</si>
  <si>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</si>
  <si>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</si>
  <si>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</si>
  <si>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</si>
  <si>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</si>
  <si>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</si>
  <si>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</si>
  <si>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</si>
  <si>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</si>
  <si>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</si>
  <si>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</si>
  <si>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</si>
  <si>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</si>
  <si>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</si>
  <si>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</si>
  <si>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</si>
  <si>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</si>
  <si>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</si>
  <si>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</si>
  <si>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</si>
  <si>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</si>
  <si>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</si>
  <si>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</si>
  <si>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</si>
  <si>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</si>
  <si>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</si>
  <si>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</si>
  <si>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</si>
  <si>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</si>
  <si>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</si>
  <si>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</si>
  <si>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</si>
  <si>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</si>
  <si>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</si>
  <si>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</si>
  <si>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</si>
  <si>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</si>
  <si>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</si>
  <si>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</si>
  <si>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</si>
  <si>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</si>
  <si>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</si>
  <si>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</si>
  <si>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</si>
  <si>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</si>
  <si>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</si>
  <si>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</si>
  <si>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</si>
  <si>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</si>
  <si>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</si>
  <si>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</si>
  <si>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</si>
  <si>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</si>
  <si>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</si>
  <si>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</si>
  <si>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</si>
  <si>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</si>
  <si>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</si>
  <si>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</si>
  <si>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</si>
  <si>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</si>
  <si>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</si>
  <si>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</si>
  <si>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</si>
  <si>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</si>
  <si>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</si>
  <si>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</si>
  <si>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</si>
  <si>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</si>
  <si>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</si>
  <si>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</si>
  <si>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</si>
  <si>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</si>
  <si>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</si>
  <si>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</si>
  <si>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</si>
  <si>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</si>
  <si>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</si>
  <si>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</si>
  <si>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</si>
  <si>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</si>
  <si>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</si>
  <si>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</si>
  <si>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</si>
  <si>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</si>
  <si>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</si>
  <si>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</si>
  <si>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</si>
  <si>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</si>
  <si>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</si>
  <si>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</si>
  <si>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</si>
  <si>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</si>
  <si>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</si>
  <si>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</si>
  <si>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</si>
  <si>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</si>
  <si>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</si>
  <si>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</si>
  <si>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</si>
  <si>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</si>
  <si>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</si>
  <si>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</si>
  <si>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</si>
  <si>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</si>
  <si>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</si>
  <si>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</si>
  <si>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</si>
  <si>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</si>
  <si>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</si>
  <si>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</si>
  <si>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</si>
  <si>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</si>
  <si>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</si>
  <si>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</si>
  <si>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</si>
  <si>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</si>
  <si>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</si>
  <si>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</si>
  <si>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</si>
  <si>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</si>
  <si>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</si>
  <si>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</si>
  <si>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</si>
  <si>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</si>
  <si>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</si>
  <si>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</si>
  <si>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</si>
  <si>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</si>
  <si>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</si>
  <si>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</si>
  <si>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</si>
  <si>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</si>
  <si>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</si>
  <si>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</si>
  <si>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</si>
  <si>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</si>
  <si>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</si>
  <si>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</si>
  <si>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</si>
  <si>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</si>
  <si>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</si>
  <si>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</si>
  <si>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</si>
  <si>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</si>
  <si>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</si>
  <si>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</si>
  <si>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</si>
  <si>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</si>
  <si>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</si>
  <si>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</si>
  <si>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</si>
  <si>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</si>
  <si>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</si>
  <si>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</si>
  <si>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</si>
  <si>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</si>
  <si>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</si>
  <si>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</si>
  <si>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</si>
  <si>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</si>
  <si>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</si>
  <si>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</si>
  <si>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</si>
  <si>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</si>
  <si>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</si>
  <si>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</si>
  <si>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</si>
  <si>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</si>
  <si>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</si>
  <si>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</si>
  <si>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</si>
  <si>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</si>
  <si>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</si>
  <si>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</si>
  <si>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</si>
  <si>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</si>
  <si>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</si>
  <si>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</si>
  <si>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</si>
  <si>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</si>
  <si>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</si>
  <si>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</si>
  <si>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</si>
  <si>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</si>
  <si>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</si>
  <si>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</si>
  <si>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</si>
  <si>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</si>
  <si>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</si>
  <si>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</si>
  <si>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</si>
  <si>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</si>
  <si>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</si>
  <si>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</si>
  <si>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</si>
  <si>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</si>
  <si>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</si>
  <si>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</si>
  <si>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</si>
  <si>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</si>
  <si>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</si>
  <si>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</si>
  <si>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</si>
  <si>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</si>
  <si>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</si>
  <si>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</si>
  <si>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</si>
  <si>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</si>
  <si>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</si>
  <si>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</si>
  <si>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</si>
  <si>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</si>
  <si>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</si>
  <si>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</si>
  <si>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</si>
  <si>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</si>
  <si>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</si>
  <si>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</si>
  <si>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</si>
  <si>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</si>
  <si>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</si>
  <si>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</si>
  <si>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</si>
  <si>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</si>
  <si>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</si>
  <si>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</si>
  <si>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</si>
  <si>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</si>
  <si>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</si>
  <si>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</si>
  <si>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</si>
  <si>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</si>
  <si>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</si>
  <si>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</si>
  <si>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</si>
  <si>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</si>
  <si>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</si>
  <si>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</si>
  <si>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</si>
  <si>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</si>
  <si>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</si>
  <si>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</si>
  <si>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</si>
  <si>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</si>
  <si>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</si>
  <si>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</si>
  <si>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</si>
  <si>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</si>
  <si>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</si>
  <si>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</si>
  <si>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</si>
  <si>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</si>
  <si>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</si>
  <si>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</si>
  <si>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</si>
  <si>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</si>
  <si>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</si>
  <si>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</si>
  <si>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</si>
  <si>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</si>
  <si>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</si>
  <si>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</si>
  <si>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</si>
  <si>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</si>
  <si>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</si>
  <si>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</si>
  <si>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</si>
  <si>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</si>
  <si>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</si>
  <si>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</si>
  <si>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</si>
  <si>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</si>
  <si>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</si>
  <si>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</si>
  <si>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</si>
  <si>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</si>
  <si>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</si>
  <si>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</si>
  <si>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</si>
  <si>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</si>
  <si>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</si>
  <si>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</si>
  <si>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</si>
  <si>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</si>
  <si>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</si>
  <si>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</si>
  <si>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</si>
  <si>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</si>
  <si>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</si>
  <si>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</si>
  <si>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</si>
  <si>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</si>
  <si>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</si>
  <si>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</si>
  <si>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</si>
  <si>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</si>
  <si>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</si>
  <si>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</si>
  <si>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</si>
  <si>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</si>
  <si>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</si>
  <si>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</si>
  <si>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</si>
  <si>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</si>
  <si>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</si>
  <si>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</si>
  <si>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</si>
  <si>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</si>
  <si>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</si>
  <si>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</si>
  <si>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</si>
  <si>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</si>
  <si>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</si>
  <si>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</si>
  <si>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</si>
  <si>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</si>
  <si>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</si>
  <si>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</si>
  <si>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</si>
  <si>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</si>
  <si>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</si>
  <si>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</si>
  <si>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</si>
  <si>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</si>
  <si>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</si>
  <si>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</si>
  <si>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</si>
  <si>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</si>
  <si>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</si>
  <si>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</si>
  <si>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</si>
  <si>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</si>
  <si>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</si>
  <si>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</si>
  <si>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</si>
  <si>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</si>
  <si>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</si>
  <si>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</si>
  <si>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</si>
  <si>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</si>
  <si>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</si>
  <si>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</si>
  <si>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</si>
  <si>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</si>
  <si>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</si>
  <si>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</si>
  <si>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</si>
  <si>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</si>
  <si>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</si>
  <si>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</si>
  <si>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</si>
  <si>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</si>
  <si>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</si>
  <si>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</si>
  <si>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</si>
  <si>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</si>
  <si>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</si>
  <si>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</si>
  <si>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</si>
  <si>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</si>
  <si>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</si>
  <si>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</si>
  <si>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</si>
  <si>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</si>
  <si>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</si>
  <si>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</si>
  <si>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</si>
  <si>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</si>
  <si>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</si>
  <si>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</si>
  <si>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</si>
  <si>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</si>
  <si>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</si>
  <si>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</si>
  <si>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</si>
  <si>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</si>
  <si>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</si>
  <si>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</si>
  <si>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</si>
  <si>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</si>
  <si>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</si>
  <si>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</si>
  <si>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</si>
  <si>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</si>
  <si>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</si>
  <si>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</si>
  <si>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</si>
  <si>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</si>
  <si>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</si>
  <si>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</si>
  <si>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</si>
  <si>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</si>
  <si>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</si>
  <si>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</si>
  <si>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</si>
  <si>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</si>
  <si>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</si>
  <si>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</si>
  <si>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</si>
  <si>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</si>
  <si>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</si>
  <si>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</si>
  <si>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</si>
  <si>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</si>
  <si>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</si>
  <si>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</si>
  <si>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</si>
  <si>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</si>
  <si>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</si>
  <si>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</si>
  <si>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</si>
  <si>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</si>
  <si>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</si>
  <si>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</si>
  <si>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</si>
  <si>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</si>
  <si>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</si>
  <si>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</si>
  <si>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</si>
  <si>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</si>
  <si>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</si>
  <si>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</si>
  <si>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</si>
  <si>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</si>
  <si>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</si>
  <si>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</si>
  <si>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</si>
  <si>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</si>
  <si>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</si>
  <si>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</si>
  <si>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</si>
  <si>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</si>
  <si>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</si>
  <si>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</si>
  <si>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</si>
  <si>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</si>
  <si>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</si>
  <si>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</si>
  <si>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</si>
  <si>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</si>
  <si>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</si>
  <si>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</si>
  <si>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</si>
  <si>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</si>
  <si>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</si>
  <si>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</si>
  <si>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</si>
  <si>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</si>
  <si>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</si>
  <si>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</si>
  <si>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</si>
  <si>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</si>
  <si>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</si>
  <si>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</si>
  <si>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</si>
  <si>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</si>
  <si>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</si>
  <si>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</si>
  <si>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</si>
  <si>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</si>
  <si>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</si>
  <si>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</si>
  <si>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</si>
  <si>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</si>
  <si>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</si>
  <si>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</si>
  <si>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</si>
  <si>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</si>
  <si>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</si>
  <si>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</si>
  <si>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</si>
  <si>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</si>
  <si>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</si>
  <si>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</si>
  <si>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</si>
  <si>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</si>
  <si>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</si>
  <si>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</si>
  <si>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</si>
  <si>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</si>
  <si>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</si>
  <si>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</si>
  <si>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</si>
  <si>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</si>
  <si>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</si>
  <si>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</si>
  <si>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</si>
  <si>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</si>
  <si>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</si>
  <si>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</si>
  <si>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</si>
  <si>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</si>
  <si>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</si>
  <si>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</si>
  <si>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</si>
  <si>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</si>
  <si>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</si>
  <si>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</si>
  <si>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</si>
  <si>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</si>
  <si>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</si>
  <si>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</si>
  <si>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</si>
  <si>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</si>
  <si>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</si>
  <si>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</si>
  <si>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</si>
  <si>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</si>
  <si>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</si>
  <si>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</si>
  <si>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</si>
  <si>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</si>
  <si>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</si>
  <si>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</si>
  <si>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</si>
  <si>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</si>
  <si>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</si>
  <si>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</si>
  <si>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</si>
  <si>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</si>
  <si>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</si>
  <si>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</si>
  <si>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</si>
  <si>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</si>
  <si>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</si>
  <si>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</si>
  <si>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</si>
  <si>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</si>
  <si>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</si>
  <si>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</si>
  <si>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</si>
  <si>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</si>
  <si>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</si>
  <si>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</si>
  <si>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</si>
  <si>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</si>
  <si>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</si>
  <si>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</si>
  <si>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</si>
  <si>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</si>
  <si>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</si>
  <si>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</si>
  <si>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</si>
  <si>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</si>
  <si>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</si>
  <si>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</si>
  <si>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</si>
  <si>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</si>
  <si>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</si>
  <si>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</si>
  <si>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</si>
  <si>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</si>
  <si>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</si>
  <si>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</si>
  <si>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</si>
  <si>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</si>
  <si>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</si>
  <si>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</si>
  <si>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</si>
  <si>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</si>
  <si>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</si>
  <si>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</si>
  <si>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</si>
  <si>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</si>
  <si>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</si>
  <si>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</si>
  <si>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</si>
  <si>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</si>
  <si>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</si>
  <si>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</si>
  <si>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</si>
  <si>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</si>
  <si>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</si>
  <si>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</si>
  <si>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</si>
  <si>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</si>
  <si>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</si>
  <si>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</si>
  <si>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</si>
  <si>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</si>
  <si>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</si>
  <si>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</si>
  <si>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</si>
  <si>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</si>
  <si>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</si>
  <si>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</si>
  <si>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</si>
  <si>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</si>
  <si>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</si>
  <si>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</si>
  <si>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</si>
  <si>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</si>
  <si>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</si>
  <si>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</si>
  <si>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</si>
  <si>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</si>
  <si>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</si>
  <si>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</si>
  <si>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</si>
  <si>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</si>
  <si>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</si>
  <si>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</si>
  <si>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</si>
  <si>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</si>
  <si>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</si>
  <si>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</si>
  <si>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</si>
  <si>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</si>
  <si>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</si>
  <si>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</si>
  <si>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</si>
  <si>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</si>
  <si>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</si>
  <si>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</si>
  <si>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</si>
  <si>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</si>
  <si>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</si>
  <si>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</si>
  <si>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</si>
  <si>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</si>
  <si>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</si>
  <si>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</si>
  <si>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</si>
  <si>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</si>
  <si>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</si>
  <si>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</si>
  <si>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</si>
  <si>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</si>
  <si>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</si>
  <si>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</si>
  <si>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</si>
  <si>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</si>
  <si>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</si>
  <si>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</si>
  <si>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</si>
  <si>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</si>
  <si>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</si>
  <si>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</si>
  <si>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</si>
  <si>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</si>
  <si>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</si>
  <si>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</si>
  <si>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</si>
  <si>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</si>
  <si>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</si>
  <si>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</si>
  <si>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</si>
  <si>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</si>
  <si>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</si>
  <si>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</si>
  <si>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</si>
  <si>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</si>
  <si>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</si>
  <si>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</si>
  <si>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</si>
  <si>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</si>
  <si>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</si>
  <si>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</si>
  <si>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</si>
  <si>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</si>
  <si>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</si>
  <si>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</si>
  <si>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</si>
  <si>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</si>
  <si>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</si>
  <si>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</si>
  <si>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</si>
  <si>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</si>
  <si>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</si>
  <si>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</si>
  <si>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</si>
  <si>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</si>
  <si>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</si>
  <si>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</si>
  <si>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</si>
  <si>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</si>
  <si>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</si>
  <si>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</si>
  <si>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</si>
  <si>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</si>
  <si>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</si>
  <si>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</si>
  <si>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</si>
  <si>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</si>
  <si>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</si>
  <si>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</si>
  <si>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</si>
  <si>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</si>
  <si>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</si>
  <si>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</si>
  <si>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</si>
  <si>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</si>
  <si>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</si>
  <si>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</si>
  <si>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</si>
  <si>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</si>
  <si>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</si>
  <si>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</si>
  <si>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</si>
  <si>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</si>
  <si>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</si>
  <si>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</si>
  <si>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</si>
  <si>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</si>
  <si>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</si>
  <si>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</si>
  <si>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</si>
  <si>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</si>
  <si>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</si>
  <si>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</si>
  <si>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</si>
  <si>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</si>
  <si>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</si>
  <si>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</si>
  <si>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</si>
  <si>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</si>
  <si>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</si>
  <si>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</si>
  <si>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</si>
  <si>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</si>
  <si>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</si>
  <si>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</si>
  <si>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</si>
  <si>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</si>
  <si>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</si>
  <si>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</si>
  <si>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</si>
  <si>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</si>
  <si>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</si>
  <si>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</si>
  <si>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</si>
  <si>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</si>
  <si>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</si>
  <si>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</si>
  <si>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</si>
  <si>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</si>
  <si>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</si>
  <si>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</si>
  <si>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</si>
  <si>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</si>
  <si>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</si>
  <si>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</si>
  <si>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</si>
  <si>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</si>
  <si>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</si>
  <si>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</si>
  <si>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</si>
  <si>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</si>
  <si>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</si>
  <si>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</si>
  <si>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</si>
  <si>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</si>
  <si>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</si>
  <si>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</si>
  <si>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</si>
  <si>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</si>
  <si>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</si>
  <si>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</si>
  <si>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</si>
  <si>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</si>
  <si>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</si>
  <si>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</si>
  <si>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</si>
  <si>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</si>
  <si>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</si>
  <si>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</si>
  <si>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</si>
  <si>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</si>
  <si>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</si>
  <si>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</si>
  <si>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</si>
  <si>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</si>
  <si>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</si>
  <si>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</si>
  <si>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</si>
  <si>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</si>
  <si>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</si>
  <si>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</si>
  <si>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</si>
  <si>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</si>
  <si>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</si>
  <si>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</si>
  <si>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</si>
  <si>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</si>
  <si>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</si>
  <si>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</si>
  <si>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</si>
  <si>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</si>
  <si>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</si>
  <si>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</si>
  <si>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</si>
  <si>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</si>
  <si>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</si>
  <si>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</si>
  <si>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</si>
  <si>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</si>
  <si>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</si>
  <si>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</si>
  <si>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</si>
  <si>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</si>
  <si>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</si>
  <si>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</si>
  <si>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</si>
  <si>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</si>
  <si>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</si>
  <si>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</si>
  <si>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</si>
  <si>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</si>
  <si>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</si>
  <si>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</si>
  <si>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</si>
  <si>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</si>
  <si>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</si>
  <si>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</si>
  <si>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</si>
  <si>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</si>
  <si>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</si>
  <si>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</si>
  <si>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</si>
  <si>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</si>
  <si>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</si>
  <si>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</si>
  <si>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</si>
  <si>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</si>
  <si>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</si>
  <si>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</si>
  <si>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</si>
  <si>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</si>
  <si>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</si>
  <si>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</si>
  <si>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</si>
  <si>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</si>
  <si>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</si>
  <si>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</si>
  <si>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</si>
  <si>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</si>
  <si>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</si>
  <si>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</si>
  <si>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</si>
  <si>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</si>
  <si>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</si>
  <si>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</si>
  <si>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</si>
  <si>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</si>
  <si>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</si>
  <si>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</si>
  <si>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</si>
  <si>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</si>
  <si>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</si>
  <si>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</si>
  <si>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</si>
  <si>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</si>
  <si>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</si>
  <si>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</si>
  <si>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</si>
  <si>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</si>
  <si>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</si>
  <si>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</si>
  <si>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</si>
  <si>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</si>
  <si>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</si>
  <si>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</si>
  <si>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</si>
  <si>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</si>
  <si>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</si>
  <si>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</si>
  <si>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</si>
  <si>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</si>
  <si>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</si>
  <si>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</si>
  <si>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</si>
  <si>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</si>
  <si>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</si>
  <si>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</si>
  <si>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</si>
  <si>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</si>
  <si>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</si>
  <si>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</si>
  <si>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</si>
  <si>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</si>
  <si>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</si>
  <si>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</si>
  <si>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</si>
  <si>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</si>
  <si>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</si>
  <si>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</si>
  <si>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</si>
  <si>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</si>
  <si>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</si>
  <si>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</si>
  <si>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</si>
  <si>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</si>
  <si>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</si>
  <si>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</si>
  <si>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</si>
  <si>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</si>
  <si>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</si>
  <si>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</si>
  <si>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</si>
  <si>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</si>
  <si>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</si>
  <si>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</si>
  <si>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</si>
  <si>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</si>
  <si>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</si>
  <si>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</si>
  <si>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</si>
  <si>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</si>
  <si>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</si>
  <si>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</si>
  <si>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</si>
  <si>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</si>
  <si>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</si>
  <si>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</si>
  <si>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</si>
  <si>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</si>
  <si>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</si>
  <si>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</si>
  <si>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</si>
  <si>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</si>
  <si>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</si>
  <si>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</si>
  <si>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</si>
  <si>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</si>
  <si>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</si>
  <si>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</si>
  <si>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</si>
  <si>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</si>
  <si>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</si>
  <si>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</si>
  <si>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</si>
  <si>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</si>
  <si>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</si>
  <si>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</si>
  <si>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</si>
  <si>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</si>
  <si>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</si>
  <si>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</si>
  <si>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</si>
  <si>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</si>
  <si>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</si>
  <si>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</si>
  <si>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</si>
  <si>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</si>
  <si>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</si>
  <si>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</si>
  <si>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</si>
  <si>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</si>
  <si>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</si>
  <si>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</si>
  <si>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</si>
  <si>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</si>
  <si>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</si>
  <si>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</si>
  <si>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</si>
  <si>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</si>
  <si>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</si>
  <si>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</si>
  <si>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</si>
  <si>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</si>
  <si>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</si>
  <si>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</si>
  <si>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</si>
  <si>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</si>
  <si>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</si>
  <si>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</si>
  <si>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</si>
  <si>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</si>
  <si>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</si>
  <si>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</si>
  <si>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</si>
  <si>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</si>
  <si>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</si>
  <si>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</si>
  <si>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</si>
  <si>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</si>
  <si>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</si>
  <si>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</si>
  <si>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</si>
  <si>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</si>
  <si>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</si>
  <si>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</si>
  <si>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</si>
  <si>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</si>
  <si>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</si>
  <si>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</si>
  <si>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</si>
  <si>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</si>
  <si>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</si>
  <si>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</si>
  <si>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</si>
  <si>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</si>
  <si>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</si>
  <si>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</si>
  <si>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</si>
  <si>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</si>
  <si>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</si>
  <si>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</si>
  <si>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</si>
  <si>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</si>
  <si>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</si>
  <si>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</si>
  <si>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</si>
  <si>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</si>
  <si>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</si>
  <si>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</si>
  <si>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</si>
  <si>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</si>
  <si>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</si>
  <si>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</si>
  <si>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</si>
  <si>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</si>
  <si>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</si>
  <si>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</si>
  <si>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</si>
  <si>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</si>
  <si>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</si>
  <si>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</si>
  <si>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</si>
  <si>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</si>
  <si>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</si>
  <si>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</si>
  <si>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</si>
  <si>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</si>
  <si>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</si>
  <si>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</si>
  <si>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</si>
  <si>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</si>
  <si>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</si>
  <si>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</si>
  <si>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</si>
  <si>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</si>
  <si>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</si>
  <si>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</si>
  <si>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</si>
  <si>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</si>
  <si>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</si>
  <si>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</si>
  <si>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</si>
  <si>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</si>
  <si>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</si>
  <si>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</si>
  <si>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</si>
  <si>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</si>
  <si>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</si>
  <si>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</si>
  <si>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</si>
  <si>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</si>
  <si>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</si>
  <si>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</si>
  <si>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</si>
  <si>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</si>
  <si>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</si>
  <si>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</si>
  <si>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</si>
  <si>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</si>
  <si>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</si>
  <si>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</si>
  <si>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</si>
  <si>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</si>
  <si>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</si>
  <si>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</si>
  <si>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</si>
  <si>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</si>
  <si>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</si>
  <si>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</si>
  <si>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</si>
  <si>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</si>
  <si>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</si>
  <si>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</si>
  <si>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</si>
  <si>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</si>
  <si>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</si>
  <si>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</si>
  <si>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</si>
  <si>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</si>
  <si>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</si>
  <si>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</si>
  <si>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</si>
  <si>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</si>
  <si>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</si>
  <si>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</si>
  <si>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</si>
  <si>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</si>
  <si>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</si>
  <si>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</si>
  <si>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</si>
  <si>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</si>
  <si>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</si>
  <si>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</si>
  <si>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</si>
  <si>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</si>
  <si>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</si>
  <si>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</si>
  <si>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</si>
  <si>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</si>
  <si>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</si>
  <si>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</si>
  <si>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</si>
  <si>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</si>
  <si>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</si>
  <si>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</si>
  <si>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</si>
  <si>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</si>
  <si>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</si>
  <si>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</si>
  <si>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</si>
  <si>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</si>
  <si>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</si>
  <si>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</si>
  <si>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</si>
  <si>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</si>
  <si>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</si>
  <si>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</si>
  <si>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</si>
  <si>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</si>
  <si>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</si>
  <si>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</si>
  <si>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</si>
  <si>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</si>
  <si>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</si>
  <si>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</si>
  <si>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</si>
  <si>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</si>
  <si>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</si>
  <si>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</si>
  <si>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</si>
  <si>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</si>
  <si>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</si>
  <si>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</si>
  <si>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</si>
  <si>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</si>
  <si>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</si>
  <si>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</si>
  <si>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</si>
  <si>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</si>
  <si>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</si>
  <si>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</si>
  <si>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</si>
  <si>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</si>
  <si>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</si>
  <si>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</si>
  <si>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</si>
  <si>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</si>
  <si>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</si>
  <si>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</si>
  <si>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</si>
  <si>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</si>
  <si>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</si>
  <si>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</si>
  <si>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</si>
  <si>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</si>
  <si>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</si>
  <si>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</si>
  <si>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</si>
  <si>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</si>
  <si>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</si>
  <si>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</si>
  <si>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</si>
  <si>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</si>
  <si>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</si>
  <si>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</si>
  <si>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</si>
  <si>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</si>
  <si>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</si>
  <si>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</si>
  <si>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</si>
  <si>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</si>
  <si>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</si>
  <si>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</si>
  <si>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</si>
  <si>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</si>
  <si>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</si>
  <si>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</si>
  <si>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</si>
  <si>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</si>
  <si>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</si>
  <si>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</si>
  <si>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</si>
  <si>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</si>
  <si>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</si>
  <si>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</si>
  <si>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</si>
  <si>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</si>
  <si>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</si>
  <si>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</si>
  <si>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</si>
  <si>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</si>
  <si>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</si>
  <si>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</si>
  <si>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</si>
  <si>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</si>
  <si>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</si>
  <si>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</si>
  <si>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</si>
  <si>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</si>
  <si>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</si>
  <si>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</si>
  <si>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</si>
  <si>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</si>
  <si>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</si>
  <si>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</si>
  <si>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</si>
  <si>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</si>
  <si>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</si>
  <si>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</si>
  <si>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</si>
  <si>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</si>
  <si>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</si>
  <si>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</si>
  <si>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</si>
  <si>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</si>
  <si>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</si>
  <si>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</si>
  <si>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</si>
  <si>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</si>
  <si>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</si>
  <si>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</si>
  <si>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</si>
  <si>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</si>
  <si>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</si>
  <si>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</si>
  <si>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</si>
  <si>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</si>
  <si>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</si>
  <si>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</si>
  <si>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</si>
  <si>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</si>
  <si>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</si>
  <si>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</si>
  <si>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</si>
  <si>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</si>
  <si>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</si>
  <si>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</si>
  <si>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</si>
  <si>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</si>
  <si>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</si>
  <si>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</si>
  <si>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</si>
  <si>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</si>
  <si>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</si>
  <si>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</si>
  <si>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</si>
  <si>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</si>
  <si>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</si>
  <si>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</si>
  <si>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</si>
  <si>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</si>
  <si>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</si>
  <si>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</si>
  <si>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</si>
  <si>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</si>
  <si>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</si>
  <si>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</si>
  <si>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</si>
  <si>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</si>
  <si>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</si>
  <si>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</si>
  <si>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</si>
  <si>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</si>
  <si>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</si>
  <si>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</si>
  <si>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</si>
  <si>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</si>
  <si>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</si>
  <si>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</si>
  <si>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</si>
  <si>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</si>
  <si>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</si>
  <si>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</si>
  <si>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</si>
  <si>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</si>
  <si>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</si>
  <si>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</si>
  <si>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</si>
  <si>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</si>
  <si>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</si>
  <si>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</si>
  <si>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</si>
  <si>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</si>
  <si>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</si>
  <si>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</si>
  <si>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</si>
  <si>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</si>
  <si>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</si>
  <si>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</si>
  <si>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</si>
  <si>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</si>
  <si>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</si>
  <si>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</si>
  <si>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</si>
  <si>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</si>
  <si>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</si>
  <si>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</si>
  <si>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</si>
  <si>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</si>
  <si>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</si>
  <si>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</si>
  <si>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</si>
  <si>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</si>
  <si>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</si>
  <si>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</si>
  <si>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</si>
  <si>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</si>
  <si>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</si>
  <si>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</si>
  <si>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</si>
  <si>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</si>
  <si>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</si>
  <si>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</si>
  <si>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</si>
  <si>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</si>
  <si>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</si>
  <si>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</si>
  <si>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</si>
  <si>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</si>
  <si>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</si>
  <si>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</si>
  <si>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</si>
  <si>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</si>
  <si>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</si>
  <si>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</si>
  <si>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</si>
  <si>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</si>
  <si>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</si>
  <si>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</si>
  <si>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</si>
  <si>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</si>
  <si>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</si>
  <si>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</si>
  <si>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</si>
  <si>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</si>
  <si>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</si>
  <si>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</si>
  <si>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</si>
  <si>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</si>
  <si>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</si>
  <si>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</si>
  <si>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</si>
  <si>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</si>
  <si>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</si>
  <si>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</si>
  <si>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</si>
  <si>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</si>
  <si>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</si>
  <si>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</si>
  <si>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</si>
  <si>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</si>
  <si>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</si>
  <si>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</si>
  <si>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</si>
  <si>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</si>
  <si>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</si>
  <si>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</si>
  <si>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</si>
  <si>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</si>
  <si>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</si>
  <si>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</si>
  <si>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</si>
  <si>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</si>
  <si>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</si>
  <si>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</si>
  <si>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</si>
  <si>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</si>
  <si>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</si>
  <si>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</si>
  <si>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</si>
  <si>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</si>
  <si>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</si>
  <si>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</si>
  <si>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</si>
  <si>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</si>
  <si>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</si>
  <si>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</si>
  <si>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</si>
  <si>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</si>
  <si>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</si>
  <si>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</si>
  <si>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</si>
  <si>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</si>
  <si>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</si>
  <si>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</si>
  <si>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</si>
  <si>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</si>
  <si>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</si>
  <si>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</si>
  <si>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</si>
  <si>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</si>
  <si>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</si>
  <si>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</si>
  <si>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</si>
  <si>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</si>
  <si>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</si>
  <si>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</si>
  <si>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</si>
  <si>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</si>
  <si>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</si>
  <si>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</si>
  <si>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</si>
  <si>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</si>
  <si>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</si>
  <si>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</si>
  <si>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</si>
  <si>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</si>
  <si>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</si>
  <si>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</si>
  <si>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</si>
  <si>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</si>
  <si>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</si>
  <si>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</si>
  <si>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</si>
  <si>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</si>
  <si>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</si>
  <si>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</si>
  <si>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</si>
  <si>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</si>
  <si>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</si>
  <si>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</si>
  <si>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</si>
  <si>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</si>
  <si>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</si>
  <si>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</si>
  <si>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</si>
  <si>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</si>
  <si>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</si>
  <si>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</si>
  <si>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</si>
  <si>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</si>
  <si>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</si>
  <si>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</si>
  <si>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</si>
  <si>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</si>
  <si>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</si>
  <si>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</si>
  <si>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</si>
  <si>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</si>
  <si>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</si>
  <si>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</si>
  <si>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</si>
  <si>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</si>
  <si>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</si>
  <si>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</si>
  <si>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</si>
  <si>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</si>
  <si>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</si>
  <si>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</si>
  <si>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</si>
  <si>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</si>
  <si>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</si>
  <si>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</si>
  <si>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</si>
  <si>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</si>
  <si>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</si>
  <si>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</si>
  <si>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</si>
  <si>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</si>
  <si>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</si>
  <si>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</si>
  <si>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</si>
  <si>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</si>
  <si>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</si>
  <si>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</si>
  <si>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</si>
  <si>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</si>
  <si>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</si>
  <si>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</si>
  <si>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</si>
  <si>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</si>
  <si>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</si>
  <si>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</si>
  <si>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</si>
  <si>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</si>
  <si>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</si>
  <si>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</si>
  <si>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</si>
  <si>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</si>
  <si>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</si>
  <si>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</si>
  <si>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</si>
  <si>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</si>
  <si>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</si>
  <si>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</si>
  <si>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</si>
  <si>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</si>
  <si>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</si>
  <si>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</si>
  <si>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</si>
  <si>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</si>
  <si>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</si>
  <si>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</si>
  <si>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</si>
  <si>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</si>
  <si>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</si>
  <si>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</si>
  <si>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</si>
  <si>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</si>
  <si>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</si>
  <si>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</si>
  <si>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</si>
  <si>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</si>
  <si>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</si>
  <si>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</si>
  <si>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</si>
  <si>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</si>
  <si>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</si>
  <si>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</si>
  <si>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</si>
  <si>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</si>
  <si>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</si>
  <si>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</si>
  <si>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</si>
  <si>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</si>
  <si>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</si>
  <si>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</si>
  <si>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</si>
  <si>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</si>
  <si>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</si>
  <si>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</si>
  <si>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</si>
  <si>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</si>
  <si>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</si>
  <si>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</si>
  <si>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</si>
  <si>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</si>
  <si>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</si>
  <si>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</si>
  <si>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</si>
  <si>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</si>
  <si>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</si>
  <si>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</si>
  <si>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</si>
  <si>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</si>
  <si>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</si>
  <si>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</si>
  <si>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</si>
  <si>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</si>
  <si>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</si>
  <si>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</si>
  <si>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</si>
  <si>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</si>
  <si>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</si>
  <si>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</si>
  <si>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</si>
  <si>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</si>
  <si>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</si>
  <si>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</si>
  <si>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</si>
  <si>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</si>
  <si>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</si>
  <si>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</si>
  <si>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</si>
  <si>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</si>
  <si>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</si>
  <si>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</si>
  <si>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</si>
  <si>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</si>
  <si>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</si>
  <si>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</si>
  <si>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</si>
  <si>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</si>
  <si>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</si>
  <si>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</si>
  <si>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</si>
  <si>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</si>
  <si>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</si>
  <si>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</si>
  <si>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</si>
  <si>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</si>
  <si>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</si>
  <si>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</si>
  <si>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</si>
  <si>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</si>
  <si>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</si>
  <si>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</si>
  <si>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</si>
  <si>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</si>
  <si>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</si>
  <si>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</si>
  <si>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</si>
  <si>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</si>
  <si>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</si>
  <si>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</si>
  <si>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</si>
  <si>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</si>
  <si>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</si>
  <si>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</si>
  <si>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</si>
  <si>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</si>
  <si>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</si>
  <si>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</si>
  <si>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</si>
  <si>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</si>
  <si>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</si>
  <si>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</si>
  <si>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</si>
  <si>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</si>
  <si>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</si>
  <si>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</si>
  <si>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</si>
  <si>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</si>
  <si>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</si>
  <si>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</si>
  <si>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</si>
  <si>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</si>
  <si>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</si>
  <si>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</si>
  <si>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</si>
  <si>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</si>
  <si>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</si>
  <si>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</si>
  <si>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</si>
  <si>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</si>
  <si>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</si>
  <si>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</si>
  <si>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</si>
  <si>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</si>
  <si>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</si>
  <si>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</si>
  <si>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</si>
  <si>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</si>
  <si>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</si>
  <si>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</si>
  <si>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</si>
  <si>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</si>
  <si>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</si>
  <si>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</si>
  <si>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</si>
  <si>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</si>
  <si>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</si>
  <si>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</si>
  <si>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</si>
  <si>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</si>
  <si>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</si>
  <si>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</si>
  <si>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</si>
  <si>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</si>
  <si>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</si>
  <si>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</si>
  <si>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</si>
  <si>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</si>
  <si>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</si>
  <si>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</si>
  <si>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</si>
  <si>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</si>
  <si>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</si>
  <si>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</si>
  <si>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</si>
  <si>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</si>
  <si>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</si>
  <si>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</si>
  <si>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</si>
  <si>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</si>
  <si>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</si>
  <si>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</si>
  <si>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</si>
  <si>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</si>
  <si>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</si>
  <si>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</si>
  <si>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</si>
  <si>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</si>
  <si>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</si>
  <si>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</si>
  <si>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</si>
  <si>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</si>
  <si>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</si>
  <si>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</si>
  <si>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</si>
  <si>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</si>
  <si>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</si>
  <si>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</si>
  <si>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</si>
  <si>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</si>
  <si>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</si>
  <si>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</si>
  <si>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</si>
  <si>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</si>
  <si>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</si>
  <si>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</si>
  <si>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</si>
  <si>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</si>
  <si>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</si>
  <si>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</si>
  <si>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</si>
  <si>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</si>
  <si>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</si>
  <si>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</si>
  <si>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</si>
  <si>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</si>
  <si>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</si>
  <si>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</si>
  <si>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</si>
  <si>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</si>
  <si>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</si>
  <si>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</si>
  <si>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</si>
  <si>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</si>
  <si>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</si>
  <si>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</si>
  <si>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</si>
  <si>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</si>
  <si>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</si>
  <si>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</si>
  <si>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</si>
  <si>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</si>
  <si>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</si>
  <si>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</si>
  <si>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</si>
  <si>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</si>
  <si>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</si>
  <si>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</si>
  <si>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</si>
  <si>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</si>
  <si>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</si>
  <si>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</si>
  <si>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</si>
  <si>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</si>
  <si>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</si>
  <si>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</si>
  <si>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</si>
  <si>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</si>
  <si>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</si>
  <si>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</si>
  <si>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</si>
  <si>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</si>
  <si>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</si>
  <si>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</si>
  <si>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</si>
  <si>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</si>
  <si>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</si>
  <si>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</si>
  <si>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</si>
  <si>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</si>
  <si>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</si>
  <si>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</si>
  <si>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</si>
  <si>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</si>
  <si>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</si>
  <si>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</si>
  <si>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</si>
  <si>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</si>
  <si>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</si>
  <si>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</si>
  <si>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</si>
  <si>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</si>
  <si>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</si>
  <si>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</si>
  <si>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</si>
  <si>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</si>
  <si>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</si>
  <si>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</si>
  <si>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</si>
  <si>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</si>
  <si>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</si>
  <si>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</si>
  <si>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</si>
  <si>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</si>
  <si>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</si>
  <si>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</si>
  <si>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</si>
  <si>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</si>
  <si>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</si>
  <si>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</si>
  <si>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</si>
  <si>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</si>
  <si>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</si>
  <si>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</si>
  <si>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</si>
  <si>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</si>
  <si>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</si>
  <si>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</si>
  <si>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</si>
  <si>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</si>
  <si>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</si>
  <si>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</si>
  <si>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</si>
  <si>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</si>
  <si>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</si>
  <si>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</si>
  <si>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</si>
  <si>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</si>
  <si>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</si>
  <si>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</si>
  <si>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</si>
  <si>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</si>
  <si>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</si>
  <si>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</si>
  <si>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</si>
  <si>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</si>
  <si>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</si>
  <si>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</si>
  <si>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</si>
  <si>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</si>
  <si>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</si>
  <si>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</si>
  <si>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</si>
  <si>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</si>
  <si>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</si>
  <si>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</si>
  <si>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</si>
  <si>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</si>
  <si>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</si>
  <si>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</si>
  <si>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</si>
  <si>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</si>
  <si>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</si>
  <si>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</si>
  <si>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</si>
  <si>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</si>
  <si>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</si>
  <si>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</si>
  <si>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</si>
  <si>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</si>
  <si>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</si>
  <si>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</si>
  <si>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</si>
  <si>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</si>
  <si>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</si>
  <si>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</si>
  <si>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</si>
  <si>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</si>
  <si>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</si>
  <si>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</si>
  <si>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</si>
  <si>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</si>
  <si>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</si>
  <si>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</si>
  <si>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</si>
  <si>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</si>
  <si>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</si>
  <si>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</si>
  <si>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</si>
  <si>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</si>
  <si>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</si>
  <si>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</si>
  <si>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</si>
  <si>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</si>
  <si>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</si>
  <si>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</si>
  <si>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</si>
  <si>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</si>
  <si>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</si>
  <si>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</si>
  <si>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</si>
  <si>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</si>
  <si>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</si>
  <si>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</si>
  <si>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</si>
  <si>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</si>
  <si>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</si>
  <si>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</si>
  <si>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</si>
  <si>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</si>
  <si>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</si>
  <si>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</si>
  <si>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</si>
  <si>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</si>
  <si>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</si>
  <si>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</si>
  <si>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</si>
  <si>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</si>
  <si>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</si>
  <si>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</si>
  <si>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</si>
  <si>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</si>
  <si>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</si>
  <si>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</si>
  <si>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</si>
  <si>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</si>
  <si>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</si>
  <si>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</si>
  <si>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</si>
  <si>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</si>
  <si>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</si>
  <si>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</si>
  <si>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</si>
  <si>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</si>
  <si>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</si>
  <si>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</si>
  <si>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</si>
  <si>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</si>
  <si>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</si>
  <si>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</si>
  <si>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</si>
  <si>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</si>
  <si>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</si>
  <si>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</si>
  <si>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</si>
  <si>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</si>
  <si>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</si>
  <si>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</si>
  <si>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</si>
  <si>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</si>
  <si>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</si>
  <si>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</si>
  <si>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</si>
  <si>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</si>
  <si>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</si>
  <si>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</si>
  <si>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</si>
  <si>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</si>
  <si>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</si>
  <si>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</si>
  <si>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</si>
  <si>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</si>
  <si>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</si>
  <si>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</si>
  <si>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</si>
  <si>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</si>
  <si>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</si>
  <si>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</si>
  <si>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</si>
  <si>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</si>
  <si>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</si>
  <si>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</si>
  <si>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</si>
  <si>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</si>
  <si>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</si>
  <si>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</si>
  <si>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</si>
  <si>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</si>
  <si>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</si>
  <si>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</si>
  <si>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</si>
  <si>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</si>
  <si>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</si>
  <si>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</si>
  <si>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</si>
  <si>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</si>
  <si>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</si>
  <si>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</si>
  <si>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</si>
  <si>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</si>
  <si>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</si>
  <si>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</si>
  <si>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</si>
  <si>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</si>
  <si>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</si>
  <si>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</si>
  <si>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</si>
  <si>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</si>
  <si>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</si>
  <si>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</si>
  <si>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</si>
  <si>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</si>
  <si>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</si>
  <si>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</si>
  <si>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</si>
  <si>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</si>
  <si>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</si>
  <si>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</si>
  <si>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</si>
  <si>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</si>
  <si>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</si>
  <si>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</si>
  <si>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</si>
  <si>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</si>
  <si>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</si>
  <si>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</si>
  <si>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</si>
  <si>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</si>
  <si>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</si>
  <si>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</si>
  <si>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</si>
  <si>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</si>
  <si>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</si>
  <si>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</si>
  <si>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</si>
  <si>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</si>
  <si>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</si>
  <si>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</si>
  <si>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</si>
  <si>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</si>
  <si>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</si>
  <si>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</si>
  <si>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</si>
  <si>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</si>
  <si>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</si>
  <si>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</si>
  <si>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</si>
  <si>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</si>
  <si>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</si>
  <si>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</si>
  <si>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</si>
  <si>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</si>
  <si>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</si>
  <si>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</si>
  <si>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</si>
  <si>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</si>
  <si>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</si>
  <si>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</si>
  <si>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</si>
  <si>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</si>
  <si>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</si>
  <si>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</si>
  <si>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</si>
  <si>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</si>
  <si>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</si>
  <si>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</si>
  <si>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</si>
  <si>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</si>
  <si>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</si>
  <si>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</si>
  <si>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</si>
  <si>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</si>
  <si>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</si>
  <si>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</si>
  <si>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</si>
  <si>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</si>
  <si>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</si>
  <si>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</si>
  <si>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</si>
  <si>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</si>
  <si>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</si>
  <si>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</si>
  <si>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</si>
  <si>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</si>
  <si>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</si>
  <si>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</si>
  <si>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</si>
  <si>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</si>
  <si>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</si>
  <si>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</si>
  <si>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</si>
  <si>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</si>
  <si>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</si>
  <si>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</si>
  <si>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</si>
  <si>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</si>
  <si>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</si>
  <si>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</si>
  <si>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</si>
  <si>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</si>
  <si>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</si>
  <si>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</si>
  <si>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</si>
  <si>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</si>
  <si>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</si>
  <si>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</si>
  <si>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</si>
  <si>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</si>
  <si>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</si>
  <si>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</si>
  <si>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</si>
  <si>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</si>
  <si>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</si>
  <si>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</si>
  <si>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</si>
  <si>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</si>
  <si>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</si>
  <si>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</si>
  <si>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</si>
  <si>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</si>
  <si>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</si>
  <si>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</si>
  <si>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</si>
  <si>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</si>
  <si>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</si>
  <si>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</si>
  <si>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</si>
  <si>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</si>
  <si>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</si>
  <si>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</si>
  <si>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</si>
  <si>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</si>
  <si>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</si>
  <si>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</si>
  <si>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</si>
  <si>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</si>
  <si>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</si>
  <si>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</si>
  <si>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</si>
  <si>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</si>
  <si>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</si>
  <si>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</si>
  <si>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</si>
  <si>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</si>
  <si>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</si>
  <si>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</si>
  <si>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</si>
  <si>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</si>
  <si>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</si>
  <si>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</si>
  <si>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</si>
  <si>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</si>
  <si>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</si>
  <si>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</si>
  <si>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</si>
  <si>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</si>
  <si>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</si>
  <si>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</si>
  <si>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</si>
  <si>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</si>
  <si>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</si>
  <si>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</si>
  <si>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</si>
  <si>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</si>
  <si>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</si>
  <si>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</si>
  <si>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</si>
  <si>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</si>
  <si>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</si>
  <si>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</si>
  <si>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</si>
  <si>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</si>
  <si>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</si>
  <si>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</si>
  <si>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</si>
  <si>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</si>
  <si>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</si>
  <si>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</si>
  <si>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</si>
  <si>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</si>
  <si>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</si>
  <si>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</si>
  <si>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</si>
  <si>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</si>
  <si>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</si>
  <si>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</si>
  <si>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</si>
  <si>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</si>
  <si>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</si>
  <si>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</si>
  <si>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</si>
  <si>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</si>
  <si>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</si>
  <si>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</si>
  <si>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</si>
  <si>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</si>
  <si>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</si>
  <si>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</si>
  <si>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</si>
  <si>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</si>
  <si>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</si>
  <si>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</si>
  <si>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</si>
  <si>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</si>
  <si>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</si>
  <si>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</si>
  <si>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</si>
  <si>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</si>
  <si>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</si>
  <si>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</si>
  <si>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</si>
  <si>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</si>
  <si>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</si>
  <si>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</si>
  <si>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</si>
  <si>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</si>
  <si>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</si>
  <si>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</si>
  <si>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</si>
  <si>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</si>
  <si>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</si>
  <si>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</si>
  <si>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</si>
  <si>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</si>
  <si>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</si>
  <si>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</si>
  <si>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</si>
  <si>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</si>
  <si>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</si>
  <si>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</si>
  <si>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</si>
  <si>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</si>
  <si>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</si>
  <si>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</si>
  <si>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</si>
  <si>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</si>
  <si>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</si>
  <si>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</si>
  <si>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</si>
  <si>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</si>
  <si>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</si>
  <si>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</si>
  <si>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</si>
  <si>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</si>
  <si>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</si>
  <si>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</si>
  <si>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</si>
  <si>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</si>
  <si>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</si>
  <si>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</si>
  <si>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</si>
  <si>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</si>
  <si>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</si>
  <si>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</si>
  <si>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</si>
  <si>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</si>
  <si>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</si>
  <si>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</si>
  <si>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</si>
  <si>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</si>
  <si>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</si>
  <si>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</si>
  <si>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</si>
  <si>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</si>
  <si>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</si>
  <si>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</si>
  <si>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</si>
  <si>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</si>
  <si>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</si>
  <si>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</si>
  <si>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</si>
  <si>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</si>
  <si>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</si>
  <si>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</si>
  <si>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</si>
  <si>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</si>
  <si>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</si>
  <si>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</si>
  <si>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</si>
  <si>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</si>
  <si>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</si>
  <si>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</si>
  <si>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</si>
  <si>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</si>
  <si>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</si>
  <si>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</si>
  <si>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</si>
  <si>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</si>
  <si>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</si>
  <si>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</si>
  <si>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</si>
  <si>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</si>
  <si>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</si>
  <si>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</si>
  <si>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</si>
  <si>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</si>
  <si>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</si>
  <si>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</si>
  <si>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</si>
  <si>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</si>
  <si>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</si>
  <si>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</si>
  <si>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</si>
  <si>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</si>
  <si>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</si>
  <si>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</si>
  <si>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</si>
  <si>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</si>
  <si>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</si>
  <si>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</si>
  <si>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</si>
  <si>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</si>
  <si>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</si>
  <si>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</si>
  <si>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</si>
  <si>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</si>
  <si>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</si>
  <si>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</si>
  <si>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</si>
  <si>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</si>
  <si>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</si>
  <si>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</si>
  <si>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</si>
  <si>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</si>
  <si>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</si>
  <si>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</si>
  <si>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</si>
  <si>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r>
      <t>4</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</si>
  <si>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</si>
  <si>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</si>
  <si>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</si>
  <si>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</si>
  <si>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</si>
  <si>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</si>
  <si>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</si>
  <si>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</si>
  <si>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</si>
  <si>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</si>
  <si>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</si>
  <si>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</si>
  <si>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</si>
  <si>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</si>
  <si>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</si>
  <si>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</si>
  <si>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</si>
  <si>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</si>
  <si>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</si>
  <si>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</si>
  <si>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</si>
  <si>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</si>
  <si>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</si>
  <si>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</si>
  <si>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</si>
  <si>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</si>
  <si>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</si>
  <si>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</si>
  <si>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</si>
  <si>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</si>
  <si>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</si>
  <si>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</si>
  <si>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</si>
  <si>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</si>
  <si>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</si>
  <si>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</si>
  <si>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</si>
  <si>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</si>
  <si>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</si>
  <si>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</si>
  <si>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</si>
  <si>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</si>
  <si>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</si>
  <si>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</si>
  <si>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</si>
  <si>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</si>
  <si>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</si>
  <si>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</si>
  <si>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</si>
  <si>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</si>
  <si>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</si>
  <si>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</si>
  <si>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</si>
  <si>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</si>
  <si>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</si>
  <si>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</si>
  <si>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</si>
  <si>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</si>
  <si>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</si>
  <si>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</si>
  <si>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</si>
  <si>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</si>
  <si>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</si>
  <si>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</si>
  <si>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</si>
  <si>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</si>
  <si>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</si>
  <si>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</si>
  <si>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</si>
  <si>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</si>
  <si>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</si>
  <si>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</si>
  <si>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</si>
  <si>
    <t>情况4</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</si>
</sst>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估价对象为北京市迎宾中路16号房地产，为所有。根据《国有土地使用证》[]，估价对象（分摊）出让国有建设用地使用权面积为0平方米，建筑面积为1382.5平方米。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估价对象为北京市迎宾中路16号房地产,属开发建设的，该项目尚在开发建设中。根据《国有土地使用证》[]，估价对象（分摊）出让国有建设用地使用权面积为0平方米，规划建筑面积为1382.5平方米。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2025年4月28日（评估专业人员实地查勘之日）</v>
      </c>
    </row>
    <row r="13" spans="1:2">
      <c r="A13" s="1116" t="s">
        <v>529</v>
      </c>
      <c r="B13" s="111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1683</v>
      </c>
    </row>
    <row r="21" spans="1:2">
      <c r="A21" s="1116" t="s">
        <v>537</v>
      </c>
      <c r="B21" s="1117">
        <f ca="1">'预评函-2'!D7</f>
        <v>12170</v>
      </c>
    </row>
    <row r="22" spans="1:2">
      <c r="A22" s="1116" t="s">
        <v>538</v>
      </c>
      <c r="B22" s="1117" t="str">
        <f ca="1">'预评函-2'!D6</f>
        <v>壹仟陆佰捌拾叁万元整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1683</v>
      </c>
    </row>
    <row r="31" spans="1:2">
      <c r="A31" s="1116" t="s">
        <v>576</v>
      </c>
      <c r="B31" s="1117">
        <f ca="1">'预评函-2'!D15</f>
        <v>12170</v>
      </c>
    </row>
    <row r="32" spans="1:2">
      <c r="A32" s="1116" t="s">
        <v>543</v>
      </c>
      <c r="B32" s="1117" t="str">
        <f ca="1">'预评函-2'!D14</f>
        <v>壹仟陆佰捌拾叁万元整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640</v>
      </c>
    </row>
    <row r="39" spans="1:2">
      <c r="A39" s="1116" t="s">
        <v>545</v>
      </c>
      <c r="B39" s="1117">
        <f ca="1">'预评函-2'!D21</f>
        <v>4629</v>
      </c>
    </row>
    <row r="40" spans="1:2">
      <c r="A40" s="1116" t="s">
        <v>546</v>
      </c>
      <c r="B40" s="1117" t="str">
        <f ca="1">'预评函-2'!D20</f>
        <v>陆佰肆拾万元整</v>
      </c>
    </row>
    <row r="41" spans="1:2">
      <c r="A41" s="1116" t="s">
        <v>592</v>
      </c>
      <c r="B41" s="1117" t="str">
        <f>'预评函-3'!A4</f>
        <v>北京市迎宾中路16号房地产</v>
      </c>
    </row>
    <row r="42" spans="1:2">
      <c r="A42" s="1116" t="s">
        <v>590</v>
      </c>
      <c r="B42" s="1117" t="str">
        <f>'预评函-3'!B2</f>
        <v>建筑面积</v>
      </c>
    </row>
    <row r="43" spans="1:2">
      <c r="A43" s="1116" t="s">
        <v>591</v>
      </c>
      <c r="B43" s="1117">
        <f>'预评函-3'!B4</f>
        <v>1382.5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2" sqref="I22:J22"/>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4" t="s">
        <v>385</v>
      </c>
      <c r="C54" s="1442" t="s">
        <v>583</v>
      </c>
    </row>
    <row r="55" spans="1:4">
      <c r="A55" s="3226"/>
      <c r="B55" s="1444" t="s">
        <v>386</v>
      </c>
      <c r="C55" s="1442" t="s">
        <v>584</v>
      </c>
    </row>
    <row r="56" spans="1:4">
      <c r="A56" s="3226"/>
      <c r="B56" s="1444" t="s">
        <v>387</v>
      </c>
      <c r="C56" s="1442" t="s">
        <v>588</v>
      </c>
    </row>
    <row r="57" spans="1:4">
      <c r="A57" s="322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7" t="s">
        <v>2571</v>
      </c>
      <c r="J2" s="3227"/>
      <c r="K2" s="3227"/>
      <c r="L2" s="3227"/>
      <c r="M2" s="3227"/>
      <c r="N2" s="3227"/>
      <c r="O2" s="3227"/>
      <c r="P2" s="3227"/>
      <c r="Q2" s="3227"/>
      <c r="R2" s="3227"/>
    </row>
    <row r="3" spans="1:18">
      <c r="A3" s="2756" t="s">
        <v>2492</v>
      </c>
      <c r="B3" s="2757">
        <f>项目基本情况!D3</f>
        <v>45775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1.64</v>
      </c>
      <c r="D5" s="2761">
        <f>IF(ISERROR(ROUND(POWER(1+E5,A5-C5)*(POWER(1+E5,C5)-1)/(POWER(1+E5,A5)-1),3)),0,ROUND(POWER(1+E5,A5-C5)*(POWER(1+E5,C5)-1)/(POWER(1+E5,A5)-1),4))</f>
        <v>7.8700000000000006E-2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11.65</v>
      </c>
      <c r="D6" s="2761">
        <f>IF(ISERROR(ROUND(POWER(1+E6,A6-C6)*(POWER(1+E6,C6)-1)/(POWER(1+E6,A6)-1),3)),0,ROUND(POWER(1+E6,A6-C6)*(POWER(1+E6,C6)-1)/(POWER(1+E6,A6)-1),4))</f>
        <v>0.42680000000000001</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31.66</v>
      </c>
      <c r="D7" s="2761">
        <f>IF(ISERROR(ROUND(POWER(1+E7,A7-C7)*(POWER(1+E7,C7)-1)/(POWER(1+E7,A7)-1),3)),0,ROUND(POWER(1+E7,A7-C7)*(POWER(1+E7,C7)-1)/(POWER(1+E7,A7)-1),4))</f>
        <v>0.75990000000000002</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4.25" thickBot="1">
      <c r="A18" s="2766" t="s">
        <v>2507</v>
      </c>
      <c r="B18" s="2767">
        <f>ROUND(B17*F11/F12,2)</f>
        <v>5541.87</v>
      </c>
      <c r="C18" s="2767">
        <f>ROUND(F11/F12,4)</f>
        <v>1.1521999999999999</v>
      </c>
      <c r="D18" s="2768"/>
      <c r="E18" s="2768"/>
      <c r="F18" s="2769"/>
    </row>
    <row r="19" spans="1:14" ht="14.25" thickBot="1"/>
    <row r="20" spans="1:14" s="2802" customFormat="1" ht="14.2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4.2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4.2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35" t="str">
        <f>IF(B10="北京市","北京市",C10)&amp;F10&amp;IF(结果表!G1="在建","出让国有建设用地使用权及在建建筑物",IF(结果表!G1="土地","出让国有建设用地使用权",))&amp;B9&amp;"预评估"</f>
        <v>北京市迎宾中路16号房地产抵押价值预评估</v>
      </c>
      <c r="C1" s="3236"/>
      <c r="D1" s="3236"/>
      <c r="E1" s="3236"/>
      <c r="F1" s="3236"/>
      <c r="G1" s="3236"/>
      <c r="H1" s="3236"/>
      <c r="I1" s="323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v>45775</v>
      </c>
      <c r="C3" s="2183" t="s">
        <v>2171</v>
      </c>
      <c r="D3" s="3163">
        <f>B3</f>
        <v>45775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8" t="s">
        <v>2177</v>
      </c>
      <c r="E8" s="2199" t="s">
        <v>3406</v>
      </c>
      <c r="F8" s="2200"/>
      <c r="G8" s="2437"/>
      <c r="H8" s="2437"/>
      <c r="I8" s="2437"/>
      <c r="J8" s="2242"/>
      <c r="K8" s="2395"/>
      <c r="L8" s="2394"/>
      <c r="M8" s="2394"/>
      <c r="N8" s="2242"/>
      <c r="O8" s="1667"/>
      <c r="P8" s="2242"/>
      <c r="Q8" s="2242"/>
      <c r="R8" s="2242"/>
    </row>
    <row r="9" spans="1:30" ht="13.5" thickBot="1">
      <c r="A9" s="2201" t="s">
        <v>2178</v>
      </c>
      <c r="B9" s="2202" t="s">
        <v>3406</v>
      </c>
      <c r="C9" s="2203"/>
      <c r="D9" s="3239"/>
      <c r="E9" s="2202" t="s">
        <v>587</v>
      </c>
      <c r="F9" s="2204"/>
      <c r="G9" s="2438"/>
      <c r="H9" s="2438"/>
      <c r="I9" s="2438"/>
      <c r="J9" s="2242"/>
      <c r="K9" s="2397"/>
      <c r="L9" s="2394"/>
      <c r="M9" s="2394"/>
      <c r="N9" s="2242"/>
      <c r="O9" s="1667"/>
      <c r="P9" s="2242"/>
      <c r="Q9" s="2242"/>
      <c r="R9" s="2242"/>
    </row>
    <row r="10" spans="1:30" ht="13.5" thickTop="1">
      <c r="A10" s="2205" t="s">
        <v>2179</v>
      </c>
      <c r="B10" s="2206" t="s">
        <v>3407</v>
      </c>
      <c r="C10" s="2207"/>
      <c r="D10" s="2190"/>
      <c r="E10" s="2208" t="s">
        <v>2180</v>
      </c>
      <c r="F10" s="3160" t="s">
        <v>3448</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50155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45"/>
      <c r="C16" s="3246"/>
      <c r="D16" s="3247"/>
      <c r="E16" s="2219" t="s">
        <v>2194</v>
      </c>
      <c r="F16" s="3248"/>
      <c r="G16" s="3249"/>
      <c r="H16" s="3249"/>
      <c r="I16" s="3250"/>
      <c r="J16" s="2242"/>
      <c r="K16" s="2398"/>
      <c r="L16" s="1667"/>
      <c r="M16" s="1667"/>
      <c r="N16" s="2242"/>
      <c r="O16" s="1667"/>
      <c r="P16" s="2242"/>
      <c r="Q16" s="2242"/>
      <c r="R16" s="2242"/>
    </row>
    <row r="17" spans="1:28">
      <c r="A17" s="304" t="s">
        <v>2195</v>
      </c>
      <c r="B17" s="293" t="s">
        <v>2196</v>
      </c>
      <c r="C17" s="8">
        <f>'数据-汇总表'!E3</f>
        <v>1382.5</v>
      </c>
      <c r="D17" s="1253" t="s">
        <v>2197</v>
      </c>
      <c r="E17" s="3251" t="s">
        <v>2198</v>
      </c>
      <c r="F17" s="3252"/>
      <c r="G17" s="3252"/>
      <c r="H17" s="3252"/>
      <c r="I17" s="3253"/>
      <c r="J17" s="2242"/>
      <c r="K17" s="2399"/>
      <c r="L17" s="1667"/>
      <c r="M17" s="1667"/>
      <c r="N17" s="2242"/>
      <c r="O17" s="1667"/>
      <c r="P17" s="2242"/>
      <c r="Q17" s="2242"/>
      <c r="R17" s="2242"/>
      <c r="S17" s="2242"/>
      <c r="T17" s="2242"/>
      <c r="U17" s="2242"/>
      <c r="V17" s="2242"/>
    </row>
    <row r="18" spans="1:28" ht="24.75" thickBot="1">
      <c r="A18" s="2220" t="s">
        <v>2199</v>
      </c>
      <c r="B18" s="1024" t="s">
        <v>2200</v>
      </c>
      <c r="C18" s="2221">
        <f>'数据-汇总表'!D3</f>
        <v>0</v>
      </c>
      <c r="D18" s="1026" t="s">
        <v>2201</v>
      </c>
      <c r="E18" s="3254" t="s">
        <v>2202</v>
      </c>
      <c r="F18" s="3255"/>
      <c r="G18" s="3255"/>
      <c r="H18" s="3255"/>
      <c r="I18" s="3256"/>
      <c r="J18" s="2242"/>
      <c r="K18" s="2399"/>
      <c r="L18" s="1667"/>
      <c r="M18" s="1667"/>
      <c r="N18" s="2242"/>
      <c r="O18" s="1667"/>
      <c r="P18" s="2242"/>
      <c r="Q18" s="2242"/>
      <c r="R18" s="2242"/>
      <c r="S18" s="2242"/>
      <c r="T18" s="2242"/>
      <c r="U18" s="2242"/>
      <c r="V18" s="2242"/>
    </row>
    <row r="19" spans="1:28" ht="37.5"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41" t="s">
        <v>2206</v>
      </c>
      <c r="C20" s="3242"/>
      <c r="D20" s="3243" t="s">
        <v>2207</v>
      </c>
      <c r="E20" s="3244"/>
      <c r="F20" s="2425" t="s">
        <v>1056</v>
      </c>
      <c r="G20" s="2437"/>
      <c r="H20" s="2437"/>
      <c r="I20" s="2437"/>
      <c r="J20" s="2242"/>
      <c r="K20" s="3240"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2209</v>
      </c>
      <c r="C21" s="2291" t="s">
        <v>1057</v>
      </c>
      <c r="D21" s="1457" t="s">
        <v>2210</v>
      </c>
      <c r="E21" s="2414" t="s">
        <v>1057</v>
      </c>
      <c r="F21" s="2426"/>
      <c r="G21" s="2437"/>
      <c r="H21" s="2437"/>
      <c r="I21" s="2437"/>
      <c r="J21" s="2242"/>
      <c r="K21" s="324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2211</v>
      </c>
      <c r="C22" s="2291" t="s">
        <v>1058</v>
      </c>
      <c r="D22" s="2437"/>
      <c r="E22" s="2437"/>
      <c r="F22" s="2437"/>
      <c r="G22" s="2437"/>
      <c r="H22" s="2437"/>
      <c r="I22" s="2437"/>
      <c r="J22" s="2242"/>
      <c r="K22" s="324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5" thickTop="1">
      <c r="A27" s="3229"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29"/>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29"/>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30"/>
      <c r="B30" s="293" t="s">
        <v>2218</v>
      </c>
      <c r="C30" s="3231"/>
      <c r="D30" s="3232"/>
      <c r="E30" s="2437"/>
      <c r="F30" s="2437"/>
      <c r="G30" s="2437"/>
      <c r="H30" s="2437"/>
      <c r="I30" s="2437"/>
      <c r="J30" s="2242"/>
      <c r="K30" s="2397"/>
      <c r="L30" s="2394"/>
      <c r="M30" s="2394"/>
      <c r="N30" s="2242"/>
      <c r="O30" s="1667"/>
      <c r="P30" s="2242"/>
      <c r="Q30" s="2242"/>
      <c r="R30" s="2242"/>
      <c r="S30" s="2242"/>
      <c r="T30" s="2242"/>
      <c r="U30" s="2242"/>
      <c r="V30" s="2242"/>
    </row>
    <row r="31" spans="1:28">
      <c r="A31" s="3233"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34"/>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34"/>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28" t="s">
        <v>2228</v>
      </c>
      <c r="T34" s="314" t="str">
        <f>NUMBERSTRING(7-K34,1)&amp;"通"</f>
        <v>七通</v>
      </c>
      <c r="U34" s="2242"/>
      <c r="V34" s="2242"/>
    </row>
    <row r="35" spans="1:30">
      <c r="A35" s="2233"/>
      <c r="B35" s="3228" t="s">
        <v>2229</v>
      </c>
      <c r="C35" s="3228"/>
      <c r="D35" s="3228"/>
      <c r="E35" s="3228"/>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28"/>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5" thickBot="1">
      <c r="A38" s="2411" t="s">
        <v>2231</v>
      </c>
      <c r="B38" s="2235" t="s">
        <v>3449</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1382.5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1382.5</v>
      </c>
      <c r="H5" s="13">
        <f t="shared" ref="H5:AT5" si="0">SUM(H13:H656)</f>
        <v>1382.5</v>
      </c>
      <c r="I5" s="13">
        <f t="shared" si="0"/>
        <v>1382.5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1382.5</v>
      </c>
      <c r="BA5" s="15">
        <f t="shared" si="1"/>
        <v>1382.5</v>
      </c>
      <c r="BB5" s="15">
        <f t="shared" si="1"/>
        <v>1382.5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t="s">
        <v>3450</v>
      </c>
      <c r="C13" s="3156">
        <v>1</v>
      </c>
      <c r="D13" s="1510" t="s">
        <v>3415</v>
      </c>
      <c r="E13" s="13">
        <f>IF($C$3="是",ROUND($A$3*G13/$B$3,2),ROUND($A$3*(G13-AT13)/$B$3,2))</f>
        <v>0</v>
      </c>
      <c r="F13" s="29"/>
      <c r="G13" s="30">
        <f>H13+AC13+AT13</f>
        <v>159.4</v>
      </c>
      <c r="H13" s="17">
        <f>SUMIF(I$12:AB$12,"总值",I13:AB13)</f>
        <v>159.4</v>
      </c>
      <c r="I13" s="1511">
        <v>159.4</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2层</v>
      </c>
      <c r="AX13" s="8">
        <f t="shared" si="6"/>
        <v>1</v>
      </c>
      <c r="AY13" s="1257">
        <f>ROUND($AY$6*AZ13/$AZ$5,2)</f>
        <v>0</v>
      </c>
      <c r="AZ13" s="13">
        <f>BA13+BL13</f>
        <v>159.4</v>
      </c>
      <c r="BA13" s="13">
        <f>SUM(BB13:BK13)</f>
        <v>159.4</v>
      </c>
      <c r="BB13" s="13">
        <f>IF($D13="是",I13-J13,0)</f>
        <v>159.4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t="s">
        <v>3451</v>
      </c>
      <c r="C14" s="3156">
        <v>2</v>
      </c>
      <c r="D14" s="1510" t="s">
        <v>3415</v>
      </c>
      <c r="E14" s="13">
        <f>IF($C$3="是",ROUND($A$3*G14/$B$3,2),ROUND($A$3*(G14-AT14)/$B$3,2))</f>
        <v>0</v>
      </c>
      <c r="F14" s="29"/>
      <c r="G14" s="30">
        <f>H14+AC14+AT14</f>
        <v>1223.0999999999999</v>
      </c>
      <c r="H14" s="17">
        <f>SUMIF(I$12:AB$12,"总值",I14:AB14)</f>
        <v>1223.0999999999999</v>
      </c>
      <c r="I14" s="1511">
        <v>1223.0999999999999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4层</v>
      </c>
      <c r="AX14" s="8">
        <f t="shared" si="6"/>
        <v>2</v>
      </c>
      <c r="AY14" s="1257">
        <f>ROUND($AY$6*AZ14/$AZ$5,2)</f>
        <v>0</v>
      </c>
      <c r="AZ14" s="13">
        <f>BA14+BL14</f>
        <v>1223.0999999999999</v>
      </c>
      <c r="BA14" s="13">
        <f>SUM(BB14:BK14)</f>
        <v>1223.0999999999999</v>
      </c>
      <c r="BB14" s="13">
        <f>IF($D14="是",I14-J14,0)</f>
        <v>1223.0999999999999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66" t="s">
        <v>1131</v>
      </c>
      <c r="B2" s="3266"/>
      <c r="C2" s="3266"/>
      <c r="D2" s="746" t="s">
        <v>1107</v>
      </c>
      <c r="E2" s="1520" t="s">
        <v>1108</v>
      </c>
      <c r="F2" s="2434"/>
      <c r="G2" s="2427"/>
      <c r="H2" s="2428"/>
      <c r="I2" s="2143" t="s">
        <v>1132</v>
      </c>
      <c r="J2" s="2434"/>
      <c r="K2" s="2434"/>
      <c r="L2" s="2434"/>
      <c r="M2" s="2434"/>
      <c r="N2" s="2435"/>
      <c r="O2" s="2434"/>
      <c r="P2" s="2434"/>
    </row>
    <row r="3" spans="1:16" ht="15.75" thickBot="1">
      <c r="A3" s="3267" t="s">
        <v>1105</v>
      </c>
      <c r="B3" s="3267"/>
      <c r="C3" s="3267"/>
      <c r="D3" s="41">
        <f>'数据-基础表'!AY6</f>
        <v>0</v>
      </c>
      <c r="E3" s="41">
        <f>'数据-基础表'!AZ5</f>
        <v>1382.5</v>
      </c>
      <c r="F3" s="2434"/>
      <c r="G3" s="42"/>
      <c r="H3" s="43" t="s">
        <v>1106</v>
      </c>
      <c r="I3" s="800" t="e">
        <f>ROUND('数据-基础表'!B3/'数据-基础表'!A3,2)</f>
        <v>#DIV/0!</v>
      </c>
      <c r="J3" s="2434"/>
      <c r="K3" s="2434"/>
      <c r="L3" s="2434"/>
      <c r="M3" s="2434"/>
      <c r="N3" s="2435"/>
      <c r="O3" s="2434"/>
      <c r="P3" s="2434"/>
    </row>
    <row r="4" spans="1:16" ht="15">
      <c r="A4" s="3268"/>
      <c r="B4" s="3269"/>
      <c r="C4" s="3270"/>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c r="A5" s="42" t="s">
        <v>1109</v>
      </c>
      <c r="B5" s="3271" t="s">
        <v>1110</v>
      </c>
      <c r="C5" s="3271"/>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1" t="s">
        <v>1111</v>
      </c>
      <c r="C6" s="3271"/>
      <c r="D6" s="43">
        <f>ROUND($D$3*E6/$E$3,2)</f>
        <v>0</v>
      </c>
      <c r="E6" s="44">
        <f>E3-E5</f>
        <v>1382.5</v>
      </c>
      <c r="F6" s="2434"/>
      <c r="G6" s="1526" t="s">
        <v>1112</v>
      </c>
      <c r="H6" s="45" t="s">
        <v>1113</v>
      </c>
      <c r="I6" s="2430" t="e">
        <f>ROUND(F31/D31,2)</f>
        <v>#DIV/0!</v>
      </c>
      <c r="J6" s="2434"/>
      <c r="K6" s="2434"/>
      <c r="L6" s="2434"/>
      <c r="M6" s="2434"/>
      <c r="N6" s="2434"/>
      <c r="O6" s="2434"/>
      <c r="P6" s="2434"/>
    </row>
    <row r="7" spans="1:16" ht="15.75" thickBot="1">
      <c r="A7" s="3263"/>
      <c r="B7" s="3264"/>
      <c r="C7" s="3265"/>
      <c r="D7" s="1521" t="s">
        <v>1107</v>
      </c>
      <c r="E7" s="1525" t="s">
        <v>1114</v>
      </c>
      <c r="F7" s="2434"/>
      <c r="G7" s="2431" t="s">
        <v>1115</v>
      </c>
      <c r="H7" s="95"/>
      <c r="I7" s="2432">
        <v>2</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1382.5</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0</v>
      </c>
      <c r="E16" s="48">
        <f>SUM(E8:E15)</f>
        <v>1382.5</v>
      </c>
      <c r="F16" s="2434"/>
      <c r="G16" s="2434"/>
      <c r="H16" s="1528" t="s">
        <v>1135</v>
      </c>
      <c r="I16" s="1529"/>
      <c r="J16" s="1068"/>
      <c r="K16" s="3260" t="s">
        <v>1135</v>
      </c>
      <c r="L16" s="3261"/>
      <c r="M16" s="3261"/>
      <c r="N16" s="3261"/>
      <c r="O16" s="3261"/>
      <c r="P16" s="3262"/>
    </row>
    <row r="17" spans="1:19" ht="15">
      <c r="A17" s="1530" t="s">
        <v>1136</v>
      </c>
      <c r="B17" s="1531" t="s">
        <v>1137</v>
      </c>
      <c r="C17" s="1532" t="s">
        <v>1138</v>
      </c>
      <c r="D17" s="1533" t="s">
        <v>1126</v>
      </c>
      <c r="E17" s="1534" t="s">
        <v>1127</v>
      </c>
      <c r="F17" s="1535"/>
      <c r="G17" s="1536"/>
      <c r="H17" s="1537" t="s">
        <v>1139</v>
      </c>
      <c r="I17" s="1538" t="s">
        <v>1124</v>
      </c>
      <c r="J17" s="1068"/>
      <c r="K17" s="3257" t="s">
        <v>1140</v>
      </c>
      <c r="L17" s="3258"/>
      <c r="M17" s="3259"/>
      <c r="N17" s="3257" t="s">
        <v>1141</v>
      </c>
      <c r="O17" s="3258"/>
      <c r="P17" s="3259"/>
      <c r="R17" s="767" t="s">
        <v>1142</v>
      </c>
      <c r="S17" s="54"/>
    </row>
    <row r="18" spans="1:19" ht="15">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c r="A19" s="1546"/>
      <c r="B19" s="45" t="s">
        <v>1125</v>
      </c>
      <c r="C19" s="3109" t="s">
        <v>3452</v>
      </c>
      <c r="D19" s="43">
        <f>ROUND($D$3*E19/$E$3,2)</f>
        <v>0</v>
      </c>
      <c r="E19" s="51">
        <f t="shared" ref="E19:E26" si="1">SUM(F19:G19)</f>
        <v>1382.5</v>
      </c>
      <c r="F19" s="2551">
        <f>'数据-基础表'!I5</f>
        <v>1382.5</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1382.5</v>
      </c>
    </row>
    <row r="20" spans="1:19">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1382.5</v>
      </c>
      <c r="F27" s="1069">
        <f>IF(SUM(F19:F26)=E8,SUM(F19:F26),"地上面积有误")</f>
        <v>1382.5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1382.5</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3" t="s">
        <v>1158</v>
      </c>
      <c r="D31" s="641">
        <f>D27+D30</f>
        <v>0</v>
      </c>
      <c r="E31" s="641">
        <f>E27+E30</f>
        <v>1382.5</v>
      </c>
      <c r="F31" s="642">
        <f>F27+F30</f>
        <v>1382.5</v>
      </c>
      <c r="G31" s="643">
        <f>G27+G30</f>
        <v>0</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75" thickBot="1">
      <c r="A2" s="1559" t="s">
        <v>1161</v>
      </c>
      <c r="B2" s="3167">
        <f>项目基本情况!D3</f>
        <v>45775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50155</v>
      </c>
      <c r="F6" s="61">
        <f>SUMIF(项目基本情况!C$12:I$12,C6,项目基本情况!C$15:I$15)</f>
        <v>12</v>
      </c>
      <c r="G6" s="62">
        <f>IF(ISERROR(ROUND(POWER(1+H6,D6-F6)*(POWER(1+H6,F6)-1)/(POWER(1+H6,D6)-1),3)),0,ROUND(POWER(1+H6,D6-F6)*(POWER(1+H6,F6)-1)/(POWER(1+H6,D6)-1),3))</f>
        <v>0.51700000000000002</v>
      </c>
      <c r="H6" s="689">
        <v>0.05</v>
      </c>
      <c r="I6" s="689">
        <v>5.5E-2</v>
      </c>
      <c r="J6" s="63">
        <v>7.0000000000000007E-2</v>
      </c>
      <c r="K6" s="968">
        <f>SUMIF('数据-汇总表'!C$19:C$33,A6,'数据-汇总表'!E$19:E$33)</f>
        <v>1382.5</v>
      </c>
      <c r="L6" s="690">
        <v>4000</v>
      </c>
      <c r="M6" s="64">
        <f t="shared" ref="M6:M14" si="0">ROUND(K6*L6/10000,0)</f>
        <v>553</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12</v>
      </c>
      <c r="AF6" s="74"/>
      <c r="AG6" s="129">
        <f>IF(AF6="",0,AE6-AF6)</f>
        <v>0</v>
      </c>
      <c r="AH6" s="71"/>
      <c r="AI6" s="73">
        <v>365</v>
      </c>
      <c r="AJ6" s="74"/>
      <c r="AK6" s="75">
        <v>5.0000000000000001E-3</v>
      </c>
      <c r="AL6" s="76">
        <v>1E-3</v>
      </c>
      <c r="AM6" s="77">
        <v>0.01</v>
      </c>
      <c r="AN6" s="1586" t="s">
        <v>3459</v>
      </c>
      <c r="AO6" s="50">
        <f ca="1">SUMIF(INDIRECT("'"&amp;AN6&amp;"'"&amp;"!A:A"),"总价",INDIRECT("'"&amp;AN6&amp;"'"&amp;"!B:B"))</f>
        <v>932.14120000000003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0.51700000000000002</v>
      </c>
      <c r="H16" s="84">
        <f>ROUND(SUMPRODUCT(H6:H13,K6:K13)/SUMPRODUCT((H6:H13&gt;0)*(K6:K13)),3)</f>
        <v>0.05</v>
      </c>
      <c r="I16" s="85"/>
      <c r="J16" s="85"/>
      <c r="K16" s="86">
        <f>SUM(K6:K15)</f>
        <v>1382.5</v>
      </c>
      <c r="L16" s="87">
        <f>ROUND(M16*10000/SUM(K6:K14),0)</f>
        <v>4000</v>
      </c>
      <c r="M16" s="87">
        <f>SUM(M6:M14)</f>
        <v>553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3454</v>
      </c>
      <c r="V18" s="3157" t="s">
        <v>3455</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3453</v>
      </c>
      <c r="S19" s="3170">
        <v>1</v>
      </c>
      <c r="T19" s="2443">
        <f>'数据-基础表'!I13/2+'数据-基础表'!I14/4</f>
        <v>385.47499999999997</v>
      </c>
      <c r="U19" s="2443">
        <v>1</v>
      </c>
      <c r="V19" s="2443">
        <v>3.3</v>
      </c>
      <c r="W19" s="2443"/>
      <c r="X19" s="2443">
        <v>800000</v>
      </c>
      <c r="Y19" s="2443"/>
      <c r="Z19" s="2443">
        <f>(V19*T19+V20*T20)/(T19+T20)</f>
        <v>2.8050000000000002</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385.47499999999997</v>
      </c>
      <c r="U20" s="2443">
        <v>0.7</v>
      </c>
      <c r="V20" s="2443">
        <f>V19*U20</f>
        <v>2.3099999999999996</v>
      </c>
      <c r="W20" s="2443"/>
      <c r="X20" s="2443">
        <f>X19/(T19+T20)/365</f>
        <v>2.8429610505451826</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305.77499999999998</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305.77499999999998</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1382.5</v>
      </c>
      <c r="U23" s="2443"/>
      <c r="V23" s="2443">
        <f>SUMPRODUCT(V19:V22,T19:T22)/T23</f>
        <v>2.4400605786618441</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3506</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3" t="s">
        <v>1235</v>
      </c>
      <c r="B43" s="110">
        <f>B42*(B44+B45+B46)+B47</f>
        <v>6.000000000000001E-3</v>
      </c>
      <c r="C43" s="3178" t="s">
        <v>3505</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9" customWidth="1"/>
    <col min="19" max="29" width="9" style="749"/>
    <col min="30" max="16384" width="9" style="1519"/>
  </cols>
  <sheetData>
    <row r="1" spans="1:29" s="2256" customFormat="1" ht="18.75" thickBot="1">
      <c r="A1" s="3272" t="s">
        <v>2277</v>
      </c>
      <c r="B1" s="3273"/>
      <c r="C1" s="3273"/>
      <c r="D1" s="3273"/>
      <c r="E1" s="3273"/>
      <c r="F1" s="3273"/>
      <c r="G1" s="327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2"/>
      <c r="E2" s="2257"/>
      <c r="F2" s="2260"/>
      <c r="G2" s="2259" t="s">
        <v>2275</v>
      </c>
      <c r="H2" s="749"/>
      <c r="I2" s="749"/>
      <c r="J2" s="749"/>
      <c r="K2" s="749"/>
      <c r="L2" s="749"/>
      <c r="M2" s="749"/>
      <c r="N2" s="749"/>
      <c r="O2" s="749"/>
      <c r="P2" s="749"/>
      <c r="Q2" s="749"/>
    </row>
    <row r="3" spans="1:29" ht="24.75" thickBot="1">
      <c r="A3" s="2244" t="s">
        <v>2276</v>
      </c>
      <c r="B3" s="2261" t="s">
        <v>2252</v>
      </c>
      <c r="C3" s="2262"/>
      <c r="D3" s="2263"/>
      <c r="E3" s="2245" t="s">
        <v>2276</v>
      </c>
      <c r="F3" s="2264" t="s">
        <v>2253</v>
      </c>
      <c r="G3" s="2265"/>
      <c r="H3" s="749"/>
      <c r="I3" s="749"/>
      <c r="J3" s="749"/>
      <c r="K3" s="749"/>
      <c r="L3" s="749"/>
      <c r="M3" s="749"/>
      <c r="N3" s="749"/>
      <c r="O3" s="749"/>
      <c r="P3" s="749"/>
      <c r="Q3" s="749"/>
    </row>
    <row r="4" spans="1:29" ht="15" thickBot="1">
      <c r="A4" s="2245"/>
      <c r="B4" s="314" t="s">
        <v>2254</v>
      </c>
      <c r="C4" s="3161" t="s">
        <v>3446</v>
      </c>
      <c r="D4" s="2263"/>
      <c r="E4" s="2266"/>
      <c r="F4" s="1278" t="s">
        <v>2255</v>
      </c>
      <c r="G4" s="2267"/>
      <c r="H4" s="749"/>
      <c r="I4" s="749"/>
      <c r="J4" s="749"/>
      <c r="K4" s="749"/>
      <c r="L4" s="749"/>
      <c r="M4" s="749"/>
      <c r="N4" s="749"/>
      <c r="O4" s="749"/>
      <c r="P4" s="749"/>
      <c r="Q4" s="749"/>
    </row>
    <row r="5" spans="1:29" ht="15" thickBot="1">
      <c r="A5" s="2245"/>
      <c r="B5" s="314" t="s">
        <v>2256</v>
      </c>
      <c r="C5" s="3161"/>
      <c r="D5" s="2263"/>
      <c r="E5" s="2266"/>
      <c r="F5" s="314" t="s">
        <v>2257</v>
      </c>
      <c r="G5" s="2267"/>
      <c r="H5" s="749"/>
      <c r="I5" s="749"/>
      <c r="J5" s="749"/>
      <c r="K5" s="749"/>
      <c r="L5" s="749"/>
      <c r="M5" s="749"/>
      <c r="N5" s="749"/>
      <c r="O5" s="749"/>
      <c r="P5" s="749"/>
      <c r="Q5" s="749"/>
    </row>
    <row r="6" spans="1:29" ht="15" thickBot="1">
      <c r="A6" s="2245"/>
      <c r="B6" s="314" t="s">
        <v>2258</v>
      </c>
      <c r="C6" s="3161" t="s">
        <v>3463</v>
      </c>
      <c r="D6" s="2263"/>
      <c r="E6" s="2266"/>
      <c r="F6" s="314" t="s">
        <v>2259</v>
      </c>
      <c r="G6" s="2267"/>
      <c r="H6" s="749"/>
      <c r="I6" s="749"/>
      <c r="J6" s="749"/>
      <c r="K6" s="749"/>
      <c r="L6" s="749"/>
      <c r="M6" s="749"/>
      <c r="N6" s="749"/>
      <c r="O6" s="749"/>
      <c r="P6" s="749"/>
      <c r="Q6" s="749"/>
    </row>
    <row r="7" spans="1:29" ht="15" thickBot="1">
      <c r="A7" s="2245"/>
      <c r="B7" s="314" t="s">
        <v>2257</v>
      </c>
      <c r="C7" s="3161" t="s">
        <v>3446</v>
      </c>
      <c r="D7" s="2242"/>
      <c r="E7" s="2268"/>
      <c r="F7" s="2269" t="s">
        <v>2260</v>
      </c>
      <c r="G7" s="2270"/>
      <c r="H7" s="749"/>
      <c r="I7" s="749"/>
      <c r="J7" s="749"/>
      <c r="K7" s="749"/>
      <c r="L7" s="749"/>
      <c r="M7" s="749"/>
      <c r="N7" s="749"/>
      <c r="O7" s="749"/>
      <c r="P7" s="749"/>
      <c r="Q7" s="749"/>
    </row>
    <row r="8" spans="1:29" ht="26.25" thickBot="1">
      <c r="A8" s="2245"/>
      <c r="B8" s="314" t="s">
        <v>2259</v>
      </c>
      <c r="C8" s="2262" t="s">
        <v>3425</v>
      </c>
      <c r="D8" s="2242"/>
      <c r="E8" s="2242"/>
      <c r="F8" s="120"/>
      <c r="G8" s="120"/>
      <c r="H8" s="749"/>
      <c r="I8" s="749"/>
      <c r="J8" s="749"/>
      <c r="K8" s="749"/>
      <c r="L8" s="749"/>
      <c r="M8" s="749"/>
      <c r="N8" s="749"/>
      <c r="O8" s="749"/>
      <c r="P8" s="749"/>
      <c r="Q8" s="749"/>
    </row>
    <row r="9" spans="1:29" ht="15" thickBot="1">
      <c r="A9" s="2245"/>
      <c r="B9" s="314" t="s">
        <v>2261</v>
      </c>
      <c r="C9" s="3161" t="s">
        <v>3463</v>
      </c>
      <c r="D9" s="2263"/>
      <c r="E9" s="2242"/>
      <c r="F9" s="120"/>
      <c r="G9" s="120"/>
      <c r="H9" s="749"/>
      <c r="I9" s="749"/>
      <c r="J9" s="749"/>
      <c r="K9" s="749"/>
      <c r="L9" s="749"/>
      <c r="M9" s="749"/>
      <c r="N9" s="749"/>
      <c r="O9" s="749"/>
      <c r="P9" s="749"/>
      <c r="Q9" s="749"/>
    </row>
    <row r="10" spans="1:29" ht="15"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8">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75" thickBot="1">
      <c r="A13" s="2279" t="s">
        <v>2278</v>
      </c>
      <c r="B13" s="2275"/>
      <c r="C13" s="2275"/>
      <c r="D13" s="2274"/>
      <c r="E13" s="2275"/>
      <c r="F13" s="2275"/>
      <c r="G13" s="2275"/>
    </row>
    <row r="14" spans="1:29" ht="15"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5"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5"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E32" sqref="E32"/>
    </sheetView>
  </sheetViews>
  <sheetFormatPr defaultColWidth="9" defaultRowHeight="13.5"/>
  <cols>
    <col min="1" max="1" width="25" style="2296" customWidth="1"/>
    <col min="2" max="9" width="15.75" style="2296" customWidth="1"/>
    <col min="10" max="10" width="29.5" style="2296" customWidth="1"/>
    <col min="11" max="16384" width="9" style="2296"/>
  </cols>
  <sheetData>
    <row r="1" spans="1:11" ht="16.5">
      <c r="A1" s="2295" t="s">
        <v>665</v>
      </c>
      <c r="B1" s="2295">
        <f>SUM(B14:B23)</f>
        <v>1382.5</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45775</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1683</v>
      </c>
      <c r="C5" s="2295">
        <f ca="1">IF(B5=D14,结果表!H102,ROUND(B5*10000/$B$1,0))</f>
        <v>12170</v>
      </c>
      <c r="D5" s="2295" t="e">
        <f ca="1">ROUND(B5*10000/$B$2,0)</f>
        <v>#DIV/0!</v>
      </c>
      <c r="E5" s="2456"/>
      <c r="F5" s="2457"/>
      <c r="G5" s="2457"/>
      <c r="H5" s="2457"/>
      <c r="I5" s="2457"/>
      <c r="J5" s="2457"/>
      <c r="K5" s="2457"/>
    </row>
    <row r="6" spans="1:11" ht="16.5">
      <c r="A6" s="2295" t="s">
        <v>656</v>
      </c>
      <c r="B6" s="2295">
        <f ca="1">SUM(G14:G23)</f>
        <v>1683</v>
      </c>
      <c r="C6" s="2295">
        <f ca="1">IF(B6=G14,结果表!H108,ROUND(B6*10000/$B$1,0))</f>
        <v>12170</v>
      </c>
      <c r="D6" s="2295" t="e">
        <f ca="1">ROUND(B6*10000/$B$2,0)</f>
        <v>#DIV/0!</v>
      </c>
      <c r="E6" s="3274" t="str">
        <f ca="1">NUMBERSTRING(INT(B6*10000),2)&amp;"元整"</f>
        <v>壹仟陆佰捌拾叁万元整</v>
      </c>
      <c r="F6" s="3275"/>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 ca="1">SUM(I14:I23)</f>
        <v>640</v>
      </c>
      <c r="C8" s="2295">
        <f ca="1">IF(B8=I14,结果表!H112,ROUND(B8*10000/$B$1,0))</f>
        <v>4629</v>
      </c>
      <c r="D8" s="2295" t="e">
        <f ca="1">ROUND(B8*10000/$B$2,0)</f>
        <v>#DIV/0!</v>
      </c>
      <c r="E8" s="3274" t="str">
        <f ca="1">NUMBERSTRING(INT(B8*10000),2)&amp;"元整"</f>
        <v>陆佰肆拾万元整</v>
      </c>
      <c r="F8" s="3275"/>
      <c r="G8" s="2457"/>
      <c r="H8" s="2457"/>
      <c r="I8" s="2457"/>
      <c r="J8" s="2457"/>
      <c r="K8" s="2457"/>
    </row>
    <row r="9" spans="1:11" ht="16.5">
      <c r="A9" s="2295" t="s">
        <v>655</v>
      </c>
      <c r="B9" s="1241"/>
      <c r="C9" s="2456"/>
      <c r="D9" s="2456"/>
      <c r="E9" s="2456"/>
      <c r="F9" s="2457"/>
      <c r="G9" s="2457"/>
      <c r="H9" s="2457"/>
      <c r="I9" s="2457"/>
      <c r="J9" s="2457"/>
      <c r="K9" s="2457"/>
    </row>
    <row r="10" spans="1:11" ht="16.5">
      <c r="A10" s="2295" t="s">
        <v>654</v>
      </c>
      <c r="B10" s="2295">
        <f>IF(E10="",0,ROUND(B1*(E10*365/G10)/10000,0))</f>
        <v>0</v>
      </c>
      <c r="C10" s="2295" t="s">
        <v>3347</v>
      </c>
      <c r="D10" s="2295" t="s">
        <v>3348</v>
      </c>
      <c r="E10" s="3130"/>
      <c r="F10" s="3134" t="s">
        <v>3349</v>
      </c>
      <c r="G10" s="3131"/>
      <c r="H10" s="2457"/>
      <c r="I10" s="2457"/>
      <c r="J10" s="2457"/>
      <c r="K10" s="2457"/>
    </row>
    <row r="11" spans="1:11" ht="16.5">
      <c r="A11" s="2295" t="s">
        <v>670</v>
      </c>
      <c r="B11" s="1241"/>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结果表!B118</f>
        <v>1382.5</v>
      </c>
      <c r="C14" s="2301">
        <f>结果表!C118</f>
        <v>0</v>
      </c>
      <c r="D14" s="2301">
        <f ca="1">结果表!H118</f>
        <v>1683</v>
      </c>
      <c r="E14" s="2301">
        <f ca="1">结果表!I118</f>
        <v>12170</v>
      </c>
      <c r="F14" s="2301" t="e">
        <f ca="1">ROUND(D14*10000/C14,0)</f>
        <v>#DIV/0!</v>
      </c>
      <c r="G14" s="2301">
        <f ca="1">D14</f>
        <v>1683</v>
      </c>
      <c r="H14" s="2301"/>
      <c r="I14" s="2301">
        <f ca="1">结果表!D126</f>
        <v>640</v>
      </c>
      <c r="J14" s="3274" t="str">
        <f ca="1">NUMBERSTRING(INT(G14*10000),2)&amp;"元整"</f>
        <v>壹仟陆佰捌拾叁万元整</v>
      </c>
      <c r="K14" s="3275"/>
    </row>
    <row r="15" spans="1:11" ht="16.5">
      <c r="A15" s="2300" t="s">
        <v>649</v>
      </c>
      <c r="B15" s="2301"/>
      <c r="C15" s="2301"/>
      <c r="D15" s="2301"/>
      <c r="E15" s="2301" t="e">
        <f t="shared" ref="E15:E23" si="0">ROUND(D15*10000/B15,0)</f>
        <v>#DIV/0!</v>
      </c>
      <c r="F15" s="2301" t="e">
        <f t="shared" ref="F15:F23" si="1">ROUND(D15*10000/C15,0)</f>
        <v>#DIV/0!</v>
      </c>
      <c r="G15" s="2301"/>
      <c r="H15" s="2301"/>
      <c r="I15" s="2301"/>
      <c r="J15" s="3274" t="str">
        <f>NUMBERSTRING(INT(G15*10000),2)&amp;"元整"</f>
        <v>零元整</v>
      </c>
      <c r="K15" s="3275"/>
    </row>
    <row r="16" spans="1:11" ht="16.5">
      <c r="A16" s="2300" t="s">
        <v>648</v>
      </c>
      <c r="B16" s="2302"/>
      <c r="C16" s="2302"/>
      <c r="D16" s="2302"/>
      <c r="E16" s="2301" t="e">
        <f t="shared" si="0"/>
        <v>#DIV/0!</v>
      </c>
      <c r="F16" s="2301" t="e">
        <f t="shared" si="1"/>
        <v>#DIV/0!</v>
      </c>
      <c r="G16" s="1241"/>
      <c r="H16" s="1241"/>
      <c r="I16" s="2302"/>
      <c r="J16" s="2457"/>
      <c r="K16" s="2457"/>
    </row>
    <row r="17" spans="1:11" ht="16.5">
      <c r="A17" s="2300" t="s">
        <v>647</v>
      </c>
      <c r="B17" s="2302"/>
      <c r="C17" s="2302"/>
      <c r="D17" s="2302"/>
      <c r="E17" s="2301" t="e">
        <f t="shared" si="0"/>
        <v>#DIV/0!</v>
      </c>
      <c r="F17" s="2301" t="e">
        <f t="shared" si="1"/>
        <v>#DIV/0!</v>
      </c>
      <c r="G17" s="1241"/>
      <c r="H17" s="1241"/>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 zoomScaleNormal="100" zoomScaleSheetLayoutView="100" zoomScalePageLayoutView="80" workbookViewId="0">
      <selection activeCell="E18" sqref="E18:I18"/>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10" t="str">
        <f>项目基本情况!S2</f>
        <v>北京市迎宾中路16号房地产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1" t="s">
        <v>1265</v>
      </c>
      <c r="B4" s="1622" t="s">
        <v>1266</v>
      </c>
      <c r="C4" s="1623" t="s">
        <v>3492</v>
      </c>
      <c r="D4" s="1623" t="s">
        <v>3459</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2" t="s">
        <v>1269</v>
      </c>
      <c r="F5" s="1624"/>
      <c r="G5" s="1624"/>
      <c r="H5" s="1624"/>
      <c r="I5" s="1278"/>
    </row>
    <row r="6" spans="1:12" ht="12.75">
      <c r="A6" s="3290"/>
      <c r="B6" s="3277"/>
      <c r="C6" s="3294"/>
      <c r="D6" s="3313"/>
      <c r="E6" s="122" t="s">
        <v>1270</v>
      </c>
      <c r="F6" s="1624"/>
      <c r="G6" s="1624"/>
      <c r="H6" s="1624"/>
      <c r="I6" s="1278"/>
    </row>
    <row r="7" spans="1:12" ht="12.75">
      <c r="A7" s="3290"/>
      <c r="B7" s="3277"/>
      <c r="C7" s="3295"/>
      <c r="D7" s="3313"/>
      <c r="E7" s="122" t="s">
        <v>1271</v>
      </c>
      <c r="F7" s="1624"/>
      <c r="G7" s="1624"/>
      <c r="H7" s="1624"/>
      <c r="I7" s="1278"/>
    </row>
    <row r="8" spans="1:12" ht="12.75">
      <c r="A8" s="3290" t="s">
        <v>1272</v>
      </c>
      <c r="B8" s="3277">
        <v>15</v>
      </c>
      <c r="C8" s="3293"/>
      <c r="D8" s="3313"/>
      <c r="E8" s="122" t="s">
        <v>1273</v>
      </c>
      <c r="F8" s="1624"/>
      <c r="G8" s="1624"/>
      <c r="H8" s="1624"/>
      <c r="I8" s="1278"/>
    </row>
    <row r="9" spans="1:12" ht="12.75">
      <c r="A9" s="3290"/>
      <c r="B9" s="3277"/>
      <c r="C9" s="3295"/>
      <c r="D9" s="3313"/>
      <c r="E9" s="122" t="s">
        <v>1274</v>
      </c>
      <c r="F9" s="1624"/>
      <c r="G9" s="1624"/>
      <c r="H9" s="1624"/>
      <c r="I9" s="1278"/>
    </row>
    <row r="10" spans="1:12" ht="12.75">
      <c r="A10" s="3290" t="s">
        <v>1275</v>
      </c>
      <c r="B10" s="3277">
        <v>15</v>
      </c>
      <c r="C10" s="3293"/>
      <c r="D10" s="3313"/>
      <c r="E10" s="122" t="s">
        <v>1276</v>
      </c>
      <c r="F10" s="1624"/>
      <c r="G10" s="1624"/>
      <c r="H10" s="1624"/>
      <c r="I10" s="1278"/>
    </row>
    <row r="11" spans="1:12" ht="12.75">
      <c r="A11" s="3290"/>
      <c r="B11" s="3277"/>
      <c r="C11" s="3295"/>
      <c r="D11" s="3313"/>
      <c r="E11" s="122" t="s">
        <v>1277</v>
      </c>
      <c r="F11" s="1624"/>
      <c r="G11" s="1624"/>
      <c r="H11" s="1624"/>
      <c r="I11" s="1278"/>
    </row>
    <row r="12" spans="1:12" ht="12.75">
      <c r="A12" s="3290" t="s">
        <v>1278</v>
      </c>
      <c r="B12" s="3277">
        <v>15</v>
      </c>
      <c r="C12" s="3293"/>
      <c r="D12" s="3313"/>
      <c r="E12" s="122" t="s">
        <v>1279</v>
      </c>
      <c r="F12" s="1624"/>
      <c r="G12" s="1624"/>
      <c r="H12" s="1624"/>
      <c r="I12" s="1278"/>
    </row>
    <row r="13" spans="1:12" ht="12.75">
      <c r="A13" s="3290"/>
      <c r="B13" s="3277"/>
      <c r="C13" s="3295"/>
      <c r="D13" s="3313"/>
      <c r="E13" s="122" t="s">
        <v>1280</v>
      </c>
      <c r="F13" s="1624"/>
      <c r="G13" s="1624"/>
      <c r="H13" s="1624"/>
      <c r="I13" s="1278"/>
    </row>
    <row r="14" spans="1:12" ht="12.75">
      <c r="A14" s="3290" t="s">
        <v>1281</v>
      </c>
      <c r="B14" s="3277">
        <v>30</v>
      </c>
      <c r="C14" s="3293">
        <v>6</v>
      </c>
      <c r="D14" s="3313">
        <v>4</v>
      </c>
      <c r="E14" s="122" t="s">
        <v>1282</v>
      </c>
      <c r="F14" s="1624"/>
      <c r="G14" s="1624"/>
      <c r="H14" s="1624"/>
      <c r="I14" s="1278"/>
    </row>
    <row r="15" spans="1:12" ht="12.75">
      <c r="A15" s="3290"/>
      <c r="B15" s="3277"/>
      <c r="C15" s="3294"/>
      <c r="D15" s="3313"/>
      <c r="E15" s="122" t="s">
        <v>1283</v>
      </c>
      <c r="F15" s="1624"/>
      <c r="G15" s="1624"/>
      <c r="H15" s="1624"/>
      <c r="I15" s="1278"/>
    </row>
    <row r="16" spans="1:12" ht="12.75">
      <c r="A16" s="3290"/>
      <c r="B16" s="3277"/>
      <c r="C16" s="3295"/>
      <c r="D16" s="3313"/>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00" t="s">
        <v>2131</v>
      </c>
      <c r="F18" s="3301"/>
      <c r="G18" s="3301"/>
      <c r="H18" s="3301"/>
      <c r="I18" s="3301"/>
      <c r="K18" s="293" t="s">
        <v>1289</v>
      </c>
      <c r="L18" s="293">
        <f>IF(C1="",'数据-汇总表'!E3,SUMIF(项目类型,C1,'数据-汇总表'!E17:E26)+SUMIF(项目类型,C1,'数据-汇总表'!I17:I26))</f>
        <v>1382.5</v>
      </c>
      <c r="M18" s="293">
        <f>IF(C1="",'数据-汇总表'!E3,SUMIF(项目类型,C1,'数据-汇总表'!E17:E26))</f>
        <v>1382.5</v>
      </c>
    </row>
    <row r="19" spans="1:36" ht="15">
      <c r="A19" s="1627" t="s">
        <v>1290</v>
      </c>
      <c r="B19" s="1628" t="s">
        <v>1291</v>
      </c>
      <c r="C19" s="125">
        <f ca="1">SUMIF(INDIRECT("'"&amp;C4&amp;"'"&amp;"!A:A"),结果表!B19,INDIRECT("'"&amp;C4&amp;"'"&amp;"!B:B"))</f>
        <v>2182.6909999999998</v>
      </c>
      <c r="D19" s="126">
        <f ca="1">SUMIF(INDIRECT("'"&amp;D4&amp;"'"&amp;"!A:A"),结果表!B19,INDIRECT("'"&amp;D4&amp;"'"&amp;"!B:B"))</f>
        <v>932.14120000000003</v>
      </c>
      <c r="E19" s="1627" t="s">
        <v>1292</v>
      </c>
      <c r="F19" s="1628" t="s">
        <v>1291</v>
      </c>
      <c r="G19" s="127">
        <f ca="1">ROUND(C19*$C$18+D19*$D$18,0)</f>
        <v>1682</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15788</v>
      </c>
      <c r="D20" s="129">
        <f ca="1">SUMIF(INDIRECT("'"&amp;D4&amp;"'"&amp;"!A:A"),结果表!B20,INDIRECT("'"&amp;D4&amp;"'"&amp;"!B:B"))</f>
        <v>6742</v>
      </c>
      <c r="E20" s="1630"/>
      <c r="F20" s="43" t="s">
        <v>1295</v>
      </c>
      <c r="G20" s="130">
        <f ca="1">ROUND(C20*$C$18+D20*$D$18,0)</f>
        <v>12170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1.3415883773831685</v>
      </c>
      <c r="E22" s="120"/>
      <c r="F22" s="120"/>
      <c r="G22" s="120"/>
      <c r="H22" s="120"/>
      <c r="I22" s="120"/>
    </row>
    <row r="23" spans="1:36" ht="13.5" thickBot="1">
      <c r="A23" s="644"/>
      <c r="B23" s="644"/>
      <c r="C23" s="644"/>
      <c r="D23" s="644"/>
      <c r="E23" s="120"/>
      <c r="F23" s="120"/>
      <c r="G23" s="120"/>
      <c r="H23" s="120"/>
      <c r="I23" s="120"/>
    </row>
    <row r="24" spans="1:36" ht="14.25">
      <c r="A24" s="3284" t="s">
        <v>1299</v>
      </c>
      <c r="B24" s="1628" t="s">
        <v>1291</v>
      </c>
      <c r="C24" s="127">
        <f>IF(B30=0,0,D30)</f>
        <v>0</v>
      </c>
      <c r="D24" s="1634"/>
      <c r="E24" s="120"/>
      <c r="F24" s="120"/>
      <c r="G24" s="120"/>
      <c r="H24" s="120"/>
      <c r="I24" s="120"/>
    </row>
    <row r="25" spans="1:36" ht="14.25">
      <c r="A25" s="3285"/>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12170</v>
      </c>
      <c r="D32" s="1638" t="s">
        <v>3507</v>
      </c>
      <c r="E32" s="120"/>
      <c r="F32" s="120"/>
      <c r="G32" s="120"/>
      <c r="H32" s="120"/>
      <c r="I32" s="120"/>
    </row>
    <row r="33" spans="1:16" ht="15">
      <c r="A33" s="738" t="s">
        <v>1306</v>
      </c>
      <c r="B33" s="122"/>
      <c r="C33" s="1639"/>
      <c r="D33" s="1640"/>
      <c r="E33" s="1641" t="s">
        <v>1307</v>
      </c>
      <c r="F33" s="1642" t="str">
        <f>IF(D32="楼面单价","取值（单价）","取值（总价）")</f>
        <v>取值（单价）</v>
      </c>
      <c r="G33" s="120"/>
      <c r="H33" s="120"/>
      <c r="I33" s="120"/>
    </row>
    <row r="34" spans="1:16" ht="15">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75" thickBot="1">
      <c r="A36" s="3304" t="s">
        <v>1312</v>
      </c>
      <c r="B36" s="1649" t="s">
        <v>1313</v>
      </c>
      <c r="C36" s="136"/>
      <c r="D36" s="1650"/>
      <c r="E36" s="1564"/>
      <c r="F36" s="1651"/>
      <c r="G36" s="120"/>
      <c r="H36" s="120"/>
      <c r="I36" s="120"/>
    </row>
    <row r="37" spans="1:16" ht="15.75" thickBot="1">
      <c r="A37" s="3305"/>
      <c r="B37" s="1552" t="s">
        <v>1314</v>
      </c>
      <c r="C37" s="138"/>
      <c r="D37" s="1068"/>
      <c r="E37" s="1068"/>
      <c r="F37" s="1651"/>
      <c r="G37" s="120"/>
      <c r="H37" s="120"/>
      <c r="I37" s="120"/>
    </row>
    <row r="38" spans="1:16" ht="15.75" thickBot="1">
      <c r="A38" s="3306"/>
      <c r="B38" s="1652" t="s">
        <v>1315</v>
      </c>
      <c r="C38" s="639"/>
      <c r="D38" s="1653" t="s">
        <v>1316</v>
      </c>
      <c r="E38" s="1068"/>
      <c r="F38" s="1651"/>
      <c r="G38" s="120"/>
      <c r="H38" s="120"/>
      <c r="I38" s="120"/>
    </row>
    <row r="39" spans="1:16" ht="15">
      <c r="A39" s="1630" t="s">
        <v>1317</v>
      </c>
      <c r="B39" s="1654" t="s">
        <v>1318</v>
      </c>
      <c r="C39" s="1655" t="s">
        <v>1319</v>
      </c>
      <c r="D39" s="1655" t="s">
        <v>1320</v>
      </c>
      <c r="E39" s="1656" t="s">
        <v>1321</v>
      </c>
      <c r="F39" s="1651"/>
      <c r="G39" s="120"/>
      <c r="H39" s="120"/>
      <c r="I39" s="120"/>
    </row>
    <row r="40" spans="1:16" ht="14.25">
      <c r="A40" s="1657" t="s">
        <v>1322</v>
      </c>
      <c r="B40" s="140"/>
      <c r="C40" s="141"/>
      <c r="D40" s="141"/>
      <c r="E40" s="142"/>
      <c r="F40" s="1651"/>
      <c r="G40" s="120"/>
      <c r="H40" s="120"/>
      <c r="I40" s="120"/>
    </row>
    <row r="41" spans="1:16" ht="14.25">
      <c r="A41" s="1657" t="s">
        <v>1323</v>
      </c>
      <c r="B41" s="140"/>
      <c r="C41" s="141"/>
      <c r="D41" s="141"/>
      <c r="E41" s="142"/>
      <c r="F41" s="1651"/>
      <c r="G41" s="120"/>
      <c r="H41" s="120"/>
      <c r="I41" s="120"/>
    </row>
    <row r="42" spans="1:16" ht="15" thickBot="1">
      <c r="A42" s="1658"/>
      <c r="B42" s="143"/>
      <c r="C42" s="144"/>
      <c r="D42" s="144"/>
      <c r="E42" s="145"/>
      <c r="F42" s="1651"/>
      <c r="G42" s="120"/>
      <c r="H42" s="120"/>
      <c r="I42" s="120"/>
    </row>
    <row r="43" spans="1:16" ht="12.75">
      <c r="A43" s="1464"/>
      <c r="B43" s="1464"/>
      <c r="C43" s="1464"/>
      <c r="D43" s="1464"/>
      <c r="E43" s="1464"/>
      <c r="F43" s="1659"/>
      <c r="G43" s="1659"/>
      <c r="H43" s="1659"/>
      <c r="I43" s="1660"/>
    </row>
    <row r="44" spans="1:16" ht="18.75">
      <c r="A44" s="1461" t="s">
        <v>1324</v>
      </c>
      <c r="B44" s="1661"/>
      <c r="C44" s="1661"/>
      <c r="D44" s="1662"/>
      <c r="E44" s="1662"/>
      <c r="F44" s="1663"/>
      <c r="G44" s="1663"/>
      <c r="H44" s="1663"/>
      <c r="I44" s="1663"/>
      <c r="J44" s="1664" t="s">
        <v>1325</v>
      </c>
      <c r="K44" s="4"/>
      <c r="L44" s="4"/>
      <c r="M44" s="4"/>
      <c r="N44" s="4"/>
      <c r="O44" s="4"/>
    </row>
    <row r="45" spans="1:16" ht="14.25" customHeight="1" thickBot="1">
      <c r="A45" s="3281" t="s">
        <v>1326</v>
      </c>
      <c r="B45" s="3282"/>
      <c r="C45" s="3283"/>
      <c r="D45" s="146">
        <f ca="1">ROUND(H101*F45,0)</f>
        <v>1683</v>
      </c>
      <c r="E45" s="147" t="s">
        <v>1327</v>
      </c>
      <c r="F45" s="148">
        <v>1</v>
      </c>
      <c r="G45" s="149" t="s">
        <v>1328</v>
      </c>
      <c r="H45" s="120"/>
      <c r="I45" s="120"/>
      <c r="J45" s="3359" t="s">
        <v>1329</v>
      </c>
      <c r="K45" s="3359"/>
      <c r="L45" s="3359"/>
      <c r="M45" s="3359"/>
      <c r="N45" s="3359"/>
      <c r="O45" s="3359"/>
    </row>
    <row r="46" spans="1:16" ht="14.25" customHeight="1">
      <c r="A46" s="3278" t="s">
        <v>1330</v>
      </c>
      <c r="B46" s="3279"/>
      <c r="C46" s="3279"/>
      <c r="D46" s="3279"/>
      <c r="E46" s="3279"/>
      <c r="F46" s="3279"/>
      <c r="G46" s="3280"/>
      <c r="H46" s="1665"/>
      <c r="I46" s="150"/>
      <c r="J46" s="2305">
        <v>1</v>
      </c>
      <c r="K46" s="3340" t="s">
        <v>1331</v>
      </c>
      <c r="L46" s="3340"/>
      <c r="M46" s="3360"/>
      <c r="N46" s="3360"/>
      <c r="O46" s="3360"/>
    </row>
    <row r="47" spans="1:16" ht="12" customHeight="1">
      <c r="A47" s="151" t="s">
        <v>1332</v>
      </c>
      <c r="B47" s="152"/>
      <c r="C47" s="153"/>
      <c r="D47" s="1021" t="s">
        <v>1333</v>
      </c>
      <c r="E47" s="293" t="s">
        <v>1334</v>
      </c>
      <c r="F47" s="154" t="s">
        <v>1335</v>
      </c>
      <c r="G47" s="2328" t="s">
        <v>1336</v>
      </c>
      <c r="H47" s="2329"/>
      <c r="I47" s="150"/>
      <c r="J47" s="2305">
        <v>2</v>
      </c>
      <c r="K47" s="3340" t="s">
        <v>1337</v>
      </c>
      <c r="L47" s="3340"/>
      <c r="M47" s="3361">
        <f>'数据-取费表'!B2</f>
        <v>45775</v>
      </c>
      <c r="N47" s="3361"/>
      <c r="O47" s="3361"/>
    </row>
    <row r="48" spans="1:16" ht="25.5">
      <c r="A48" s="3309" t="s">
        <v>1338</v>
      </c>
      <c r="B48" s="3292"/>
      <c r="C48" s="3292"/>
      <c r="D48" s="12">
        <f ca="1">IF(H48="情况1",0,IF(H48="情况2",D52,IF(H48="情况3",D53,IF(H48="情况4",D54))))</f>
        <v>90</v>
      </c>
      <c r="E48" s="1253" t="str">
        <f>IF(H48="情况4","(销售额-原购置价)×税（费）率","销售额×税（费）率")</f>
        <v>(销售额-原购置价)×税（费）率</v>
      </c>
      <c r="F48" s="2330">
        <f>IF(H48="情况1","免征",'数据-取费表'!B41)</f>
        <v>5.6000000000000001E-2</v>
      </c>
      <c r="G48" s="2331" t="s">
        <v>1339</v>
      </c>
      <c r="H48" s="2332" t="s">
        <v>3525</v>
      </c>
      <c r="I48" s="1665"/>
      <c r="J48" s="2305">
        <v>3</v>
      </c>
      <c r="K48" s="3340" t="s">
        <v>1340</v>
      </c>
      <c r="L48" s="3340"/>
      <c r="M48" s="3362">
        <f ca="1">H101</f>
        <v>1683</v>
      </c>
      <c r="N48" s="3362"/>
      <c r="O48" s="3362"/>
      <c r="P48" s="682">
        <f ca="1">M48</f>
        <v>1683</v>
      </c>
    </row>
    <row r="49" spans="1:35" ht="25.5" customHeight="1">
      <c r="A49" s="2149" t="s">
        <v>1341</v>
      </c>
      <c r="B49" s="3276" t="s">
        <v>1342</v>
      </c>
      <c r="C49" s="3276"/>
      <c r="D49" s="1475">
        <v>0</v>
      </c>
      <c r="E49" s="315" t="s">
        <v>1343</v>
      </c>
      <c r="F49" s="2230" t="s">
        <v>28</v>
      </c>
      <c r="G49" s="3346"/>
      <c r="H49" s="2131" t="s">
        <v>2134</v>
      </c>
      <c r="I49" s="2132"/>
      <c r="J49" s="2305">
        <v>4</v>
      </c>
      <c r="K49" s="3340" t="str">
        <f>IF(项目基本情况!E8="房地产抵押价值","房地产抵押价值","抵押担保权已注销时的房地产抵押价值")</f>
        <v>房地产抵押价值</v>
      </c>
      <c r="L49" s="3340"/>
      <c r="M49" s="3362">
        <f ca="1">IF(项目基本情况!E8="房地产抵押价值",H107,H109)</f>
        <v>1683</v>
      </c>
      <c r="N49" s="3362"/>
      <c r="O49" s="3362"/>
      <c r="P49" s="682">
        <f ca="1">M49</f>
        <v>1683</v>
      </c>
    </row>
    <row r="50" spans="1:35" ht="25.5" customHeight="1">
      <c r="A50" s="2333"/>
      <c r="B50" s="3276" t="s">
        <v>1344</v>
      </c>
      <c r="C50" s="3276"/>
      <c r="D50" s="2186"/>
      <c r="E50" s="322"/>
      <c r="F50" s="2230"/>
      <c r="G50" s="3347"/>
      <c r="H50" s="2133" t="s">
        <v>2135</v>
      </c>
      <c r="I50" s="2132"/>
      <c r="J50" s="3359" t="s">
        <v>1345</v>
      </c>
      <c r="K50" s="3359"/>
      <c r="L50" s="3359"/>
      <c r="M50" s="3359"/>
      <c r="N50" s="3359"/>
      <c r="O50" s="3359"/>
    </row>
    <row r="51" spans="1:35" ht="20.45" customHeight="1">
      <c r="A51" s="2334"/>
      <c r="B51" s="3276" t="s">
        <v>1346</v>
      </c>
      <c r="C51" s="3276"/>
      <c r="D51" s="1021"/>
      <c r="E51" s="318"/>
      <c r="F51" s="2230"/>
      <c r="G51" s="3348"/>
      <c r="H51" s="2133" t="s">
        <v>2136</v>
      </c>
      <c r="I51" s="2132"/>
      <c r="J51" s="2306" t="s">
        <v>1347</v>
      </c>
      <c r="K51" s="3340" t="s">
        <v>1348</v>
      </c>
      <c r="L51" s="3340"/>
      <c r="M51" s="2306" t="s">
        <v>1349</v>
      </c>
      <c r="N51" s="2306" t="s">
        <v>1350</v>
      </c>
      <c r="O51" s="2306" t="s">
        <v>1351</v>
      </c>
    </row>
    <row r="52" spans="1:35" ht="24" customHeight="1">
      <c r="A52" s="2150" t="s">
        <v>1352</v>
      </c>
      <c r="B52" s="3276" t="s">
        <v>1353</v>
      </c>
      <c r="C52" s="3276"/>
      <c r="D52" s="1021">
        <f ca="1">ROUND(D45*'数据-取费表'!B41/(1+'数据-取费表'!C42),0)</f>
        <v>90</v>
      </c>
      <c r="E52" s="1253" t="s">
        <v>1354</v>
      </c>
      <c r="F52" s="2335">
        <f>'数据-取费表'!B41</f>
        <v>5.6000000000000001E-2</v>
      </c>
      <c r="G52" s="2336"/>
      <c r="H52" s="2326"/>
      <c r="I52" s="1666"/>
      <c r="J52" s="2305">
        <v>1</v>
      </c>
      <c r="K52" s="3341" t="s">
        <v>1355</v>
      </c>
      <c r="L52" s="3341"/>
      <c r="M52" s="2307">
        <f ca="1">D48</f>
        <v>90</v>
      </c>
      <c r="N52" s="2305" t="str">
        <f>E48</f>
        <v>(销售额-原购置价)×税（费）率</v>
      </c>
      <c r="O52" s="2308">
        <f>F48</f>
        <v>5.6000000000000001E-2</v>
      </c>
      <c r="P52" s="682">
        <f ca="1">ROUND(M49/1.05*O52,0)</f>
        <v>90</v>
      </c>
    </row>
    <row r="53" spans="1:35" ht="12" customHeight="1">
      <c r="A53" s="2150" t="s">
        <v>1356</v>
      </c>
      <c r="B53" s="3302" t="s">
        <v>2282</v>
      </c>
      <c r="C53" s="3303"/>
      <c r="D53" s="1021">
        <f ca="1">ROUND(D45*'数据-取费表'!B41/(1+'数据-取费表'!C42),0)</f>
        <v>90</v>
      </c>
      <c r="E53" s="1253" t="s">
        <v>1354</v>
      </c>
      <c r="F53" s="2335">
        <f>'数据-取费表'!B41</f>
        <v>5.6000000000000001E-2</v>
      </c>
      <c r="G53" s="2336"/>
      <c r="H53" s="2326"/>
      <c r="I53" s="1666"/>
      <c r="J53" s="2305">
        <v>2</v>
      </c>
      <c r="K53" s="3341" t="s">
        <v>1357</v>
      </c>
      <c r="L53" s="3341"/>
      <c r="M53" s="2307">
        <f t="shared" ref="M53:O54" ca="1" si="0">D55</f>
        <v>1</v>
      </c>
      <c r="N53" s="2305" t="str">
        <f t="shared" si="0"/>
        <v>销售额×税（费）率</v>
      </c>
      <c r="O53" s="2308">
        <f t="shared" si="0"/>
        <v>5.0000000000000001E-4</v>
      </c>
      <c r="P53" s="682">
        <f ca="1">M53</f>
        <v>1</v>
      </c>
    </row>
    <row r="54" spans="1:35" ht="12" customHeight="1">
      <c r="A54" s="2150" t="s">
        <v>1358</v>
      </c>
      <c r="B54" s="3302" t="s">
        <v>2283</v>
      </c>
      <c r="C54" s="3303"/>
      <c r="D54" s="1021">
        <f ca="1">C68</f>
        <v>90</v>
      </c>
      <c r="E54" s="318" t="s">
        <v>1359</v>
      </c>
      <c r="F54" s="2335">
        <f>'数据-取费表'!B41</f>
        <v>5.6000000000000001E-2</v>
      </c>
      <c r="G54" s="2336"/>
      <c r="H54" s="2337"/>
      <c r="I54" s="1666"/>
      <c r="J54" s="2305">
        <v>3</v>
      </c>
      <c r="K54" s="3341" t="s">
        <v>1360</v>
      </c>
      <c r="L54" s="3341"/>
      <c r="M54" s="2307">
        <f t="shared" ca="1" si="0"/>
        <v>952</v>
      </c>
      <c r="N54" s="2305" t="str">
        <f t="shared" si="0"/>
        <v>增值额×税（费）率</v>
      </c>
      <c r="O54" s="2309" t="str">
        <f t="shared" si="0"/>
        <v>——</v>
      </c>
      <c r="P54" s="682">
        <f ca="1">ROUND(M49/1.05*0.05,0)</f>
        <v>80</v>
      </c>
    </row>
    <row r="55" spans="1:35" ht="24" customHeight="1">
      <c r="A55" s="3291" t="s">
        <v>1361</v>
      </c>
      <c r="B55" s="3292"/>
      <c r="C55" s="3292"/>
      <c r="D55" s="12">
        <f ca="1">IF(H55="个人住宅",0,ROUND(D45*I55,0))</f>
        <v>1</v>
      </c>
      <c r="E55" s="1253" t="s">
        <v>1362</v>
      </c>
      <c r="F55" s="2335">
        <f>IF(H55="正常",I55,"免征")</f>
        <v>5.0000000000000001E-4</v>
      </c>
      <c r="G55" s="2336"/>
      <c r="H55" s="2332" t="s">
        <v>3438</v>
      </c>
      <c r="I55" s="156">
        <f>'数据-取费表'!B49</f>
        <v>5.0000000000000001E-4</v>
      </c>
      <c r="J55" s="2305" t="str">
        <f>IF(H59="非个人房产","",4)</f>
        <v/>
      </c>
      <c r="K55" s="3341" t="str">
        <f>IF(H59="非个人房产","——","个人所得税")</f>
        <v>——</v>
      </c>
      <c r="L55" s="3341"/>
      <c r="M55" s="2310" t="str">
        <f>D59</f>
        <v>——</v>
      </c>
      <c r="N55" s="1880" t="str">
        <f>E59</f>
        <v>——</v>
      </c>
      <c r="O55" s="2311" t="str">
        <f>F59</f>
        <v>——</v>
      </c>
    </row>
    <row r="56" spans="1:35" ht="24.75">
      <c r="A56" s="3291" t="s">
        <v>1363</v>
      </c>
      <c r="B56" s="3292"/>
      <c r="C56" s="3292"/>
      <c r="D56" s="12">
        <f ca="1">IF(H56="个人住宅",D57,D58)</f>
        <v>952</v>
      </c>
      <c r="E56" s="1253" t="s">
        <v>1364</v>
      </c>
      <c r="F56" s="2335" t="str">
        <f>IF(H56="正常",F58,"免征")</f>
        <v>——</v>
      </c>
      <c r="G56" s="2338" t="s">
        <v>1365</v>
      </c>
      <c r="H56" s="2339" t="s">
        <v>3438</v>
      </c>
      <c r="I56" s="1667"/>
      <c r="J56" s="2305" t="str">
        <f>IF(项目基本情况!K6="上海银行",IF(J55="",4,J55+1),"")</f>
        <v/>
      </c>
      <c r="K56" s="3364" t="str">
        <f>IF(项目基本情况!K6="上海银行","其他处置费用","")</f>
        <v/>
      </c>
      <c r="L56" s="3365"/>
      <c r="M56" s="2307" t="str">
        <f>IF(项目基本情况!K6="上海银行",M69,"")</f>
        <v/>
      </c>
      <c r="N56" s="3364" t="str">
        <f>IF(项目基本情况!K6="上海银行","包含处置中涉及的律师、诉讼、拍卖、评估等费用","")</f>
        <v/>
      </c>
      <c r="O56" s="3367"/>
    </row>
    <row r="57" spans="1:35" ht="12.75">
      <c r="A57" s="2150" t="s">
        <v>1341</v>
      </c>
      <c r="B57" s="3302" t="s">
        <v>1366</v>
      </c>
      <c r="C57" s="3303"/>
      <c r="D57" s="1475">
        <v>0</v>
      </c>
      <c r="E57" s="315" t="s">
        <v>1343</v>
      </c>
      <c r="F57" s="293"/>
      <c r="G57" s="2336"/>
      <c r="H57" s="2340"/>
      <c r="I57" s="1667"/>
      <c r="J57" s="3341">
        <f>IF(AND(J55="",J56=""),4,IF(项目基本情况!K6="上海银行",结果表!J56+1,结果表!J55+1))</f>
        <v>4</v>
      </c>
      <c r="K57" s="3341" t="s">
        <v>1367</v>
      </c>
      <c r="L57" s="2312" t="s">
        <v>1368</v>
      </c>
      <c r="M57" s="2313"/>
      <c r="N57" s="2314">
        <f ca="1">SUMIF(M52:M56,"&lt;9e307")</f>
        <v>1043</v>
      </c>
      <c r="O57" s="2315"/>
      <c r="P57" s="682">
        <f ca="1">SUM(P52:P56)</f>
        <v>171</v>
      </c>
    </row>
    <row r="58" spans="1:35" ht="24.75">
      <c r="A58" s="2150" t="s">
        <v>1352</v>
      </c>
      <c r="B58" s="3302" t="s">
        <v>1369</v>
      </c>
      <c r="C58" s="3276"/>
      <c r="D58" s="12">
        <f ca="1">IF(H58="转让取得",C81,C97)</f>
        <v>952</v>
      </c>
      <c r="E58" s="1253" t="s">
        <v>1364</v>
      </c>
      <c r="F58" s="293" t="s">
        <v>28</v>
      </c>
      <c r="G58" s="2336"/>
      <c r="H58" s="2339" t="s">
        <v>3508</v>
      </c>
      <c r="I58" s="1667"/>
      <c r="J58" s="3341"/>
      <c r="K58" s="3341"/>
      <c r="L58" s="2312" t="s">
        <v>1370</v>
      </c>
      <c r="M58" s="2316"/>
      <c r="N58" s="2317" t="str">
        <f ca="1">NUMBERSTRING(INT(N57*10000),2)&amp;"元整"</f>
        <v>壹仟零肆拾叁万元整</v>
      </c>
      <c r="O58" s="2318"/>
      <c r="P58" s="3179" t="str">
        <f ca="1">NUMBERSTRING(INT(P57*10000),2)&amp;"元整"</f>
        <v>壹佰柒拾壹万元整</v>
      </c>
    </row>
    <row r="59" spans="1:35" ht="24.75" thickBot="1">
      <c r="A59" s="3344" t="s">
        <v>1371</v>
      </c>
      <c r="B59" s="3345"/>
      <c r="C59" s="3345"/>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42">
        <f>J57+1</f>
        <v>5</v>
      </c>
      <c r="K59" s="3341" t="s">
        <v>1372</v>
      </c>
      <c r="L59" s="2305" t="s">
        <v>1368</v>
      </c>
      <c r="M59" s="2319"/>
      <c r="N59" s="2320">
        <f ca="1">M49-N57</f>
        <v>640</v>
      </c>
      <c r="O59" s="2321"/>
      <c r="P59" s="682">
        <f ca="1">P49-P57</f>
        <v>1512</v>
      </c>
    </row>
    <row r="60" spans="1:35" ht="12" customHeight="1">
      <c r="A60" s="1668"/>
      <c r="B60" s="644"/>
      <c r="C60" s="644"/>
      <c r="D60" s="644"/>
      <c r="E60" s="1463"/>
      <c r="F60" s="1667"/>
      <c r="G60" s="1667"/>
      <c r="H60" s="150"/>
      <c r="I60" s="120"/>
      <c r="J60" s="3343"/>
      <c r="K60" s="3341"/>
      <c r="L60" s="2312" t="s">
        <v>1370</v>
      </c>
      <c r="M60" s="2316"/>
      <c r="N60" s="2317" t="str">
        <f ca="1">NUMBERSTRING(INT(N59*10000),2)&amp;"元整"</f>
        <v>陆佰肆拾万元整</v>
      </c>
      <c r="O60" s="2318"/>
      <c r="P60" s="3179" t="str">
        <f ca="1">NUMBERSTRING(INT(P59*10000),2)&amp;"元整"</f>
        <v>壹仟伍佰壹拾贰万元整</v>
      </c>
    </row>
    <row r="61" spans="1:35" ht="13.5" thickBot="1">
      <c r="A61" s="3289" t="s">
        <v>1373</v>
      </c>
      <c r="B61" s="3289"/>
      <c r="C61" s="3289"/>
      <c r="D61" s="3289"/>
      <c r="E61" s="3289"/>
      <c r="F61" s="1667"/>
      <c r="G61" s="1667"/>
      <c r="H61" s="150"/>
      <c r="I61" s="120"/>
      <c r="J61" s="2305">
        <f>J59+1</f>
        <v>6</v>
      </c>
      <c r="K61" s="3341" t="s">
        <v>1374</v>
      </c>
      <c r="L61" s="3341"/>
      <c r="M61" s="2322"/>
      <c r="N61" s="2323">
        <f ca="1">ROUND(N59*10000/'数据-汇总表'!E3,0)</f>
        <v>4629</v>
      </c>
      <c r="O61" s="2324"/>
      <c r="P61" s="3180">
        <f ca="1">ROUND(P59*10000/'数据-汇总表'!E3,0)</f>
        <v>10937</v>
      </c>
    </row>
    <row r="62" spans="1:35" ht="12.75">
      <c r="A62" s="3307" t="s">
        <v>1375</v>
      </c>
      <c r="B62" s="3308"/>
      <c r="C62" s="1862"/>
      <c r="D62" s="1862" t="s">
        <v>1376</v>
      </c>
      <c r="E62" s="157" t="s">
        <v>1377</v>
      </c>
      <c r="F62" s="1667"/>
      <c r="G62" s="1667"/>
      <c r="H62" s="150"/>
      <c r="I62" s="120"/>
    </row>
    <row r="63" spans="1:35" ht="12.75">
      <c r="A63" s="164" t="s">
        <v>330</v>
      </c>
      <c r="B63" s="158" t="s">
        <v>1378</v>
      </c>
      <c r="C63" s="2345">
        <f ca="1">ROUND((C64+C65)/(1+'数据-取费表'!C42),0)</f>
        <v>1603</v>
      </c>
      <c r="D63" s="158"/>
      <c r="E63" s="159"/>
      <c r="F63" s="1667"/>
      <c r="G63" s="1667"/>
      <c r="H63" s="150"/>
      <c r="I63" s="120"/>
      <c r="J63" s="3366" t="s">
        <v>1379</v>
      </c>
      <c r="K63" s="1242" t="s">
        <v>1380</v>
      </c>
      <c r="L63" s="1242">
        <f ca="1">IF(M49&gt;10000,M49*0.5%,IF(AND(M49&gt;1000,M49&lt;=10000),M49*1%,IF(AND(M49&gt;100,M49&lt;=1000),M49*3%,IF(AND(M49&gt;10,M49&lt;=100),M49*5%,M49*8%))))</f>
        <v>16.830000000000002</v>
      </c>
      <c r="M63" s="293">
        <f ca="1">ROUND(L63,1)</f>
        <v>16.8</v>
      </c>
      <c r="N63" s="2325"/>
      <c r="Z63" s="1620"/>
      <c r="AI63" s="1558"/>
    </row>
    <row r="64" spans="1:35" ht="14.25" customHeight="1">
      <c r="A64" s="160" t="s">
        <v>325</v>
      </c>
      <c r="B64" s="161" t="s">
        <v>1381</v>
      </c>
      <c r="C64" s="2346">
        <f ca="1">D45</f>
        <v>1683</v>
      </c>
      <c r="D64" s="161" t="s">
        <v>26</v>
      </c>
      <c r="E64" s="163"/>
      <c r="F64" s="1667"/>
      <c r="G64" s="1667"/>
      <c r="H64" s="150"/>
      <c r="I64" s="120"/>
      <c r="J64" s="3366"/>
      <c r="K64" s="1242" t="s">
        <v>1382</v>
      </c>
      <c r="L64" s="1242">
        <f ca="1">IF(M49&gt;2000,M49*0.5%,IF(AND(M49&gt;1000,M49&lt;=2000),M49*0.6%,IF(AND(M49&gt;500,M49&lt;=1000),M49*0.7%,IF(AND(M49&gt;200,M49&lt;=500),M49*0.8%,IF(AND(M49&gt;100,M49&lt;=200),M49*0.9%,IF(AND(M49&gt;50,M49&lt;=100),M49*1%,IF(AND(M49&gt;20,M49&lt;=50),M49*1.5%,IF(AND(M49&gt;10,M49&lt;=20),M49*2%,IF(AND(M49&gt;1,M49&lt;=10),M49*2.5%)))))))))</f>
        <v>10.098000000000001</v>
      </c>
      <c r="M64" s="293">
        <f t="shared" ref="M64:M65" ca="1" si="1">ROUND(L64,1)</f>
        <v>10.1</v>
      </c>
      <c r="N64" s="2326" t="s">
        <v>1383</v>
      </c>
      <c r="Z64" s="1620"/>
      <c r="AI64" s="1558"/>
    </row>
    <row r="65" spans="1:35" ht="14.25" customHeight="1">
      <c r="A65" s="160" t="s">
        <v>326</v>
      </c>
      <c r="B65" s="161" t="s">
        <v>1384</v>
      </c>
      <c r="C65" s="2347"/>
      <c r="D65" s="161"/>
      <c r="E65" s="163"/>
      <c r="F65" s="1667"/>
      <c r="G65" s="1667"/>
      <c r="H65" s="150"/>
      <c r="I65" s="120"/>
      <c r="J65" s="3366"/>
      <c r="K65" s="1242" t="s">
        <v>1385</v>
      </c>
      <c r="L65" s="1242">
        <f ca="1">IF(M49&gt;1000,M49*0.1%,IF(AND(M49&gt;500,M49&lt;=1000),M49*0.5%,IF(AND(M49&gt;50,M49&lt;=500),M49*1%,IF(AND(M49&gt;1,M49&lt;=50),M49*1.5%))))</f>
        <v>1.6830000000000001</v>
      </c>
      <c r="M65" s="293">
        <f t="shared" ca="1" si="1"/>
        <v>1.7</v>
      </c>
      <c r="N65" s="2326" t="s">
        <v>1383</v>
      </c>
      <c r="Z65" s="1620"/>
      <c r="AI65" s="1558"/>
    </row>
    <row r="66" spans="1:35" ht="14.25" customHeight="1">
      <c r="A66" s="164" t="s">
        <v>327</v>
      </c>
      <c r="B66" s="165" t="s">
        <v>1386</v>
      </c>
      <c r="C66" s="2348"/>
      <c r="D66" s="165" t="s">
        <v>26</v>
      </c>
      <c r="E66" s="1248" t="s">
        <v>671</v>
      </c>
      <c r="F66" s="1667"/>
      <c r="G66" s="1667"/>
      <c r="H66" s="150"/>
      <c r="I66" s="120"/>
      <c r="J66" s="3366"/>
      <c r="K66" s="1242" t="s">
        <v>1387</v>
      </c>
      <c r="L66" s="1242">
        <f ca="1">M49*0.5%</f>
        <v>8.4150000000000009</v>
      </c>
      <c r="M66" s="293">
        <f ca="1">IF(L66&gt;0.5,0.5,ROUND(L66,0))</f>
        <v>0.5</v>
      </c>
      <c r="N66" s="2326" t="s">
        <v>1388</v>
      </c>
      <c r="Z66" s="1620"/>
      <c r="AI66" s="1558"/>
    </row>
    <row r="67" spans="1:35" ht="14.25" customHeight="1">
      <c r="A67" s="164" t="s">
        <v>328</v>
      </c>
      <c r="B67" s="165" t="s">
        <v>1389</v>
      </c>
      <c r="C67" s="2349">
        <f ca="1">C63-C66</f>
        <v>1603</v>
      </c>
      <c r="D67" s="161" t="s">
        <v>26</v>
      </c>
      <c r="E67" s="163"/>
      <c r="F67" s="1667"/>
      <c r="G67" s="1667"/>
      <c r="H67" s="150"/>
      <c r="I67" s="120"/>
      <c r="J67" s="3366"/>
      <c r="K67" s="1242" t="s">
        <v>1390</v>
      </c>
      <c r="L67" s="1242">
        <f ca="1">IF(M49&gt;=10000,(8.25+(M49-10000)*0.01%),IF(AND(M49&gt;=8000,M49&lt;10000),(7.85+(M49-8000)*0.02%),IF(AND(M49&gt;=5000,M49&lt;8000),(6.65+(M49-5000)*0.04%),IF(AND(M49&gt;=2000,M49&lt;5000),(4.25+(PM49-2000)*0.08%),IF(AND(M49&gt;=1000,M49&lt;2000),(2.75+(M49-1000)*0.15%),IF(AND(M49&gt;=100,M49&lt;1000),(0.5+(M49-100)*0.25%),IF(AND(M49&gt;0,M49&lt;100),M49*0.5%)))))))</f>
        <v>3.7744999999999997</v>
      </c>
      <c r="M67" s="293">
        <f ca="1">ROUND(L67*0.9,1)</f>
        <v>3.4</v>
      </c>
      <c r="N67" s="2325"/>
      <c r="Z67" s="1620"/>
      <c r="AI67" s="1558"/>
    </row>
    <row r="68" spans="1:35" ht="14.25" customHeight="1" thickBot="1">
      <c r="A68" s="167" t="s">
        <v>329</v>
      </c>
      <c r="B68" s="168" t="s">
        <v>1391</v>
      </c>
      <c r="C68" s="2350">
        <f ca="1">IF(C67&lt;=0,0,ROUND(C67*D68,0))</f>
        <v>90</v>
      </c>
      <c r="D68" s="2351">
        <f>'数据-取费表'!B41</f>
        <v>5.6000000000000001E-2</v>
      </c>
      <c r="E68" s="169"/>
      <c r="F68" s="1667"/>
      <c r="G68" s="1667"/>
      <c r="H68" s="150"/>
      <c r="I68" s="120"/>
      <c r="J68" s="3366"/>
      <c r="K68" s="1242" t="s">
        <v>1392</v>
      </c>
      <c r="L68" s="1242">
        <f ca="1">IF(M49&gt;10000,M49*0.5%,IF(AND(M49&gt;5000,M49&lt;=10000),M49*1%,IF(AND(M49&gt;1000,M49&lt;=5000),M49*2%,IF(AND(M49&gt;200,M49&lt;=1000),M49*3%,M49*5%))))</f>
        <v>33.660000000000004</v>
      </c>
      <c r="M68" s="293">
        <f ca="1">ROUND(L68,1)</f>
        <v>33.700000000000003</v>
      </c>
      <c r="N68" s="2325"/>
      <c r="Z68" s="1620"/>
      <c r="AI68" s="1558"/>
    </row>
    <row r="69" spans="1:35" ht="16.5" customHeight="1">
      <c r="A69" s="1669"/>
      <c r="B69" s="1670"/>
      <c r="C69" s="1671"/>
      <c r="D69" s="1672"/>
      <c r="E69" s="1673"/>
      <c r="F69" s="1463"/>
      <c r="G69" s="1463"/>
      <c r="H69" s="1464"/>
      <c r="I69" s="644"/>
      <c r="J69" s="3366"/>
      <c r="K69" s="1242" t="s">
        <v>1393</v>
      </c>
      <c r="L69" s="1242"/>
      <c r="M69" s="293">
        <f ca="1">ROUND(SUM(M63:M68),0)</f>
        <v>66</v>
      </c>
      <c r="N69" s="2327">
        <f ca="1">M69/M49</f>
        <v>3.9215686274509803E-2</v>
      </c>
      <c r="Z69" s="1620"/>
      <c r="AI69" s="1558"/>
    </row>
    <row r="70" spans="1:35" s="640" customFormat="1" ht="15" thickBot="1">
      <c r="A70" s="3328" t="s">
        <v>1394</v>
      </c>
      <c r="B70" s="3329"/>
      <c r="C70" s="3329"/>
      <c r="D70" s="3329"/>
      <c r="E70" s="3329"/>
      <c r="F70" s="3329"/>
      <c r="G70" s="3329"/>
      <c r="H70" s="3329"/>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7" t="s">
        <v>1375</v>
      </c>
      <c r="B71" s="3308"/>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9">
        <f ca="1">ROUND(D45/(1+'数据-取费表'!C42),0)</f>
        <v>1603</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9">
        <f ca="1">C74+C78</f>
        <v>10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02" t="s">
        <v>1402</v>
      </c>
      <c r="F76" s="3276"/>
      <c r="G76" s="3276"/>
      <c r="H76" s="332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10</v>
      </c>
      <c r="D78" s="2358">
        <f>'数据-取费表'!B43</f>
        <v>6.000000000000001E-3</v>
      </c>
      <c r="E78" s="3286" t="s">
        <v>1406</v>
      </c>
      <c r="F78" s="3287"/>
      <c r="G78" s="3287"/>
      <c r="H78" s="329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9">
        <f ca="1">C72-C73</f>
        <v>1593</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159.30000000000001</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60">
        <f ca="1">ROUND(IF(C79&lt;=0,0,IF(C80&gt;=200%,C79*60%-C73*35%,IF(C80&gt;=100%,C79*50%-C73*15%,IF(C80&gt;=50%,C79*40%-C73*5%,IF(C80&lt;50%,C79*30%,0))))),0)</f>
        <v>952</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8" t="s">
        <v>1410</v>
      </c>
      <c r="B83" s="3329"/>
      <c r="C83" s="3329"/>
      <c r="D83" s="3329"/>
      <c r="E83" s="3329"/>
      <c r="F83" s="3329"/>
      <c r="G83" s="3329"/>
      <c r="H83" s="332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7" t="s">
        <v>1375</v>
      </c>
      <c r="B84" s="3308"/>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9">
        <f ca="1">ROUND(D45/(1+'数据-取费表'!C42),0)</f>
        <v>1603</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63"/>
      <c r="D90" s="2358"/>
      <c r="E90" s="184" t="str">
        <f>IF(H88="-","土地取得成本中已包含该笔费用"," ")</f>
        <v xml:space="preserve"> </v>
      </c>
      <c r="F90" s="2145"/>
      <c r="G90" s="3368" t="s">
        <v>2129</v>
      </c>
      <c r="H90" s="3369"/>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286" t="s">
        <v>1419</v>
      </c>
      <c r="F91" s="3287"/>
      <c r="G91" s="3287"/>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286" t="s">
        <v>1422</v>
      </c>
      <c r="F92" s="3287"/>
      <c r="G92" s="3287"/>
      <c r="H92" s="3296"/>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10</v>
      </c>
      <c r="D93" s="2358">
        <f>'数据-取费表'!B43</f>
        <v>6.000000000000001E-3</v>
      </c>
      <c r="E93" s="3286" t="s">
        <v>1406</v>
      </c>
      <c r="F93" s="3287"/>
      <c r="G93" s="3287"/>
      <c r="H93" s="329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297" t="s">
        <v>1426</v>
      </c>
      <c r="F94" s="3298"/>
      <c r="G94" s="3298"/>
      <c r="H94" s="329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8" t="s">
        <v>1428</v>
      </c>
      <c r="B100" s="3269"/>
      <c r="C100" s="3269"/>
      <c r="D100" s="3288"/>
      <c r="E100" s="3269" t="s">
        <v>1429</v>
      </c>
      <c r="F100" s="3269"/>
      <c r="G100" s="3269"/>
      <c r="H100" s="3288"/>
      <c r="I100" s="120"/>
    </row>
    <row r="101" spans="1:35" ht="18.75" customHeight="1">
      <c r="A101" s="3349" t="s">
        <v>1430</v>
      </c>
      <c r="B101" s="3350"/>
      <c r="C101" s="2366" t="str">
        <f>C4</f>
        <v>比较法-商业</v>
      </c>
      <c r="D101" s="2367" t="str">
        <f>D4</f>
        <v>收益法 (元)</v>
      </c>
      <c r="E101" s="3363" t="s">
        <v>1431</v>
      </c>
      <c r="F101" s="3320"/>
      <c r="G101" s="1684" t="s">
        <v>1432</v>
      </c>
      <c r="H101" s="2376">
        <f ca="1">H118</f>
        <v>1683</v>
      </c>
      <c r="I101" s="120"/>
    </row>
    <row r="102" spans="1:35" ht="18.75" customHeight="1">
      <c r="A102" s="3322" t="s">
        <v>1433</v>
      </c>
      <c r="B102" s="2365" t="s">
        <v>1432</v>
      </c>
      <c r="C102" s="2366">
        <f ca="1">IF(D32="楼面单价",ROUND(C19,0),C19)</f>
        <v>2183</v>
      </c>
      <c r="D102" s="2367">
        <f ca="1">IF(D32="楼面单价",ROUND(D19,0),D19)</f>
        <v>932</v>
      </c>
      <c r="E102" s="3363"/>
      <c r="F102" s="3320"/>
      <c r="G102" s="1684" t="s">
        <v>1434</v>
      </c>
      <c r="H102" s="2336">
        <f ca="1">I118</f>
        <v>12170</v>
      </c>
      <c r="I102" s="120"/>
    </row>
    <row r="103" spans="1:35" ht="42.75" customHeight="1">
      <c r="A103" s="3322"/>
      <c r="B103" s="2365" t="s">
        <v>1434</v>
      </c>
      <c r="C103" s="2368">
        <f ca="1">C20</f>
        <v>15788</v>
      </c>
      <c r="D103" s="2369">
        <f ca="1">D20</f>
        <v>6742</v>
      </c>
      <c r="E103" s="3357" t="s">
        <v>1435</v>
      </c>
      <c r="F103" s="3358"/>
      <c r="G103" s="1685" t="s">
        <v>1436</v>
      </c>
      <c r="H103" s="2376">
        <f>IF(D36="正常操作",H104+H105+H106,H105+H106)</f>
        <v>0</v>
      </c>
      <c r="I103" s="120"/>
    </row>
    <row r="104" spans="1:35" ht="18.75" customHeight="1">
      <c r="A104" s="3322" t="s">
        <v>1437</v>
      </c>
      <c r="B104" s="2370" t="s">
        <v>1432</v>
      </c>
      <c r="C104" s="2371">
        <f ca="1">H118</f>
        <v>1683</v>
      </c>
      <c r="D104" s="2372"/>
      <c r="E104" s="1552" t="s">
        <v>1438</v>
      </c>
      <c r="F104" s="1545"/>
      <c r="G104" s="1685" t="s">
        <v>1436</v>
      </c>
      <c r="H104" s="2377">
        <f>IF(D36="同一抵押权人同一抵押物续贷",C36&amp;"（续贷，未扣减，详见特别提示）",C36)</f>
        <v>0</v>
      </c>
      <c r="I104" s="120"/>
    </row>
    <row r="105" spans="1:35" ht="18.75" customHeight="1" thickBot="1">
      <c r="A105" s="3323"/>
      <c r="B105" s="2373" t="s">
        <v>1434</v>
      </c>
      <c r="C105" s="2374">
        <f ca="1">I118</f>
        <v>12170</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9" t="str">
        <f>IF(项目基本情况!E8="已注销","——","3.房地产抵押价值")</f>
        <v>3.房地产抵押价值</v>
      </c>
      <c r="F107" s="3320"/>
      <c r="G107" s="1684" t="s">
        <v>1432</v>
      </c>
      <c r="H107" s="2376">
        <f ca="1">IF(E107="——","——",H101-H103)</f>
        <v>1683</v>
      </c>
      <c r="I107" s="120"/>
    </row>
    <row r="108" spans="1:35" ht="18.75" customHeight="1">
      <c r="A108" s="120"/>
      <c r="B108" s="120"/>
      <c r="C108" s="120"/>
      <c r="D108" s="120"/>
      <c r="E108" s="3319"/>
      <c r="F108" s="3320"/>
      <c r="G108" s="1684" t="s">
        <v>1434</v>
      </c>
      <c r="H108" s="2336">
        <f ca="1">IF(H107=H101,H102,ROUND(H107*10000/'数据-汇总表'!E3,0))</f>
        <v>12170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4" t="s">
        <v>1432</v>
      </c>
      <c r="H109" s="2379" t="str">
        <f>IF(E109="——","——",H101-H105-H106)</f>
        <v>——</v>
      </c>
      <c r="I109" s="120"/>
    </row>
    <row r="110" spans="1:35" ht="18.75" customHeight="1">
      <c r="A110" s="120"/>
      <c r="B110" s="120"/>
      <c r="C110" s="120"/>
      <c r="D110" s="120"/>
      <c r="E110" s="3319"/>
      <c r="F110" s="3320"/>
      <c r="G110" s="1684" t="s">
        <v>1434</v>
      </c>
      <c r="H110" s="2336"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4.抵押净值</v>
      </c>
      <c r="F111" s="3321"/>
      <c r="G111" s="1684" t="s">
        <v>1432</v>
      </c>
      <c r="H111" s="2376">
        <f ca="1">IF(E111="——","——",N59)</f>
        <v>640</v>
      </c>
      <c r="I111" s="120"/>
      <c r="J111" s="682">
        <f ca="1">H111/L18*10000</f>
        <v>4629.2947558770338</v>
      </c>
    </row>
    <row r="112" spans="1:35" ht="18.75" customHeight="1" thickBot="1">
      <c r="A112" s="120"/>
      <c r="B112" s="120"/>
      <c r="C112" s="120"/>
      <c r="D112" s="120"/>
      <c r="E112" s="3352"/>
      <c r="F112" s="3353"/>
      <c r="G112" s="1687" t="s">
        <v>1434</v>
      </c>
      <c r="H112" s="2380">
        <f ca="1">IF(E111="——","——",N61)</f>
        <v>4629</v>
      </c>
      <c r="I112" s="120"/>
    </row>
    <row r="113" spans="1:27" ht="18.75" customHeight="1">
      <c r="A113" s="120"/>
      <c r="B113" s="120"/>
      <c r="C113" s="120"/>
      <c r="D113" s="120"/>
      <c r="E113" s="3324" t="s">
        <v>1440</v>
      </c>
      <c r="F113" s="3324"/>
      <c r="G113" s="3324"/>
      <c r="H113" s="3324"/>
      <c r="I113" s="120"/>
    </row>
    <row r="114" spans="1:27" ht="3.75" customHeight="1">
      <c r="A114" s="644"/>
      <c r="B114" s="644"/>
      <c r="C114" s="644"/>
      <c r="D114" s="644"/>
      <c r="E114" s="1668"/>
      <c r="F114" s="1668"/>
      <c r="G114" s="1668"/>
      <c r="H114" s="1668"/>
      <c r="I114" s="644"/>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1382.5</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1683</v>
      </c>
      <c r="I118" s="2147">
        <f ca="1">ROUND(IF(D32="楼面单价",C32,H118*10000/B118),0)</f>
        <v>12170</v>
      </c>
    </row>
    <row r="119" spans="1:27" ht="18.75" customHeight="1">
      <c r="A119" s="3290" t="s">
        <v>1452</v>
      </c>
      <c r="B119" s="3290"/>
      <c r="C119" s="3290"/>
      <c r="D119" s="3330" t="e">
        <f ca="1">NUMBERSTRING(INT(D118*10000),2)&amp;"元整"</f>
        <v>#REF!</v>
      </c>
      <c r="E119" s="3332"/>
      <c r="F119" s="3330" t="e">
        <f ca="1">NUMBERSTRING(INT(F118*10000),2)&amp;"元整"</f>
        <v>#REF!</v>
      </c>
      <c r="G119" s="3332"/>
      <c r="H119" s="3330" t="str">
        <f ca="1">NUMBERSTRING(INT(H118*10000),2)&amp;"元整"</f>
        <v>壹仟陆佰捌拾叁万元整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0" t="s">
        <v>1452</v>
      </c>
      <c r="B121" s="3331"/>
      <c r="C121" s="3332"/>
      <c r="D121" s="3330" t="str">
        <f>IF(D120=0,"零元整",NUMBERSTRING(INT(D120*10000),2)&amp;"元整")</f>
        <v>零元整</v>
      </c>
      <c r="E121" s="3331"/>
      <c r="F121" s="3331"/>
      <c r="G121" s="3331"/>
      <c r="H121" s="3331"/>
      <c r="I121" s="3332"/>
      <c r="AA121" s="682"/>
    </row>
    <row r="122" spans="1:27" ht="18.75" customHeight="1">
      <c r="A122" s="3321" t="str">
        <f>IF(项目基本情况!B9="房地产市场价值","",MID(E107,3,LEN(E107)-2))</f>
        <v>房地产抵押价值</v>
      </c>
      <c r="B122" s="3321"/>
      <c r="C122" s="3321"/>
      <c r="D122" s="3354">
        <f ca="1">H107</f>
        <v>1683</v>
      </c>
      <c r="E122" s="3355"/>
      <c r="F122" s="3355"/>
      <c r="G122" s="3355"/>
      <c r="H122" s="3355"/>
      <c r="I122" s="3356"/>
      <c r="AA122" s="682"/>
    </row>
    <row r="123" spans="1:27" ht="18.75" customHeight="1">
      <c r="A123" s="3290" t="s">
        <v>1452</v>
      </c>
      <c r="B123" s="3290"/>
      <c r="C123" s="3290"/>
      <c r="D123" s="3330" t="str">
        <f ca="1">NUMBERSTRING(INT(D122*10000),2)&amp;"元整"</f>
        <v>壹仟陆佰捌拾叁万元整</v>
      </c>
      <c r="E123" s="3331"/>
      <c r="F123" s="3331"/>
      <c r="G123" s="3331"/>
      <c r="H123" s="3331"/>
      <c r="I123" s="3332"/>
      <c r="AA123" s="682"/>
    </row>
    <row r="124" spans="1:27" ht="18.75" customHeight="1">
      <c r="A124" s="3321" t="str">
        <f>IF(项目基本情况!B9="房地产市场价值","",MID(E109,3,LEN(E109)-2))</f>
        <v/>
      </c>
      <c r="B124" s="3321"/>
      <c r="C124" s="3321"/>
      <c r="D124" s="3354" t="str">
        <f>H109</f>
        <v>——</v>
      </c>
      <c r="E124" s="3355"/>
      <c r="F124" s="3355"/>
      <c r="G124" s="3355"/>
      <c r="H124" s="3355"/>
      <c r="I124" s="3356"/>
      <c r="AA124" s="682"/>
    </row>
    <row r="125" spans="1:27" ht="18.75" customHeight="1">
      <c r="A125" s="3290" t="s">
        <v>1452</v>
      </c>
      <c r="B125" s="3290"/>
      <c r="C125" s="3290"/>
      <c r="D125" s="3330" t="e">
        <f>NUMBERSTRING(INT(D124*10000),2)&amp;"元整"</f>
        <v>#VALUE!</v>
      </c>
      <c r="E125" s="3331"/>
      <c r="F125" s="3331"/>
      <c r="G125" s="3331"/>
      <c r="H125" s="3331"/>
      <c r="I125" s="3332"/>
      <c r="AA125" s="682"/>
    </row>
    <row r="126" spans="1:27" ht="18.75" customHeight="1">
      <c r="A126" s="3321" t="str">
        <f>IF(项目基本情况!B9="房地产市场价值","",MID(E111,3,LEN(E111)-2))</f>
        <v>抵押净值</v>
      </c>
      <c r="B126" s="3321"/>
      <c r="C126" s="3321"/>
      <c r="D126" s="3354">
        <f ca="1">H111</f>
        <v>640</v>
      </c>
      <c r="E126" s="3355"/>
      <c r="F126" s="3355"/>
      <c r="G126" s="3355"/>
      <c r="H126" s="3355"/>
      <c r="I126" s="3356"/>
      <c r="AA126" s="682"/>
    </row>
    <row r="127" spans="1:27" ht="18.75" customHeight="1">
      <c r="A127" s="3290" t="s">
        <v>1452</v>
      </c>
      <c r="B127" s="3290"/>
      <c r="C127" s="3290"/>
      <c r="D127" s="3330" t="str">
        <f ca="1">NUMBERSTRING(INT(D126*10000),2)&amp;"元整"</f>
        <v>陆佰肆拾万元整</v>
      </c>
      <c r="E127" s="3331"/>
      <c r="F127" s="3331"/>
      <c r="G127" s="3331"/>
      <c r="H127" s="3331"/>
      <c r="I127" s="3332"/>
      <c r="AA127" s="682"/>
    </row>
    <row r="128" spans="1:27" ht="21.75" customHeight="1">
      <c r="A128" s="3337" t="s">
        <v>1453</v>
      </c>
      <c r="B128" s="3337"/>
      <c r="C128" s="3337"/>
      <c r="D128" s="3337"/>
      <c r="E128" s="3337"/>
      <c r="F128" s="3337"/>
      <c r="G128" s="3337"/>
      <c r="H128" s="3337"/>
      <c r="I128" s="3337"/>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W7" sqref="W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2" width="12" style="1842"/>
    <col min="23" max="23" width="12.375" style="1842" bestFit="1" customWidth="1"/>
    <col min="24"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692</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6673</v>
      </c>
      <c r="U2" s="1127">
        <f>'数据-取费表'!T19</f>
        <v>385.47499999999997</v>
      </c>
      <c r="V2" s="3057">
        <f>ROUND(T2*U2/10000,0)</f>
        <v>257</v>
      </c>
      <c r="W2" s="1130">
        <f>U2*T2</f>
        <v>2572274.6749999998</v>
      </c>
      <c r="X2" s="1130"/>
      <c r="Y2" s="1130"/>
      <c r="Z2" s="1130"/>
      <c r="AA2" s="1130"/>
      <c r="AB2" s="1130"/>
      <c r="AC2" s="1131"/>
      <c r="AD2" s="1132"/>
      <c r="AE2" s="1132"/>
      <c r="AF2" s="1132"/>
      <c r="AG2" s="1132"/>
      <c r="AH2" s="1132"/>
      <c r="AI2" s="1132"/>
      <c r="AJ2" s="1133"/>
    </row>
    <row r="3" spans="1:36" ht="15.75">
      <c r="A3" s="194" t="s">
        <v>1940</v>
      </c>
      <c r="B3" s="195">
        <f>ROUND(B2*10000/D1,0)</f>
        <v>5005</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5144</v>
      </c>
      <c r="U3" s="1127">
        <f>'数据-取费表'!T20</f>
        <v>385.47499999999997</v>
      </c>
      <c r="V3" s="3057">
        <f t="shared" ref="V3:V16" si="1">ROUND(T3*U3/10000,0)</f>
        <v>198</v>
      </c>
      <c r="W3" s="1130">
        <f t="shared" ref="W3:W5" si="2">U3*T3</f>
        <v>1982883.4</v>
      </c>
      <c r="X3" s="1130"/>
      <c r="Y3" s="1130"/>
      <c r="Z3" s="1130"/>
      <c r="AA3" s="1130"/>
      <c r="AB3" s="1130"/>
      <c r="AC3" s="1131"/>
      <c r="AD3" s="1132"/>
      <c r="AE3" s="1132"/>
      <c r="AF3" s="1132"/>
      <c r="AG3" s="1132"/>
      <c r="AH3" s="1132"/>
      <c r="AI3" s="1132"/>
      <c r="AJ3" s="1133"/>
    </row>
    <row r="4" spans="1:36" ht="15.75">
      <c r="A4" s="3377"/>
      <c r="B4" s="3378"/>
      <c r="C4" s="3378"/>
      <c r="D4" s="3379"/>
      <c r="E4" s="3379"/>
      <c r="F4" s="3379"/>
      <c r="G4" s="3379"/>
      <c r="H4" s="3379"/>
      <c r="I4" s="3379"/>
      <c r="J4" s="3380"/>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4196</v>
      </c>
      <c r="U4" s="1127">
        <f>'数据-取费表'!T21</f>
        <v>305.77499999999998</v>
      </c>
      <c r="V4" s="3057">
        <f t="shared" si="1"/>
        <v>128</v>
      </c>
      <c r="W4" s="1130">
        <f t="shared" si="2"/>
        <v>1283031.8999999999</v>
      </c>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3562</v>
      </c>
      <c r="U5" s="1127">
        <f>'数据-取费表'!T22</f>
        <v>305.77499999999998</v>
      </c>
      <c r="V5" s="3057">
        <f t="shared" si="1"/>
        <v>109</v>
      </c>
      <c r="W5" s="1130">
        <f t="shared" si="2"/>
        <v>1089170.5499999998</v>
      </c>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3245</v>
      </c>
      <c r="U6" s="1127"/>
      <c r="V6" s="3057">
        <f t="shared" si="1"/>
        <v>0</v>
      </c>
      <c r="W6" s="1130">
        <f>SUM(W2:W5)</f>
        <v>6927360.5249999994</v>
      </c>
      <c r="X6" s="1130"/>
      <c r="Y6" s="1130"/>
      <c r="Z6" s="1130"/>
      <c r="AA6" s="1130"/>
      <c r="AB6" s="1130"/>
      <c r="AC6" s="1852"/>
      <c r="AD6" s="1853"/>
      <c r="AE6" s="1853"/>
      <c r="AF6" s="1853"/>
      <c r="AG6" s="1853"/>
      <c r="AH6" s="1853"/>
      <c r="AI6" s="1853"/>
      <c r="AJ6" s="1854"/>
    </row>
    <row r="7" spans="1:36" ht="24.75"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5.5">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74" t="s">
        <v>1960</v>
      </c>
      <c r="X8" s="337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6"/>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4.25">
      <c r="A20" s="3381" t="s">
        <v>3245</v>
      </c>
      <c r="B20" s="158" t="s">
        <v>1994</v>
      </c>
      <c r="C20" s="3025">
        <f>ROUND(IF(F21="与级别开发程度一致",0,(G21-E21)/C21),0)</f>
        <v>0</v>
      </c>
      <c r="D20" s="3040" t="s">
        <v>1998</v>
      </c>
      <c r="E20" s="3041"/>
      <c r="F20" s="3387" t="s">
        <v>1995</v>
      </c>
      <c r="G20" s="3388"/>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382"/>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3456</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45775</v>
      </c>
      <c r="H23" s="3042" t="s">
        <v>3247</v>
      </c>
      <c r="I23" s="3043" t="str">
        <f>IF(H23="季度增幅（自定义）",SUMIF(N25:N28,E2,O25:O28),"")</f>
        <v/>
      </c>
      <c r="J23" s="3135" t="s">
        <v>3457</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8">
        <f>ROUND(POWER(1+G24,J24-I24)*(POWER(1+G24,I24)-1)/(POWER(1+G24,J24)-1),4)</f>
        <v>0.53710000000000002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12</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3458</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692</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6673</v>
      </c>
      <c r="D33" s="1937">
        <f>'数据-汇总表'!F19</f>
        <v>1382.5</v>
      </c>
      <c r="E33" s="725">
        <f>ROUND(C33*D33/10000,0)</f>
        <v>923</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85"/>
      <c r="B37" s="1952" t="s">
        <v>2036</v>
      </c>
      <c r="C37" s="166">
        <f>ROUND(D5*C22*C23*C24*C28*F37,0)</f>
        <v>2164</v>
      </c>
      <c r="D37" s="1937">
        <f>'数据-汇总表'!F20</f>
        <v>0</v>
      </c>
      <c r="E37" s="162">
        <f>ROUND(C37*D37/10000,0)</f>
        <v>0</v>
      </c>
      <c r="F37" s="162">
        <f>SUMIF(修正!A57:A68,G2,修正!B57:B68)</f>
        <v>0.5</v>
      </c>
      <c r="G37" s="162">
        <f>ROUND(IF(E2="工业",C37*$M$42,C37*$M$41),0)</f>
        <v>541</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6"/>
      <c r="B38" s="1881" t="s">
        <v>2037</v>
      </c>
      <c r="C38" s="166">
        <f>ROUND(D5*C22*C23*C24*C28*F38,0)</f>
        <v>866</v>
      </c>
      <c r="D38" s="1937"/>
      <c r="E38" s="162">
        <f t="shared" ref="E38:E42" si="5">ROUND(C38*D38/10000,0)</f>
        <v>0</v>
      </c>
      <c r="F38" s="162">
        <f>SUMIF(修正!A57:A68,G2,修正!C57:C68)</f>
        <v>0.2</v>
      </c>
      <c r="G38" s="162">
        <f>ROUND(IF(E2="工业",C38*$M$42,C38*$M$41),0)</f>
        <v>217</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86"/>
      <c r="B39" s="1881" t="s">
        <v>3250</v>
      </c>
      <c r="C39" s="166">
        <f>ROUND(D5*C22*C23*C24*C28*F39,0)</f>
        <v>866</v>
      </c>
      <c r="D39" s="1937"/>
      <c r="E39" s="162">
        <f t="shared" si="5"/>
        <v>0</v>
      </c>
      <c r="F39" s="162">
        <f>SUMIF(修正!A57:A68,G2,修正!D57:D68)</f>
        <v>0.2</v>
      </c>
      <c r="G39" s="162">
        <f>ROUND(IF(E2="工业",C39*$M$42,C39*$M$41),0)</f>
        <v>217</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866</v>
      </c>
      <c r="D40" s="1937"/>
      <c r="E40" s="162">
        <f t="shared" si="5"/>
        <v>0</v>
      </c>
      <c r="F40" s="166">
        <f>SUMIF(修正!A57:A68,G2,修正!E57:E68)</f>
        <v>0.2</v>
      </c>
      <c r="G40" s="162">
        <f>ROUND(IF(E2="工业",C40*$M$42,C40*$M$41),0)</f>
        <v>217</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5"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36"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6.75"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24"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5.5"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24.75"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5">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36">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6.75">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24">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5">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5.5">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7"/>
      <c r="D81" s="697"/>
      <c r="E81" s="698"/>
      <c r="F81" s="1966"/>
      <c r="G81" s="3"/>
      <c r="H81" s="3"/>
      <c r="I81" s="3"/>
      <c r="J81" s="4"/>
      <c r="K81" s="4"/>
      <c r="L81" s="4"/>
      <c r="M81" s="4"/>
      <c r="N81" s="4"/>
      <c r="Z81" s="1842"/>
      <c r="AA81" s="1892"/>
      <c r="AG81" s="1055"/>
      <c r="AK81" s="1892"/>
    </row>
    <row r="82" spans="1:37" ht="24.75">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36">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5">
      <c r="A91" s="3072" t="s">
        <v>2603</v>
      </c>
      <c r="B91" s="3073">
        <f>1+E93</f>
        <v>1</v>
      </c>
      <c r="C91" s="3066"/>
      <c r="D91" s="3067"/>
      <c r="E91" s="1672"/>
      <c r="F91" s="1672"/>
      <c r="G91" s="3068"/>
      <c r="H91" s="3069"/>
      <c r="I91" s="3070"/>
      <c r="J91" s="3071"/>
      <c r="K91" s="3071"/>
      <c r="L91" s="3071"/>
      <c r="M91" s="3071"/>
      <c r="N91" s="3071"/>
    </row>
    <row r="92" spans="1:37" ht="24.75">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14.25">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36">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6.75">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24">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5.5">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24.75"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3" t="s">
        <v>3285</v>
      </c>
      <c r="B103" s="3383"/>
      <c r="C103" s="3383"/>
      <c r="D103" s="3383"/>
      <c r="E103" s="3383"/>
      <c r="F103" s="3383"/>
      <c r="G103" s="3383"/>
      <c r="H103" s="3383"/>
      <c r="I103" s="3383"/>
      <c r="J103" s="3383"/>
      <c r="K103" s="1664"/>
      <c r="L103" s="1664"/>
      <c r="M103" s="1664"/>
      <c r="N103" s="1664"/>
    </row>
    <row r="104" spans="1:14">
      <c r="A104" s="3384" t="s">
        <v>3286</v>
      </c>
      <c r="B104" s="3384" t="s">
        <v>3287</v>
      </c>
      <c r="C104" s="3084" t="s">
        <v>3288</v>
      </c>
      <c r="D104" s="3085"/>
      <c r="E104" s="3085"/>
      <c r="F104" s="3085"/>
      <c r="G104" s="3085"/>
      <c r="H104" s="3085"/>
      <c r="I104" s="3085"/>
      <c r="J104" s="3086"/>
      <c r="K104" s="3087"/>
      <c r="L104" s="3087"/>
      <c r="M104" s="3087"/>
      <c r="N104" s="3087"/>
    </row>
    <row r="105" spans="1:14">
      <c r="A105" s="3384"/>
      <c r="B105" s="3384"/>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0"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1"/>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2"/>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3" t="s">
        <v>3302</v>
      </c>
      <c r="B113" s="3373"/>
      <c r="C113" s="3373"/>
      <c r="D113" s="3373"/>
      <c r="E113" s="3373"/>
      <c r="F113" s="3373"/>
      <c r="G113" s="3373"/>
      <c r="H113" s="3373"/>
      <c r="I113" s="3373"/>
      <c r="J113" s="3373"/>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5"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6" t="str">
        <f>项目基本情况!B1</f>
        <v>北京市迎宾中路16号房地产抵押价值预评估</v>
      </c>
      <c r="C37" s="3186"/>
      <c r="D37" s="3186"/>
      <c r="E37" s="3186"/>
      <c r="F37" s="3186"/>
      <c r="G37" s="3186"/>
      <c r="H37" s="3186"/>
      <c r="I37" s="318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1513.1193000000001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10945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7138646</v>
      </c>
      <c r="D5" s="202" t="s">
        <v>1469</v>
      </c>
      <c r="E5" s="203" t="s">
        <v>1470</v>
      </c>
      <c r="F5" s="203" t="s">
        <v>1471</v>
      </c>
      <c r="G5" s="204"/>
    </row>
    <row r="6" spans="1:8" s="205" customFormat="1" ht="13.5" customHeight="1">
      <c r="A6" s="730" t="s">
        <v>1472</v>
      </c>
      <c r="B6" s="206" t="s">
        <v>1473</v>
      </c>
      <c r="C6" s="207">
        <f>ROUND(基准地价修正!W6,0)</f>
        <v>6927361</v>
      </c>
      <c r="D6" s="208"/>
      <c r="E6" s="209"/>
      <c r="F6" s="209"/>
      <c r="G6" s="210"/>
    </row>
    <row r="7" spans="1:8" s="205" customFormat="1" ht="13.5" customHeight="1">
      <c r="A7" s="730" t="s">
        <v>1474</v>
      </c>
      <c r="B7" s="206" t="s">
        <v>1475</v>
      </c>
      <c r="C7" s="211">
        <f>ROUND(C6*F7,0)</f>
        <v>211285</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1382.5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1382.5</v>
      </c>
      <c r="E19" s="202">
        <f>'数据-取费表'!B31</f>
        <v>200</v>
      </c>
      <c r="F19" s="222"/>
      <c r="G19" s="1711" t="s">
        <v>3428</v>
      </c>
    </row>
    <row r="20" spans="1:7" s="205" customFormat="1" ht="13.5" customHeight="1">
      <c r="A20" s="246" t="s">
        <v>1574</v>
      </c>
      <c r="B20" s="201" t="s">
        <v>1575</v>
      </c>
      <c r="C20" s="223">
        <f ca="1">ROUND((C5+C19)*F20,0)</f>
        <v>142773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223511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221298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2213</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1092213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1092213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9310313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6193600</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5530000</v>
      </c>
      <c r="D34" s="208"/>
      <c r="E34" s="211"/>
      <c r="F34" s="248"/>
      <c r="G34" s="210"/>
    </row>
    <row r="35" spans="1:7" ht="13.5" customHeight="1">
      <c r="A35" s="732" t="s">
        <v>351</v>
      </c>
      <c r="B35" s="206" t="s">
        <v>1527</v>
      </c>
      <c r="C35" s="211">
        <f ca="1">ROUND(C34*F35,0)</f>
        <v>276500</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276500</v>
      </c>
      <c r="D37" s="208">
        <f ca="1">D19</f>
        <v>1382.5</v>
      </c>
      <c r="E37" s="240">
        <f>'数据-取费表'!B35</f>
        <v>200</v>
      </c>
      <c r="F37" s="250"/>
      <c r="G37" s="252"/>
    </row>
    <row r="38" spans="1:7" ht="13.5" customHeight="1">
      <c r="A38" s="732" t="s">
        <v>354</v>
      </c>
      <c r="B38" s="206" t="s">
        <v>1533</v>
      </c>
      <c r="C38" s="211">
        <f ca="1">ROUND(C34*F38,0)</f>
        <v>110600</v>
      </c>
      <c r="D38" s="211"/>
      <c r="E38" s="211"/>
      <c r="F38" s="250">
        <f>'数据-取费表'!B36</f>
        <v>0.02</v>
      </c>
      <c r="G38" s="210" t="s">
        <v>1528</v>
      </c>
    </row>
    <row r="39" spans="1:7" s="205" customFormat="1" ht="13.5" customHeight="1">
      <c r="A39" s="246" t="s">
        <v>1534</v>
      </c>
      <c r="B39" s="201" t="s">
        <v>1535</v>
      </c>
      <c r="C39" s="223">
        <f ca="1">ROUND(C33*F20,0)</f>
        <v>123872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97921</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96001</v>
      </c>
      <c r="D42" s="229"/>
      <c r="E42" s="229"/>
      <c r="F42" s="230"/>
      <c r="G42" s="3389" t="s">
        <v>1591</v>
      </c>
    </row>
    <row r="43" spans="1:7" ht="13.5" customHeight="1">
      <c r="A43" s="732" t="s">
        <v>347</v>
      </c>
      <c r="B43" s="206" t="s">
        <v>1545</v>
      </c>
      <c r="C43" s="229">
        <f ca="1">ROUND(IF('数据-取费表'!B22&lt;=1,C39*F22*'数据-取费表'!B20/2,C39*(POWER((1+F22),'数据-取费表'!B20/2)-1)),0)</f>
        <v>1920</v>
      </c>
      <c r="D43" s="229"/>
      <c r="E43" s="229"/>
      <c r="F43" s="230"/>
      <c r="G43" s="3390"/>
    </row>
    <row r="44" spans="1:7" ht="13.5" customHeight="1">
      <c r="A44" s="732" t="s">
        <v>348</v>
      </c>
      <c r="B44" s="206" t="s">
        <v>1546</v>
      </c>
      <c r="C44" s="229">
        <f ca="1">ROUND(IF('数据-取费表'!B22&lt;=1,C40*F22*'数据-取费表'!B20/2,C40*(POWER((1+F22),'数据-取费表'!B20/2)-1)),4)</f>
        <v>2.9999999999999997E-4</v>
      </c>
      <c r="D44" s="229"/>
      <c r="E44" s="229"/>
      <c r="F44" s="230"/>
      <c r="G44" s="3391"/>
    </row>
    <row r="45" spans="1:7" s="205" customFormat="1" ht="13.5" customHeight="1">
      <c r="A45" s="246" t="s">
        <v>1547</v>
      </c>
      <c r="B45" s="235" t="s">
        <v>1513</v>
      </c>
      <c r="C45" s="236">
        <f ca="1">C46</f>
        <v>947621</v>
      </c>
      <c r="D45" s="226">
        <f ca="1">C47</f>
        <v>3.0000000000000001E-3</v>
      </c>
      <c r="E45" s="227" t="s">
        <v>1539</v>
      </c>
      <c r="F45" s="237">
        <f ca="1">F27</f>
        <v>0.15</v>
      </c>
      <c r="G45" s="238" t="s">
        <v>1548</v>
      </c>
    </row>
    <row r="46" spans="1:7" s="205" customFormat="1" ht="13.5" customHeight="1">
      <c r="A46" s="732" t="s">
        <v>346</v>
      </c>
      <c r="B46" s="239" t="s">
        <v>1549</v>
      </c>
      <c r="C46" s="240">
        <f ca="1">ROUND((C33+C39)*F27,0)</f>
        <v>947621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7973808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5820880</v>
      </c>
      <c r="D51" s="223"/>
      <c r="E51" s="223"/>
      <c r="F51" s="255"/>
      <c r="G51" s="225" t="s">
        <v>1560</v>
      </c>
    </row>
    <row r="52" spans="1:7" s="199" customFormat="1" ht="16.5" thickBot="1">
      <c r="A52" s="256" t="s">
        <v>1561</v>
      </c>
      <c r="B52" s="257"/>
      <c r="C52" s="258">
        <f ca="1">C31+C51</f>
        <v>15131193</v>
      </c>
      <c r="D52" s="257"/>
      <c r="E52" s="257"/>
      <c r="F52" s="257"/>
      <c r="G52" s="259"/>
    </row>
    <row r="55" spans="1:7" ht="15">
      <c r="B55" s="261" t="s">
        <v>1562</v>
      </c>
      <c r="C55" s="262"/>
    </row>
    <row r="56" spans="1:7">
      <c r="B56" s="264" t="s">
        <v>802</v>
      </c>
      <c r="C56" s="266">
        <f ca="1">1-C57</f>
        <v>0.61499999999999999</v>
      </c>
    </row>
    <row r="57" spans="1:7">
      <c r="B57" s="264" t="s">
        <v>803</v>
      </c>
      <c r="C57" s="265">
        <f ca="1">ROUND(C51/C52,3)</f>
        <v>0.38500000000000001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5" zoomScale="85" zoomScaleNormal="70" zoomScaleSheetLayoutView="85" workbookViewId="0">
      <selection activeCell="Q90" sqref="Q90"/>
    </sheetView>
  </sheetViews>
  <sheetFormatPr defaultColWidth="9" defaultRowHeight="14.25"/>
  <cols>
    <col min="1" max="1" width="10.5" style="346" customWidth="1"/>
    <col min="2" max="2" width="15.75" style="346" customWidth="1"/>
    <col min="3" max="3" width="18.8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8" t="s">
        <v>3491</v>
      </c>
      <c r="F1" s="1732" t="s">
        <v>3490</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2182.6909999999998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15788</v>
      </c>
      <c r="C3" s="343" t="s">
        <v>1768</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5">
      <c r="A4" s="344" t="s">
        <v>1769</v>
      </c>
      <c r="B4" s="345"/>
      <c r="C4" s="3410" t="s">
        <v>1770</v>
      </c>
      <c r="D4" s="3411"/>
      <c r="E4" s="3412" t="s">
        <v>1771</v>
      </c>
      <c r="F4" s="3413"/>
      <c r="G4" s="3410" t="s">
        <v>1772</v>
      </c>
      <c r="H4" s="3411"/>
      <c r="I4" s="3410" t="s">
        <v>1773</v>
      </c>
      <c r="J4" s="3411"/>
      <c r="K4" s="536" t="s">
        <v>1774</v>
      </c>
      <c r="L4" s="2480"/>
      <c r="M4" s="2481"/>
      <c r="N4" s="2481"/>
      <c r="O4" s="2481"/>
      <c r="P4" s="3414" t="s">
        <v>1775</v>
      </c>
      <c r="Q4" s="3415"/>
      <c r="R4" s="3420" t="s">
        <v>1771</v>
      </c>
      <c r="S4" s="3421"/>
      <c r="T4" s="3420" t="s">
        <v>1772</v>
      </c>
      <c r="U4" s="3421"/>
      <c r="V4" s="3393" t="s">
        <v>1773</v>
      </c>
      <c r="W4" s="3393"/>
      <c r="X4" s="1262"/>
      <c r="Y4" s="3420" t="s">
        <v>1775</v>
      </c>
      <c r="Z4" s="3421"/>
      <c r="AA4" s="3407" t="s">
        <v>1771</v>
      </c>
      <c r="AB4" s="3393" t="s">
        <v>1772</v>
      </c>
      <c r="AC4" s="3407" t="s">
        <v>1773</v>
      </c>
    </row>
    <row r="5" spans="1:29" ht="15">
      <c r="A5" s="347"/>
      <c r="B5" s="348"/>
      <c r="C5" s="3433" t="s">
        <v>1673</v>
      </c>
      <c r="D5" s="3429"/>
      <c r="E5" s="3436" t="s">
        <v>3493</v>
      </c>
      <c r="F5" s="3437"/>
      <c r="G5" s="3428" t="s">
        <v>3495</v>
      </c>
      <c r="H5" s="3429"/>
      <c r="I5" s="3428" t="s">
        <v>3499</v>
      </c>
      <c r="J5" s="3429"/>
      <c r="K5" s="536"/>
      <c r="L5" s="2480"/>
      <c r="M5" s="2481"/>
      <c r="N5" s="2481"/>
      <c r="O5" s="2481"/>
      <c r="P5" s="3416"/>
      <c r="Q5" s="3417"/>
      <c r="R5" s="3422"/>
      <c r="S5" s="3423"/>
      <c r="T5" s="3422"/>
      <c r="U5" s="3423"/>
      <c r="V5" s="3393"/>
      <c r="W5" s="3393"/>
      <c r="X5" s="1262"/>
      <c r="Y5" s="3422"/>
      <c r="Z5" s="3423"/>
      <c r="AA5" s="3408"/>
      <c r="AB5" s="3393"/>
      <c r="AC5" s="3408"/>
    </row>
    <row r="6" spans="1:29" ht="15.75" thickBot="1">
      <c r="A6" s="349"/>
      <c r="B6" s="350"/>
      <c r="C6" s="3426" t="s">
        <v>1677</v>
      </c>
      <c r="D6" s="3427"/>
      <c r="E6" s="3434" t="s">
        <v>1677</v>
      </c>
      <c r="F6" s="3435"/>
      <c r="G6" s="3426" t="s">
        <v>1677</v>
      </c>
      <c r="H6" s="3427"/>
      <c r="I6" s="3426" t="s">
        <v>1677</v>
      </c>
      <c r="J6" s="3427"/>
      <c r="K6" s="536" t="s">
        <v>1678</v>
      </c>
      <c r="L6" s="2480"/>
      <c r="M6" s="2481"/>
      <c r="N6" s="2481"/>
      <c r="O6" s="2481"/>
      <c r="P6" s="3418"/>
      <c r="Q6" s="3419"/>
      <c r="R6" s="3422"/>
      <c r="S6" s="3423"/>
      <c r="T6" s="3424"/>
      <c r="U6" s="3425"/>
      <c r="V6" s="3393"/>
      <c r="W6" s="3393"/>
      <c r="X6" s="1262"/>
      <c r="Y6" s="3424"/>
      <c r="Z6" s="3425"/>
      <c r="AA6" s="3409"/>
      <c r="AB6" s="3393"/>
      <c r="AC6" s="3409"/>
    </row>
    <row r="7" spans="1:29" s="101" customFormat="1" ht="15.7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430" t="s">
        <v>1680</v>
      </c>
      <c r="Q7" s="3432"/>
      <c r="R7" s="662" t="s">
        <v>14</v>
      </c>
      <c r="S7" s="663">
        <f t="shared" ref="S7:S15" si="0">F7</f>
        <v>100</v>
      </c>
      <c r="T7" s="662" t="s">
        <v>14</v>
      </c>
      <c r="U7" s="663">
        <f t="shared" ref="U7:U15" si="1">H7</f>
        <v>100</v>
      </c>
      <c r="V7" s="662" t="s">
        <v>14</v>
      </c>
      <c r="W7" s="663">
        <f t="shared" ref="W7:W15" si="2">J7</f>
        <v>100</v>
      </c>
      <c r="X7" s="664"/>
      <c r="Y7" s="3430" t="s">
        <v>1680</v>
      </c>
      <c r="Z7" s="3431"/>
      <c r="AA7" s="50">
        <f>D7/F7</f>
        <v>1</v>
      </c>
      <c r="AB7" s="50">
        <f>D7/H7</f>
        <v>1</v>
      </c>
      <c r="AC7" s="50">
        <f>D7/J7</f>
        <v>1</v>
      </c>
    </row>
    <row r="8" spans="1:29" s="101" customFormat="1" ht="15.7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430" t="s">
        <v>1683</v>
      </c>
      <c r="Q8" s="3431"/>
      <c r="R8" s="662" t="s">
        <v>14</v>
      </c>
      <c r="S8" s="663">
        <f t="shared" si="0"/>
        <v>100</v>
      </c>
      <c r="T8" s="662" t="s">
        <v>14</v>
      </c>
      <c r="U8" s="663">
        <f t="shared" si="1"/>
        <v>100</v>
      </c>
      <c r="V8" s="662" t="s">
        <v>14</v>
      </c>
      <c r="W8" s="663">
        <f t="shared" si="2"/>
        <v>100</v>
      </c>
      <c r="X8" s="664"/>
      <c r="Y8" s="3430" t="s">
        <v>1683</v>
      </c>
      <c r="Z8" s="3431"/>
      <c r="AA8" s="50">
        <f t="shared" ref="AA8:AA46" si="3">D8/F8</f>
        <v>1</v>
      </c>
      <c r="AB8" s="50">
        <f t="shared" ref="AB8:AB46" si="4">D8/H8</f>
        <v>1</v>
      </c>
      <c r="AC8" s="50">
        <f t="shared" ref="AC8:AC46" si="5">D8/J8</f>
        <v>1</v>
      </c>
    </row>
    <row r="9" spans="1:29" s="101" customFormat="1" ht="15" thickBot="1">
      <c r="A9" s="358" t="s">
        <v>1684</v>
      </c>
      <c r="B9" s="60" t="s">
        <v>1685</v>
      </c>
      <c r="C9" s="3174" t="s">
        <v>3494</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75" thickTop="1">
      <c r="A10" s="362"/>
      <c r="B10" s="363" t="s">
        <v>1688</v>
      </c>
      <c r="C10" s="3175" t="s">
        <v>3502</v>
      </c>
      <c r="D10" s="118">
        <v>100</v>
      </c>
      <c r="E10" s="3175" t="s">
        <v>3503</v>
      </c>
      <c r="F10" s="363">
        <f>SUMIF(65:65,E10,66:66)-SUMIF(65:65,C10,66:66)+100</f>
        <v>105</v>
      </c>
      <c r="G10" s="3175" t="s">
        <v>3502</v>
      </c>
      <c r="H10" s="118">
        <f>SUMIF(65:65,G10,66:66)-SUMIF(65:65,C10,66:66)+100</f>
        <v>100</v>
      </c>
      <c r="I10" s="3175" t="s">
        <v>3504</v>
      </c>
      <c r="J10" s="118">
        <f>SUMIF(65:65,I10,66:66)-SUMIF(65:65,C10,66:66)+100</f>
        <v>110</v>
      </c>
      <c r="K10" s="38"/>
      <c r="L10" s="2483"/>
      <c r="M10" s="2484"/>
      <c r="N10" s="2484"/>
      <c r="O10" s="2484"/>
      <c r="P10" s="3406"/>
      <c r="Q10" s="529" t="str">
        <f t="shared" si="6"/>
        <v>土地使用年限（年）</v>
      </c>
      <c r="R10" s="662" t="s">
        <v>14</v>
      </c>
      <c r="S10" s="663">
        <f t="shared" si="0"/>
        <v>105</v>
      </c>
      <c r="T10" s="662" t="s">
        <v>14</v>
      </c>
      <c r="U10" s="663">
        <f t="shared" si="1"/>
        <v>100</v>
      </c>
      <c r="V10" s="662" t="s">
        <v>14</v>
      </c>
      <c r="W10" s="663">
        <f t="shared" si="2"/>
        <v>110</v>
      </c>
      <c r="X10" s="664"/>
      <c r="Y10" s="3277"/>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6"/>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06"/>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6"/>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6"/>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397" t="s">
        <v>1691</v>
      </c>
      <c r="Q15" s="1260" t="str">
        <f t="shared" si="6"/>
        <v>商业繁华度</v>
      </c>
      <c r="R15" s="665" t="s">
        <v>14</v>
      </c>
      <c r="S15" s="666">
        <f t="shared" si="0"/>
        <v>98</v>
      </c>
      <c r="T15" s="665" t="s">
        <v>14</v>
      </c>
      <c r="U15" s="666">
        <f t="shared" si="1"/>
        <v>100</v>
      </c>
      <c r="V15" s="665" t="s">
        <v>14</v>
      </c>
      <c r="W15" s="666">
        <f t="shared" si="2"/>
        <v>98</v>
      </c>
      <c r="X15" s="1262"/>
      <c r="Y15" s="3399"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3498</v>
      </c>
      <c r="F16" s="387"/>
      <c r="G16" s="385" t="s">
        <v>3424</v>
      </c>
      <c r="H16" s="388"/>
      <c r="I16" s="1752" t="s">
        <v>3498</v>
      </c>
      <c r="J16" s="386"/>
      <c r="K16" s="540"/>
      <c r="L16" s="2486"/>
      <c r="M16" s="2481"/>
      <c r="N16" s="2481"/>
      <c r="O16" s="2481"/>
      <c r="P16" s="3398"/>
      <c r="Q16" s="1260"/>
      <c r="R16" s="665"/>
      <c r="S16" s="666"/>
      <c r="T16" s="665"/>
      <c r="U16" s="666"/>
      <c r="V16" s="665"/>
      <c r="W16" s="666"/>
      <c r="X16" s="1262"/>
      <c r="Y16" s="3400"/>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8"/>
      <c r="Q17" s="1260" t="str">
        <f>B17</f>
        <v>交通便捷度</v>
      </c>
      <c r="R17" s="665" t="s">
        <v>14</v>
      </c>
      <c r="S17" s="666">
        <f>F17</f>
        <v>100</v>
      </c>
      <c r="T17" s="665" t="s">
        <v>14</v>
      </c>
      <c r="U17" s="666">
        <f>H17</f>
        <v>100</v>
      </c>
      <c r="V17" s="665" t="s">
        <v>14</v>
      </c>
      <c r="W17" s="666">
        <f>J17</f>
        <v>100</v>
      </c>
      <c r="X17" s="1262"/>
      <c r="Y17" s="3400"/>
      <c r="Z17" s="1261" t="str">
        <f>Q17</f>
        <v>交通便捷度</v>
      </c>
      <c r="AA17" s="1261">
        <f t="shared" si="3"/>
        <v>1</v>
      </c>
      <c r="AB17" s="1261">
        <f t="shared" si="4"/>
        <v>1</v>
      </c>
      <c r="AC17" s="1261">
        <f t="shared" si="5"/>
        <v>1</v>
      </c>
    </row>
    <row r="18" spans="1:29" ht="15">
      <c r="A18" s="366"/>
      <c r="B18" s="394"/>
      <c r="C18" s="1752" t="s">
        <v>3498</v>
      </c>
      <c r="D18" s="388"/>
      <c r="E18" s="1752" t="s">
        <v>3498</v>
      </c>
      <c r="F18" s="391"/>
      <c r="G18" s="1752" t="s">
        <v>3498</v>
      </c>
      <c r="H18" s="386"/>
      <c r="I18" s="1752" t="s">
        <v>3498</v>
      </c>
      <c r="J18" s="386"/>
      <c r="K18" s="540"/>
      <c r="L18" s="2486"/>
      <c r="M18" s="2481"/>
      <c r="N18" s="2481"/>
      <c r="O18" s="2481"/>
      <c r="P18" s="3398"/>
      <c r="Q18" s="1260"/>
      <c r="R18" s="665"/>
      <c r="S18" s="666"/>
      <c r="T18" s="665"/>
      <c r="U18" s="666"/>
      <c r="V18" s="665"/>
      <c r="W18" s="666"/>
      <c r="X18" s="1262"/>
      <c r="Y18" s="3400"/>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398"/>
      <c r="Q19" s="1260" t="str">
        <f>B19</f>
        <v>公共配套设施</v>
      </c>
      <c r="R19" s="665" t="s">
        <v>14</v>
      </c>
      <c r="S19" s="666">
        <f>F19</f>
        <v>98</v>
      </c>
      <c r="T19" s="665" t="s">
        <v>14</v>
      </c>
      <c r="U19" s="666">
        <f>H19</f>
        <v>100</v>
      </c>
      <c r="V19" s="665" t="s">
        <v>14</v>
      </c>
      <c r="W19" s="666">
        <f>J19</f>
        <v>98</v>
      </c>
      <c r="X19" s="1262"/>
      <c r="Y19" s="3400"/>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3498</v>
      </c>
      <c r="F20" s="387"/>
      <c r="G20" s="385" t="s">
        <v>3424</v>
      </c>
      <c r="H20" s="386"/>
      <c r="I20" s="1752" t="s">
        <v>3498</v>
      </c>
      <c r="J20" s="386"/>
      <c r="K20" s="540"/>
      <c r="L20" s="2486"/>
      <c r="M20" s="2481"/>
      <c r="N20" s="2481"/>
      <c r="O20" s="2481"/>
      <c r="P20" s="3398"/>
      <c r="Q20" s="1260"/>
      <c r="R20" s="665"/>
      <c r="S20" s="666"/>
      <c r="T20" s="665"/>
      <c r="U20" s="666"/>
      <c r="V20" s="665"/>
      <c r="W20" s="666"/>
      <c r="X20" s="1262"/>
      <c r="Y20" s="3400"/>
      <c r="Z20" s="1261"/>
      <c r="AA20" s="1261">
        <v>1</v>
      </c>
      <c r="AB20" s="1261">
        <v>1</v>
      </c>
      <c r="AC20" s="1261">
        <v>1</v>
      </c>
    </row>
    <row r="21" spans="1:29" ht="28.5">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8"/>
      <c r="Q21" s="1260" t="str">
        <f>B21</f>
        <v>基础设施水平</v>
      </c>
      <c r="R21" s="665" t="s">
        <v>14</v>
      </c>
      <c r="S21" s="666">
        <f>F21</f>
        <v>100</v>
      </c>
      <c r="T21" s="665" t="s">
        <v>14</v>
      </c>
      <c r="U21" s="666">
        <f>H21</f>
        <v>100</v>
      </c>
      <c r="V21" s="665" t="s">
        <v>14</v>
      </c>
      <c r="W21" s="666">
        <f>J21</f>
        <v>100</v>
      </c>
      <c r="X21" s="1262"/>
      <c r="Y21" s="3400"/>
      <c r="Z21" s="1261" t="str">
        <f>Q21</f>
        <v>基础设施水平</v>
      </c>
      <c r="AA21" s="1261">
        <f t="shared" ref="AA21" si="8">D21/F21</f>
        <v>1</v>
      </c>
      <c r="AB21" s="1261">
        <f t="shared" ref="AB21" si="9">D21/H21</f>
        <v>1</v>
      </c>
      <c r="AC21" s="1261">
        <f t="shared" ref="AC21" si="10">D21/J21</f>
        <v>1</v>
      </c>
    </row>
    <row r="22" spans="1:29" ht="15">
      <c r="A22" s="366"/>
      <c r="B22" s="584"/>
      <c r="C22" s="1752" t="s">
        <v>3475</v>
      </c>
      <c r="D22" s="386"/>
      <c r="E22" s="1752" t="s">
        <v>3475</v>
      </c>
      <c r="F22" s="387"/>
      <c r="G22" s="1752" t="s">
        <v>3475</v>
      </c>
      <c r="H22" s="386"/>
      <c r="I22" s="1752" t="s">
        <v>3475</v>
      </c>
      <c r="J22" s="386"/>
      <c r="K22" s="1061"/>
      <c r="L22" s="2486"/>
      <c r="M22" s="2481"/>
      <c r="N22" s="2481"/>
      <c r="O22" s="2481"/>
      <c r="P22" s="3398"/>
      <c r="Q22" s="1260"/>
      <c r="R22" s="665"/>
      <c r="S22" s="666"/>
      <c r="T22" s="665"/>
      <c r="U22" s="666"/>
      <c r="V22" s="665"/>
      <c r="W22" s="666"/>
      <c r="X22" s="1262"/>
      <c r="Y22" s="3400"/>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8"/>
      <c r="Q23" s="1260" t="str">
        <f>B23</f>
        <v>自然及人文环境</v>
      </c>
      <c r="R23" s="665" t="s">
        <v>14</v>
      </c>
      <c r="S23" s="666">
        <f>F23</f>
        <v>100</v>
      </c>
      <c r="T23" s="665" t="s">
        <v>14</v>
      </c>
      <c r="U23" s="666">
        <f>H23</f>
        <v>100</v>
      </c>
      <c r="V23" s="665" t="s">
        <v>14</v>
      </c>
      <c r="W23" s="666">
        <f>J23</f>
        <v>100</v>
      </c>
      <c r="X23" s="1262"/>
      <c r="Y23" s="3400"/>
      <c r="Z23" s="1261" t="str">
        <f>Q23</f>
        <v>自然及人文环境</v>
      </c>
      <c r="AA23" s="1261">
        <f t="shared" si="3"/>
        <v>1</v>
      </c>
      <c r="AB23" s="1261">
        <f t="shared" si="4"/>
        <v>1</v>
      </c>
      <c r="AC23" s="1261">
        <f t="shared" si="5"/>
        <v>1</v>
      </c>
    </row>
    <row r="24" spans="1:29" ht="15">
      <c r="A24" s="366"/>
      <c r="B24" s="394"/>
      <c r="C24" s="385" t="s">
        <v>3498</v>
      </c>
      <c r="D24" s="386"/>
      <c r="E24" s="385" t="s">
        <v>3498</v>
      </c>
      <c r="F24" s="387"/>
      <c r="G24" s="385" t="s">
        <v>3498</v>
      </c>
      <c r="H24" s="386"/>
      <c r="I24" s="385" t="s">
        <v>3498</v>
      </c>
      <c r="J24" s="386"/>
      <c r="K24" s="540"/>
      <c r="L24" s="2486"/>
      <c r="M24" s="2481"/>
      <c r="N24" s="2481"/>
      <c r="O24" s="2481"/>
      <c r="P24" s="3398"/>
      <c r="Q24" s="1260"/>
      <c r="R24" s="665"/>
      <c r="S24" s="666"/>
      <c r="T24" s="665"/>
      <c r="U24" s="666"/>
      <c r="V24" s="665"/>
      <c r="W24" s="666"/>
      <c r="X24" s="1262"/>
      <c r="Y24" s="3400"/>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8"/>
      <c r="Q25" s="1260" t="str">
        <f t="shared" ref="Q25:Q46" si="11">B25</f>
        <v>临街状况</v>
      </c>
      <c r="R25" s="665" t="s">
        <v>14</v>
      </c>
      <c r="S25" s="666">
        <f>F25</f>
        <v>100</v>
      </c>
      <c r="T25" s="665" t="s">
        <v>14</v>
      </c>
      <c r="U25" s="666">
        <f>H25</f>
        <v>100</v>
      </c>
      <c r="V25" s="665" t="s">
        <v>14</v>
      </c>
      <c r="W25" s="666">
        <f>J25</f>
        <v>100</v>
      </c>
      <c r="X25" s="1262"/>
      <c r="Y25" s="3400"/>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8"/>
      <c r="Q26" s="1260" t="str">
        <f t="shared" si="11"/>
        <v>平面位置/可视性</v>
      </c>
      <c r="R26" s="665" t="s">
        <v>14</v>
      </c>
      <c r="S26" s="666">
        <f>F26</f>
        <v>100</v>
      </c>
      <c r="T26" s="665" t="s">
        <v>14</v>
      </c>
      <c r="U26" s="666">
        <f>H26</f>
        <v>100</v>
      </c>
      <c r="V26" s="665" t="s">
        <v>14</v>
      </c>
      <c r="W26" s="666">
        <f>J26</f>
        <v>100</v>
      </c>
      <c r="X26" s="1262"/>
      <c r="Y26" s="3400"/>
      <c r="Z26" s="1261" t="str">
        <f>Q26</f>
        <v>平面位置/可视性</v>
      </c>
      <c r="AA26" s="1261">
        <f t="shared" si="3"/>
        <v>1</v>
      </c>
      <c r="AB26" s="1261">
        <f t="shared" si="4"/>
        <v>1</v>
      </c>
      <c r="AC26" s="1261">
        <f t="shared" si="5"/>
        <v>1</v>
      </c>
    </row>
    <row r="27" spans="1:29" s="101" customFormat="1" ht="15">
      <c r="A27" s="369"/>
      <c r="B27" s="389" t="s">
        <v>1782</v>
      </c>
      <c r="C27" s="1804" t="s">
        <v>3500</v>
      </c>
      <c r="D27" s="400">
        <v>100</v>
      </c>
      <c r="E27" s="1804" t="s">
        <v>3498</v>
      </c>
      <c r="F27" s="394">
        <f>SUMIF(90:90,E27,91:91)-SUMIF(90:90,C27,91:91)+100</f>
        <v>98</v>
      </c>
      <c r="G27" s="1804" t="s">
        <v>3500</v>
      </c>
      <c r="H27" s="400">
        <f>SUMIF(90:90,G27,91:91)-SUMIF(90:90,C27,91:91)+100</f>
        <v>100</v>
      </c>
      <c r="I27" s="1804" t="s">
        <v>3498</v>
      </c>
      <c r="J27" s="400">
        <f>SUMIF(90:90,I27,91:91)-SUMIF(90:90,C27,91:91)+100</f>
        <v>98</v>
      </c>
      <c r="K27" s="537">
        <v>2</v>
      </c>
      <c r="L27" s="2482"/>
      <c r="M27" s="2435"/>
      <c r="N27" s="2435"/>
      <c r="O27" s="2435"/>
      <c r="P27" s="3398"/>
      <c r="Q27" s="529" t="str">
        <f t="shared" si="11"/>
        <v>人流量</v>
      </c>
      <c r="R27" s="662" t="s">
        <v>14</v>
      </c>
      <c r="S27" s="663">
        <f>F27</f>
        <v>98</v>
      </c>
      <c r="T27" s="662" t="s">
        <v>14</v>
      </c>
      <c r="U27" s="663">
        <f>H27</f>
        <v>100</v>
      </c>
      <c r="V27" s="662" t="s">
        <v>14</v>
      </c>
      <c r="W27" s="663">
        <f>J27</f>
        <v>98</v>
      </c>
      <c r="X27" s="664"/>
      <c r="Y27" s="3400"/>
      <c r="Z27" s="50" t="str">
        <f>Q27</f>
        <v>人流量</v>
      </c>
      <c r="AA27" s="1261">
        <f>D27/F27</f>
        <v>1.0204081632653061</v>
      </c>
      <c r="AB27" s="1261">
        <f>D27/H27</f>
        <v>1</v>
      </c>
      <c r="AC27" s="1261">
        <f>D27/J27</f>
        <v>1.0204081632653061</v>
      </c>
    </row>
    <row r="28" spans="1:29" ht="15">
      <c r="A28" s="366"/>
      <c r="B28" s="363" t="s">
        <v>1783</v>
      </c>
      <c r="C28" s="541" t="s">
        <v>3515</v>
      </c>
      <c r="D28" s="373">
        <v>100</v>
      </c>
      <c r="E28" s="541" t="s">
        <v>3515</v>
      </c>
      <c r="F28" s="399">
        <f>SUMIF(92:92,E28,93:93)-SUMIF(92:92,C28,93:93)+100</f>
        <v>100</v>
      </c>
      <c r="G28" s="541" t="s">
        <v>3515</v>
      </c>
      <c r="H28" s="373">
        <f>SUMIF(92:92,G28,93:93)-SUMIF(92:92,C28,93:93)+100</f>
        <v>100</v>
      </c>
      <c r="I28" s="541" t="s">
        <v>3515</v>
      </c>
      <c r="J28" s="373">
        <f>SUMIF(92:92,I28,93:93)-SUMIF(92:92,C28,93:93)+100</f>
        <v>100</v>
      </c>
      <c r="K28" s="538"/>
      <c r="L28" s="2486"/>
      <c r="M28" s="2481"/>
      <c r="N28" s="2481"/>
      <c r="O28" s="2481"/>
      <c r="P28" s="3398"/>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0"/>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8"/>
      <c r="Q29" s="1260">
        <f t="shared" si="11"/>
        <v>111</v>
      </c>
      <c r="R29" s="665" t="s">
        <v>14</v>
      </c>
      <c r="S29" s="666">
        <f t="shared" si="12"/>
        <v>100</v>
      </c>
      <c r="T29" s="665" t="s">
        <v>14</v>
      </c>
      <c r="U29" s="666">
        <f t="shared" si="13"/>
        <v>100</v>
      </c>
      <c r="V29" s="665" t="s">
        <v>14</v>
      </c>
      <c r="W29" s="666">
        <f t="shared" si="14"/>
        <v>100</v>
      </c>
      <c r="X29" s="1262"/>
      <c r="Y29" s="3400"/>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8"/>
      <c r="Q30" s="1260">
        <f t="shared" si="11"/>
        <v>111</v>
      </c>
      <c r="R30" s="665" t="s">
        <v>14</v>
      </c>
      <c r="S30" s="666">
        <f t="shared" si="12"/>
        <v>100</v>
      </c>
      <c r="T30" s="665" t="s">
        <v>14</v>
      </c>
      <c r="U30" s="666">
        <f t="shared" si="13"/>
        <v>100</v>
      </c>
      <c r="V30" s="665" t="s">
        <v>14</v>
      </c>
      <c r="W30" s="666">
        <f t="shared" si="14"/>
        <v>100</v>
      </c>
      <c r="X30" s="1262"/>
      <c r="Y30" s="3400"/>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8"/>
      <c r="Q31" s="1260">
        <f t="shared" si="11"/>
        <v>111</v>
      </c>
      <c r="R31" s="665" t="s">
        <v>14</v>
      </c>
      <c r="S31" s="666">
        <f t="shared" si="12"/>
        <v>100</v>
      </c>
      <c r="T31" s="665" t="s">
        <v>14</v>
      </c>
      <c r="U31" s="666">
        <f t="shared" si="13"/>
        <v>100</v>
      </c>
      <c r="V31" s="665" t="s">
        <v>14</v>
      </c>
      <c r="W31" s="666">
        <f t="shared" si="14"/>
        <v>100</v>
      </c>
      <c r="X31" s="1262"/>
      <c r="Y31" s="3400"/>
      <c r="Z31" s="1261">
        <f t="shared" si="15"/>
        <v>111</v>
      </c>
      <c r="AA31" s="1261">
        <f t="shared" si="3"/>
        <v>1</v>
      </c>
      <c r="AB31" s="1261">
        <f t="shared" si="4"/>
        <v>1</v>
      </c>
      <c r="AC31" s="1261">
        <f t="shared" si="5"/>
        <v>1</v>
      </c>
    </row>
    <row r="32" spans="1:29" ht="15">
      <c r="A32" s="378" t="s">
        <v>1694</v>
      </c>
      <c r="B32" s="60" t="s">
        <v>1784</v>
      </c>
      <c r="C32" s="1761" t="s">
        <v>3524</v>
      </c>
      <c r="D32" s="404">
        <v>100</v>
      </c>
      <c r="E32" s="1761" t="s">
        <v>3497</v>
      </c>
      <c r="F32" s="399">
        <f>SUMIF(100:100,E32,101:101)-SUMIF(100:100,C32,101:101)+100</f>
        <v>98</v>
      </c>
      <c r="G32" s="1761" t="s">
        <v>3497</v>
      </c>
      <c r="H32" s="373">
        <f>SUMIF(100:100,G32,101:101)-SUMIF(100:100,C32,101:101)+100</f>
        <v>98</v>
      </c>
      <c r="I32" s="1761" t="s">
        <v>3497</v>
      </c>
      <c r="J32" s="404">
        <f>SUMIF(100:100,I32,101:101)-SUMIF(100:100,C32,101:101)+100</f>
        <v>98</v>
      </c>
      <c r="K32" s="537">
        <v>2</v>
      </c>
      <c r="L32" s="2486"/>
      <c r="M32" s="2481"/>
      <c r="N32" s="2481"/>
      <c r="O32" s="2481"/>
      <c r="P32" s="3401" t="s">
        <v>1696</v>
      </c>
      <c r="Q32" s="1260" t="str">
        <f t="shared" si="11"/>
        <v>商业类型</v>
      </c>
      <c r="R32" s="665" t="s">
        <v>14</v>
      </c>
      <c r="S32" s="666">
        <f t="shared" si="12"/>
        <v>98</v>
      </c>
      <c r="T32" s="665" t="s">
        <v>14</v>
      </c>
      <c r="U32" s="666">
        <f t="shared" si="13"/>
        <v>98</v>
      </c>
      <c r="V32" s="665" t="s">
        <v>14</v>
      </c>
      <c r="W32" s="666">
        <f t="shared" si="14"/>
        <v>98</v>
      </c>
      <c r="X32" s="1262"/>
      <c r="Y32" s="3404"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1382.5</v>
      </c>
      <c r="D33" s="118">
        <v>100</v>
      </c>
      <c r="E33" s="406">
        <v>35.43</v>
      </c>
      <c r="F33" s="363">
        <f>LOOKUP(E33,103:103,104:104)-LOOKUP(C33,103:103,104:104)+100</f>
        <v>108</v>
      </c>
      <c r="G33" s="406">
        <v>308.52</v>
      </c>
      <c r="H33" s="118">
        <f>LOOKUP(G33,103:103,104:104)-LOOKUP(C33,103:103,104:104)+100</f>
        <v>104</v>
      </c>
      <c r="I33" s="406">
        <v>175.46</v>
      </c>
      <c r="J33" s="118">
        <f>LOOKUP(I33,103:103,104:104)-LOOKUP(C33,103:103,104:104)+100</f>
        <v>106</v>
      </c>
      <c r="K33" s="538"/>
      <c r="L33" s="2485"/>
      <c r="M33" s="2487"/>
      <c r="N33" s="2487"/>
      <c r="O33" s="2487"/>
      <c r="P33" s="3402"/>
      <c r="Q33" s="530" t="str">
        <f t="shared" si="11"/>
        <v>项目建筑规模</v>
      </c>
      <c r="R33" s="667" t="s">
        <v>14</v>
      </c>
      <c r="S33" s="668">
        <f t="shared" si="12"/>
        <v>108</v>
      </c>
      <c r="T33" s="667" t="s">
        <v>14</v>
      </c>
      <c r="U33" s="668">
        <f t="shared" si="13"/>
        <v>104</v>
      </c>
      <c r="V33" s="667" t="s">
        <v>14</v>
      </c>
      <c r="W33" s="668">
        <f t="shared" si="14"/>
        <v>106</v>
      </c>
      <c r="X33" s="669"/>
      <c r="Y33" s="3404"/>
      <c r="Z33" s="670" t="str">
        <f t="shared" si="15"/>
        <v>项目建筑规模</v>
      </c>
      <c r="AA33" s="1261">
        <f t="shared" si="3"/>
        <v>0.92592592592592593</v>
      </c>
      <c r="AB33" s="1261">
        <f t="shared" si="4"/>
        <v>0.96153846153846156</v>
      </c>
      <c r="AC33" s="1261">
        <f t="shared" si="5"/>
        <v>0.94339622641509435</v>
      </c>
    </row>
    <row r="34" spans="1:29" ht="15">
      <c r="A34" s="408"/>
      <c r="B34" s="363" t="s">
        <v>1698</v>
      </c>
      <c r="C34" s="398" t="s">
        <v>3474</v>
      </c>
      <c r="D34" s="373">
        <v>100</v>
      </c>
      <c r="E34" s="398" t="s">
        <v>3474</v>
      </c>
      <c r="F34" s="399">
        <f>SUMIF(105:105,E34,106:106)-SUMIF(105:105,C34,106:106)+100</f>
        <v>100</v>
      </c>
      <c r="G34" s="398" t="s">
        <v>3474</v>
      </c>
      <c r="H34" s="373">
        <f>SUMIF(105:105,G34,106:106)-SUMIF(105:105,C34,106:106)+100</f>
        <v>100</v>
      </c>
      <c r="I34" s="398" t="s">
        <v>3474</v>
      </c>
      <c r="J34" s="373">
        <f>SUMIF(105:105,I34,106:106)-SUMIF(105:105,C34,106:106)+100</f>
        <v>100</v>
      </c>
      <c r="K34" s="537">
        <v>2</v>
      </c>
      <c r="L34" s="2486"/>
      <c r="M34" s="2481"/>
      <c r="N34" s="2481"/>
      <c r="O34" s="2481"/>
      <c r="P34" s="3402"/>
      <c r="Q34" s="1260" t="str">
        <f t="shared" si="11"/>
        <v>建筑结构</v>
      </c>
      <c r="R34" s="665" t="s">
        <v>14</v>
      </c>
      <c r="S34" s="666">
        <f t="shared" si="12"/>
        <v>100</v>
      </c>
      <c r="T34" s="665" t="s">
        <v>14</v>
      </c>
      <c r="U34" s="666">
        <f t="shared" si="13"/>
        <v>100</v>
      </c>
      <c r="V34" s="665" t="s">
        <v>14</v>
      </c>
      <c r="W34" s="666">
        <f t="shared" si="14"/>
        <v>100</v>
      </c>
      <c r="X34" s="1262"/>
      <c r="Y34" s="3404"/>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2"/>
      <c r="Q35" s="1260" t="str">
        <f t="shared" si="11"/>
        <v>公共部分装修</v>
      </c>
      <c r="R35" s="665" t="s">
        <v>14</v>
      </c>
      <c r="S35" s="666">
        <f t="shared" si="12"/>
        <v>100</v>
      </c>
      <c r="T35" s="665" t="s">
        <v>14</v>
      </c>
      <c r="U35" s="666">
        <f t="shared" si="13"/>
        <v>100</v>
      </c>
      <c r="V35" s="665" t="s">
        <v>14</v>
      </c>
      <c r="W35" s="666">
        <f t="shared" si="14"/>
        <v>100</v>
      </c>
      <c r="X35" s="1262"/>
      <c r="Y35" s="3404"/>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02"/>
      <c r="Q36" s="1260" t="str">
        <f t="shared" si="11"/>
        <v>成新度</v>
      </c>
      <c r="R36" s="665" t="s">
        <v>14</v>
      </c>
      <c r="S36" s="666">
        <f t="shared" si="12"/>
        <v>101</v>
      </c>
      <c r="T36" s="665" t="s">
        <v>14</v>
      </c>
      <c r="U36" s="666">
        <f t="shared" si="13"/>
        <v>99</v>
      </c>
      <c r="V36" s="665" t="s">
        <v>14</v>
      </c>
      <c r="W36" s="666">
        <f t="shared" si="14"/>
        <v>102</v>
      </c>
      <c r="X36" s="1262"/>
      <c r="Y36" s="3404"/>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3477</v>
      </c>
      <c r="D37" s="118">
        <v>100</v>
      </c>
      <c r="E37" s="1757" t="s">
        <v>3477</v>
      </c>
      <c r="F37" s="399">
        <f>SUMIF(112:112,E37,113:113)-SUMIF(112:112,C37,113:113)+100</f>
        <v>100</v>
      </c>
      <c r="G37" s="1757" t="s">
        <v>3477</v>
      </c>
      <c r="H37" s="373">
        <f>SUMIF(112:112,G37,113:113)-SUMIF(112:112,C37,113:113)+100</f>
        <v>100</v>
      </c>
      <c r="I37" s="1757" t="s">
        <v>3477</v>
      </c>
      <c r="J37" s="373">
        <f>SUMIF(112:112,I37,113:113)-SUMIF(112:112,C37,113:113)+100</f>
        <v>100</v>
      </c>
      <c r="K37" s="537">
        <v>1</v>
      </c>
      <c r="L37" s="2482"/>
      <c r="M37" s="2435"/>
      <c r="N37" s="2435"/>
      <c r="O37" s="2435"/>
      <c r="P37" s="3402"/>
      <c r="Q37" s="529"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8"/>
      <c r="B38" s="363" t="s">
        <v>1788</v>
      </c>
      <c r="C38" s="1757" t="s">
        <v>3488</v>
      </c>
      <c r="D38" s="373">
        <v>100</v>
      </c>
      <c r="E38" s="1757" t="s">
        <v>3488</v>
      </c>
      <c r="F38" s="399">
        <f>SUMIF(114:114,E38,115:115)-SUMIF(114:114,C38,115:115)+100</f>
        <v>100</v>
      </c>
      <c r="G38" s="1757" t="s">
        <v>3488</v>
      </c>
      <c r="H38" s="373">
        <f>SUMIF(114:114,G38,115:115)-SUMIF(114:114,C38,115:115)+100</f>
        <v>100</v>
      </c>
      <c r="I38" s="1757" t="s">
        <v>3488</v>
      </c>
      <c r="J38" s="373">
        <f>SUMIF(114:114,I38,115:115)-SUMIF(114:114,C38,115:115)+100</f>
        <v>100</v>
      </c>
      <c r="K38" s="537">
        <v>2</v>
      </c>
      <c r="L38" s="2486"/>
      <c r="M38" s="2481"/>
      <c r="N38" s="2481"/>
      <c r="O38" s="2481"/>
      <c r="P38" s="3402" t="s">
        <v>1696</v>
      </c>
      <c r="Q38" s="1260" t="str">
        <f t="shared" si="11"/>
        <v>业态</v>
      </c>
      <c r="R38" s="665" t="s">
        <v>14</v>
      </c>
      <c r="S38" s="666">
        <f t="shared" si="12"/>
        <v>100</v>
      </c>
      <c r="T38" s="665" t="s">
        <v>14</v>
      </c>
      <c r="U38" s="666">
        <f t="shared" si="13"/>
        <v>100</v>
      </c>
      <c r="V38" s="665" t="s">
        <v>14</v>
      </c>
      <c r="W38" s="666">
        <f t="shared" si="14"/>
        <v>100</v>
      </c>
      <c r="X38" s="1262"/>
      <c r="Y38" s="3404" t="s">
        <v>1696</v>
      </c>
      <c r="Z38" s="1261" t="str">
        <f t="shared" si="15"/>
        <v>业态</v>
      </c>
      <c r="AA38" s="1261">
        <f t="shared" si="3"/>
        <v>1</v>
      </c>
      <c r="AB38" s="1261">
        <f t="shared" si="4"/>
        <v>1</v>
      </c>
      <c r="AC38" s="1261">
        <f t="shared" si="5"/>
        <v>1</v>
      </c>
    </row>
    <row r="39" spans="1:29" ht="15">
      <c r="A39" s="408"/>
      <c r="B39" s="363" t="s">
        <v>1789</v>
      </c>
      <c r="C39" s="1757" t="s">
        <v>3501</v>
      </c>
      <c r="D39" s="373">
        <v>100</v>
      </c>
      <c r="E39" s="1757" t="s">
        <v>3501</v>
      </c>
      <c r="F39" s="399">
        <f>SUMIF(116:116,E39,117:117)-SUMIF(116:116,C39,117:117)+100</f>
        <v>100</v>
      </c>
      <c r="G39" s="1757" t="s">
        <v>3501</v>
      </c>
      <c r="H39" s="373">
        <f>SUMIF(116:116,G39,117:117)-SUMIF(116:116,C39,117:117)+100</f>
        <v>100</v>
      </c>
      <c r="I39" s="1757" t="s">
        <v>3501</v>
      </c>
      <c r="J39" s="373">
        <f>SUMIF(116:116,I39,117:117)-SUMIF(116:116,C39,117:117)+100</f>
        <v>100</v>
      </c>
      <c r="K39" s="537">
        <v>3</v>
      </c>
      <c r="L39" s="2486"/>
      <c r="M39" s="2481"/>
      <c r="N39" s="2481"/>
      <c r="O39" s="2481"/>
      <c r="P39" s="3402"/>
      <c r="Q39" s="1260" t="str">
        <f t="shared" si="11"/>
        <v>层高</v>
      </c>
      <c r="R39" s="665" t="s">
        <v>14</v>
      </c>
      <c r="S39" s="666">
        <f t="shared" si="12"/>
        <v>100</v>
      </c>
      <c r="T39" s="665" t="s">
        <v>14</v>
      </c>
      <c r="U39" s="666">
        <f t="shared" si="13"/>
        <v>100</v>
      </c>
      <c r="V39" s="665" t="s">
        <v>14</v>
      </c>
      <c r="W39" s="666">
        <f t="shared" si="14"/>
        <v>100</v>
      </c>
      <c r="X39" s="1262"/>
      <c r="Y39" s="340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2"/>
      <c r="Q40" s="1260" t="str">
        <f t="shared" si="11"/>
        <v>单套建筑面积</v>
      </c>
      <c r="R40" s="665" t="s">
        <v>14</v>
      </c>
      <c r="S40" s="666">
        <f t="shared" si="12"/>
        <v>100</v>
      </c>
      <c r="T40" s="665" t="s">
        <v>14</v>
      </c>
      <c r="U40" s="666">
        <f t="shared" si="13"/>
        <v>100</v>
      </c>
      <c r="V40" s="665" t="s">
        <v>14</v>
      </c>
      <c r="W40" s="666">
        <f t="shared" si="14"/>
        <v>100</v>
      </c>
      <c r="X40" s="1262"/>
      <c r="Y40" s="340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2"/>
      <c r="Q41" s="530"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1">
        <f t="shared" si="3"/>
        <v>1</v>
      </c>
      <c r="AB41" s="1261">
        <f t="shared" si="4"/>
        <v>1</v>
      </c>
      <c r="AC41" s="1261">
        <f t="shared" si="5"/>
        <v>1</v>
      </c>
    </row>
    <row r="42" spans="1:29" ht="15">
      <c r="A42" s="408"/>
      <c r="B42" s="363" t="s">
        <v>1792</v>
      </c>
      <c r="C42" s="1757" t="s">
        <v>3489</v>
      </c>
      <c r="D42" s="373">
        <v>100</v>
      </c>
      <c r="E42" s="1757" t="s">
        <v>3496</v>
      </c>
      <c r="F42" s="399">
        <f>SUMIF(122:122,E42,123:123)-SUMIF(122:122,C42,123:123)+100</f>
        <v>98</v>
      </c>
      <c r="G42" s="1757" t="s">
        <v>3496</v>
      </c>
      <c r="H42" s="373">
        <f>SUMIF(122:122,G42,123:123)-SUMIF(122:122,C42,123:123)+100</f>
        <v>98</v>
      </c>
      <c r="I42" s="1757" t="s">
        <v>3496</v>
      </c>
      <c r="J42" s="373">
        <f>SUMIF(122:122,I42,123:123)-SUMIF(122:122,C42,123:123)+100</f>
        <v>98</v>
      </c>
      <c r="K42" s="537">
        <v>1</v>
      </c>
      <c r="L42" s="2486"/>
      <c r="M42" s="2481"/>
      <c r="N42" s="2481"/>
      <c r="O42" s="2481"/>
      <c r="P42" s="3402"/>
      <c r="Q42" s="1260" t="str">
        <f t="shared" si="11"/>
        <v>内部装修</v>
      </c>
      <c r="R42" s="665" t="s">
        <v>14</v>
      </c>
      <c r="S42" s="666">
        <f t="shared" si="12"/>
        <v>98</v>
      </c>
      <c r="T42" s="665" t="s">
        <v>14</v>
      </c>
      <c r="U42" s="666">
        <f t="shared" si="13"/>
        <v>98</v>
      </c>
      <c r="V42" s="665" t="s">
        <v>14</v>
      </c>
      <c r="W42" s="666">
        <f t="shared" si="14"/>
        <v>98</v>
      </c>
      <c r="X42" s="1262"/>
      <c r="Y42" s="3404"/>
      <c r="Z42" s="1261" t="str">
        <f t="shared" si="15"/>
        <v>内部装修</v>
      </c>
      <c r="AA42" s="1261">
        <f t="shared" si="3"/>
        <v>1.0204081632653061</v>
      </c>
      <c r="AB42" s="1261">
        <f t="shared" si="4"/>
        <v>1.0204081632653061</v>
      </c>
      <c r="AC42" s="1261">
        <f t="shared" si="5"/>
        <v>1.0204081632653061</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2"/>
      <c r="Q43" s="1260" t="str">
        <f t="shared" si="11"/>
        <v>内部装修维护情况</v>
      </c>
      <c r="R43" s="665" t="s">
        <v>14</v>
      </c>
      <c r="S43" s="666">
        <f t="shared" si="12"/>
        <v>100</v>
      </c>
      <c r="T43" s="665" t="s">
        <v>14</v>
      </c>
      <c r="U43" s="666">
        <f t="shared" si="13"/>
        <v>100</v>
      </c>
      <c r="V43" s="665" t="s">
        <v>14</v>
      </c>
      <c r="W43" s="666">
        <f t="shared" si="14"/>
        <v>100</v>
      </c>
      <c r="X43" s="1262"/>
      <c r="Y43" s="3404"/>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2"/>
      <c r="Q44" s="529">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2"/>
      <c r="Q45" s="1260">
        <f t="shared" si="11"/>
        <v>111</v>
      </c>
      <c r="R45" s="665" t="s">
        <v>14</v>
      </c>
      <c r="S45" s="666">
        <f t="shared" si="12"/>
        <v>100</v>
      </c>
      <c r="T45" s="665" t="s">
        <v>14</v>
      </c>
      <c r="U45" s="666">
        <f t="shared" si="13"/>
        <v>100</v>
      </c>
      <c r="V45" s="665" t="s">
        <v>14</v>
      </c>
      <c r="W45" s="666">
        <f t="shared" si="14"/>
        <v>100</v>
      </c>
      <c r="X45" s="1262"/>
      <c r="Y45" s="3404"/>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3"/>
      <c r="Q46" s="1260">
        <f t="shared" si="11"/>
        <v>111</v>
      </c>
      <c r="R46" s="665" t="s">
        <v>14</v>
      </c>
      <c r="S46" s="666">
        <f t="shared" si="12"/>
        <v>100</v>
      </c>
      <c r="T46" s="665" t="s">
        <v>14</v>
      </c>
      <c r="U46" s="666">
        <f t="shared" si="13"/>
        <v>100</v>
      </c>
      <c r="V46" s="665" t="s">
        <v>14</v>
      </c>
      <c r="W46" s="666">
        <f t="shared" si="14"/>
        <v>100</v>
      </c>
      <c r="X46" s="1262"/>
      <c r="Y46" s="3405"/>
      <c r="Z46" s="1261">
        <f t="shared" si="15"/>
        <v>111</v>
      </c>
      <c r="AA46" s="1261">
        <f t="shared" si="3"/>
        <v>1</v>
      </c>
      <c r="AB46" s="1261">
        <f t="shared" si="4"/>
        <v>1</v>
      </c>
      <c r="AC46" s="1261">
        <f t="shared" si="5"/>
        <v>1</v>
      </c>
    </row>
    <row r="47" spans="1:29" ht="15">
      <c r="A47" s="415" t="s">
        <v>1708</v>
      </c>
      <c r="B47" s="416"/>
      <c r="C47" s="1078" t="s">
        <v>0</v>
      </c>
      <c r="D47" s="417"/>
      <c r="E47" s="418">
        <f>ROUND(E50/Q90*Q95,0)</f>
        <v>15944</v>
      </c>
      <c r="F47" s="419"/>
      <c r="G47" s="418">
        <f>ROUND(G50/Q90*Q95,0)</f>
        <v>15520</v>
      </c>
      <c r="H47" s="421"/>
      <c r="I47" s="418">
        <f>ROUND(I50/Q90*Q95,0)</f>
        <v>17489</v>
      </c>
      <c r="J47" s="421"/>
      <c r="K47" s="672"/>
      <c r="L47" s="3183" t="s">
        <v>3512</v>
      </c>
      <c r="M47" s="2481"/>
      <c r="N47" s="2481"/>
      <c r="O47" s="2481"/>
      <c r="P47" s="3392" t="str">
        <f>A47</f>
        <v>成交单价（元/平方米）</v>
      </c>
      <c r="Q47" s="3392"/>
      <c r="R47" s="3393">
        <f>E47</f>
        <v>15944</v>
      </c>
      <c r="S47" s="3393"/>
      <c r="T47" s="3393">
        <f>G47</f>
        <v>15520</v>
      </c>
      <c r="U47" s="3393"/>
      <c r="V47" s="3393">
        <f>I47</f>
        <v>17489</v>
      </c>
      <c r="W47" s="3393"/>
      <c r="X47" s="384"/>
      <c r="Y47" s="671"/>
      <c r="Z47" s="384"/>
      <c r="AA47" s="384"/>
      <c r="AB47" s="384"/>
      <c r="AC47" s="384"/>
    </row>
    <row r="48" spans="1:29" ht="15.75" thickBot="1">
      <c r="A48" s="422" t="s">
        <v>1793</v>
      </c>
      <c r="B48" s="423"/>
      <c r="C48" s="1079">
        <f>R49</f>
        <v>15788</v>
      </c>
      <c r="D48" s="2138" t="s">
        <v>2138</v>
      </c>
      <c r="E48" s="1080">
        <f>R48</f>
        <v>15400</v>
      </c>
      <c r="F48" s="2139"/>
      <c r="G48" s="1079">
        <f>T48</f>
        <v>15695</v>
      </c>
      <c r="H48" s="2139"/>
      <c r="I48" s="1080">
        <f>V48</f>
        <v>16268</v>
      </c>
      <c r="J48" s="2139"/>
      <c r="K48" s="2141">
        <f>F48+H48+J48</f>
        <v>0</v>
      </c>
      <c r="L48" s="2488"/>
      <c r="M48" s="2481"/>
      <c r="N48" s="2481"/>
      <c r="O48" s="2481"/>
      <c r="P48" s="3392" t="str">
        <f>A48</f>
        <v>比较价值（元/平方米）</v>
      </c>
      <c r="Q48" s="3392"/>
      <c r="R48" s="3393">
        <f>IF(F1="售价",ROUND(PRODUCT(R47,AA7:AA46),0),ROUND(PRODUCT(R47,AA7:AA46),1))</f>
        <v>15400</v>
      </c>
      <c r="S48" s="3393"/>
      <c r="T48" s="3393">
        <f>IF(F1="售价",ROUND(PRODUCT(T47,AB7:AB46),0),ROUND(PRODUCT(T47,AB7:AB46),1))</f>
        <v>15695</v>
      </c>
      <c r="U48" s="3393"/>
      <c r="V48" s="3393">
        <f>IF(F1="售价",ROUND(PRODUCT(V47,AC7:AC46),0),ROUND(PRODUCT(V47,AC7:AC46),1))</f>
        <v>16268</v>
      </c>
      <c r="W48" s="3393"/>
      <c r="X48" s="384"/>
      <c r="Y48" s="384"/>
      <c r="Z48" s="384"/>
      <c r="AA48" s="384"/>
      <c r="AB48" s="384"/>
      <c r="AC48" s="384"/>
    </row>
    <row r="49" spans="1:29" ht="15.75" thickBot="1">
      <c r="A49" s="426" t="s">
        <v>1794</v>
      </c>
      <c r="B49" s="427"/>
      <c r="C49" s="350">
        <f>R49</f>
        <v>15788</v>
      </c>
      <c r="D49" s="350"/>
      <c r="E49" s="350"/>
      <c r="F49" s="350"/>
      <c r="G49" s="350"/>
      <c r="H49" s="350"/>
      <c r="I49" s="350"/>
      <c r="J49" s="350"/>
      <c r="K49" s="673"/>
      <c r="L49" s="2488"/>
      <c r="M49" s="2481"/>
      <c r="N49" s="2481"/>
      <c r="O49" s="2481"/>
      <c r="P49" s="3394" t="str">
        <f>A49</f>
        <v>估价对象XX用房的比较价值（楼面单价，元/平方米）</v>
      </c>
      <c r="Q49" s="3395"/>
      <c r="R49" s="3396">
        <f>IF(F1="售价",ROUND(IF(D48="简单平均",AVERAGE(R48:V48),R48*F48+T48*H48+V48*J48),0),ROUND(IF(D48="简单平均",AVERAGE(R48:V48),R48*F48+T48*H48+V48*J48),1))</f>
        <v>15788</v>
      </c>
      <c r="S49" s="3396"/>
      <c r="T49" s="3396"/>
      <c r="U49" s="3396"/>
      <c r="V49" s="3396"/>
      <c r="W49" s="3396"/>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t="s">
        <v>3513</v>
      </c>
      <c r="F51" s="2481"/>
      <c r="G51" s="2481" t="s">
        <v>3513</v>
      </c>
      <c r="H51" s="2481"/>
      <c r="I51" s="2481" t="s">
        <v>3513</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3.5324675324675425E-2</v>
      </c>
      <c r="F52" s="434" t="str">
        <f>IF(OR(E52&gt;=0.3,E52&lt;=-0.3),"超过30%","")</f>
        <v/>
      </c>
      <c r="G52" s="433">
        <f>IF(G47&lt;G48,G48/G47-1,G47/G48-1)</f>
        <v>1.127577319587636E-2</v>
      </c>
      <c r="H52" s="434" t="str">
        <f>IF(OR(G52&gt;=0.3,G52&lt;=-0.3),"超过30%","")</f>
        <v/>
      </c>
      <c r="I52" s="433">
        <f>IF(I47&lt;I48,I48/I47-1,I47/I48-1)</f>
        <v>7.5055323334152879E-2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1.9155844155844148E-2</v>
      </c>
      <c r="F53" s="434" t="str">
        <f>IF(OR(E53&gt;=0.2,E53&lt;=-0.2),"超过20%","")</f>
        <v/>
      </c>
      <c r="G53" s="433">
        <f>IF(G48&lt;I48,I48/G48-1,G48/I48-1)</f>
        <v>3.6508442179037814E-2</v>
      </c>
      <c r="H53" s="434" t="str">
        <f>IF(OR(G53&gt;=0.2,G53&lt;=-0.2),"超过20%","")</f>
        <v/>
      </c>
      <c r="I53" s="433">
        <f>IF(I48&lt;E48,E48/I48-1,I48/E48-1)</f>
        <v>5.6363636363636394E-2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5">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3175" t="s">
        <v>3502</v>
      </c>
      <c r="D65" s="3175" t="s">
        <v>3503</v>
      </c>
      <c r="E65" s="3175" t="s">
        <v>3504</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171" t="s">
        <v>3460</v>
      </c>
      <c r="D86" s="3171" t="s">
        <v>3461</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5.75"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75" thickTop="1">
      <c r="A90" s="483"/>
      <c r="B90" s="468" t="str">
        <f>B27</f>
        <v>人流量</v>
      </c>
      <c r="C90" s="3171" t="s">
        <v>3462</v>
      </c>
      <c r="D90" s="3171" t="s">
        <v>3463</v>
      </c>
      <c r="E90" s="3171" t="s">
        <v>3464</v>
      </c>
      <c r="F90" s="484"/>
      <c r="G90" s="484"/>
      <c r="H90" s="485"/>
      <c r="I90" s="485"/>
      <c r="J90" s="485"/>
      <c r="K90" s="485"/>
      <c r="L90" s="486"/>
      <c r="M90" s="487"/>
      <c r="N90" s="2517" t="s">
        <v>3468</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3469</v>
      </c>
      <c r="O91" s="2515">
        <v>70</v>
      </c>
      <c r="P91" s="2507"/>
      <c r="Q91" s="2509"/>
      <c r="R91" s="2487"/>
      <c r="S91" s="2487"/>
      <c r="T91" s="2487"/>
      <c r="U91" s="2487"/>
      <c r="V91" s="2487"/>
      <c r="W91" s="2487"/>
      <c r="X91" s="2487"/>
      <c r="Y91" s="2487"/>
      <c r="Z91" s="2487"/>
      <c r="AA91" s="2487"/>
      <c r="AB91" s="2487"/>
      <c r="AC91" s="2487"/>
    </row>
    <row r="92" spans="1:29" ht="15.75" thickTop="1">
      <c r="A92" s="366"/>
      <c r="B92" s="468" t="str">
        <f>B28</f>
        <v>楼层</v>
      </c>
      <c r="C92" s="484" t="s">
        <v>3465</v>
      </c>
      <c r="D92" s="484" t="s">
        <v>3466</v>
      </c>
      <c r="E92" s="484" t="s">
        <v>3467</v>
      </c>
      <c r="F92" s="484" t="s">
        <v>3514</v>
      </c>
      <c r="G92" s="484"/>
      <c r="H92" s="484"/>
      <c r="I92" s="484"/>
      <c r="J92" s="484"/>
      <c r="K92" s="484"/>
      <c r="L92" s="509"/>
      <c r="M92" s="510"/>
      <c r="N92" s="2516" t="s">
        <v>3470</v>
      </c>
      <c r="O92" s="2516">
        <f>(O90+O91)/2</f>
        <v>85</v>
      </c>
      <c r="P92" s="2507">
        <v>100</v>
      </c>
      <c r="Q92" s="2502"/>
      <c r="R92" s="2481"/>
      <c r="S92" s="2481"/>
      <c r="T92" s="2481"/>
      <c r="U92" s="2481"/>
      <c r="V92" s="2481"/>
      <c r="W92" s="2481"/>
      <c r="X92" s="2481"/>
      <c r="Y92" s="2481"/>
      <c r="Z92" s="2481"/>
      <c r="AA92" s="2481"/>
      <c r="AB92" s="2481"/>
      <c r="AC92" s="2481"/>
    </row>
    <row r="93" spans="1:29" ht="15.75" thickBot="1">
      <c r="A93" s="366"/>
      <c r="B93" s="473"/>
      <c r="C93" s="466">
        <f>Q90</f>
        <v>143</v>
      </c>
      <c r="D93" s="466"/>
      <c r="E93" s="466"/>
      <c r="F93" s="466">
        <v>100</v>
      </c>
      <c r="G93" s="466"/>
      <c r="H93" s="466"/>
      <c r="I93" s="466"/>
      <c r="J93" s="466"/>
      <c r="K93" s="466"/>
      <c r="L93" s="466"/>
      <c r="M93" s="467"/>
      <c r="N93" s="2516" t="s">
        <v>3509</v>
      </c>
      <c r="O93" s="2516">
        <v>60</v>
      </c>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t="s">
        <v>3510</v>
      </c>
      <c r="O94" s="2515">
        <v>50</v>
      </c>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t="s">
        <v>3511</v>
      </c>
      <c r="O95" s="2516">
        <f>(O90+O91+O93+O94)/4</f>
        <v>70</v>
      </c>
      <c r="P95" s="2507"/>
      <c r="Q95" s="3181">
        <v>100</v>
      </c>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172" t="s">
        <v>2773</v>
      </c>
      <c r="D100" s="3172" t="s">
        <v>3471</v>
      </c>
      <c r="E100" s="3172" t="s">
        <v>3472</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3475</v>
      </c>
      <c r="D112" s="484" t="s">
        <v>3476</v>
      </c>
      <c r="E112" s="484" t="s">
        <v>3477</v>
      </c>
      <c r="F112" s="484" t="s">
        <v>3478</v>
      </c>
      <c r="G112" s="484" t="s">
        <v>3479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3480</v>
      </c>
      <c r="D114" s="3171" t="s">
        <v>3481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3486</v>
      </c>
      <c r="D116" s="3171" t="s">
        <v>3487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3482</v>
      </c>
      <c r="D122" s="3171" t="s">
        <v>3483</v>
      </c>
      <c r="E122" s="3171" t="s">
        <v>3484</v>
      </c>
      <c r="F122" s="3173" t="s">
        <v>3485</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4.25"/>
  <cols>
    <col min="1" max="1" width="10.5" style="346" customWidth="1"/>
    <col min="2" max="2" width="15.75" style="346" customWidth="1"/>
    <col min="3" max="3" width="18.8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8" t="s">
        <v>3491</v>
      </c>
      <c r="F1" s="1732" t="s">
        <v>3517</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0.33179999999999998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2.4</v>
      </c>
      <c r="C3" s="343" t="s">
        <v>1665</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5">
      <c r="A4" s="344" t="s">
        <v>1666</v>
      </c>
      <c r="B4" s="345"/>
      <c r="C4" s="3410" t="s">
        <v>1667</v>
      </c>
      <c r="D4" s="3411"/>
      <c r="E4" s="3412" t="s">
        <v>1668</v>
      </c>
      <c r="F4" s="3413"/>
      <c r="G4" s="3410" t="s">
        <v>1669</v>
      </c>
      <c r="H4" s="3411"/>
      <c r="I4" s="3410" t="s">
        <v>1670</v>
      </c>
      <c r="J4" s="3411"/>
      <c r="K4" s="536" t="s">
        <v>1671</v>
      </c>
      <c r="L4" s="2480"/>
      <c r="M4" s="2481"/>
      <c r="N4" s="2481"/>
      <c r="O4" s="2481"/>
      <c r="P4" s="3414" t="s">
        <v>1672</v>
      </c>
      <c r="Q4" s="3415"/>
      <c r="R4" s="3420" t="s">
        <v>1668</v>
      </c>
      <c r="S4" s="3421"/>
      <c r="T4" s="3420" t="s">
        <v>1669</v>
      </c>
      <c r="U4" s="3421"/>
      <c r="V4" s="3393" t="s">
        <v>1670</v>
      </c>
      <c r="W4" s="3393"/>
      <c r="X4" s="1262"/>
      <c r="Y4" s="3420" t="s">
        <v>1672</v>
      </c>
      <c r="Z4" s="3421"/>
      <c r="AA4" s="3407" t="s">
        <v>1668</v>
      </c>
      <c r="AB4" s="3393" t="s">
        <v>1669</v>
      </c>
      <c r="AC4" s="3407" t="s">
        <v>1670</v>
      </c>
    </row>
    <row r="5" spans="1:29" ht="15">
      <c r="A5" s="347"/>
      <c r="B5" s="348"/>
      <c r="C5" s="3433" t="s">
        <v>1673</v>
      </c>
      <c r="D5" s="3429"/>
      <c r="E5" s="3436" t="s">
        <v>3516</v>
      </c>
      <c r="F5" s="3437"/>
      <c r="G5" s="3428" t="s">
        <v>3522</v>
      </c>
      <c r="H5" s="3429"/>
      <c r="I5" s="3428" t="s">
        <v>3518</v>
      </c>
      <c r="J5" s="3429"/>
      <c r="K5" s="536"/>
      <c r="L5" s="2480"/>
      <c r="M5" s="2481"/>
      <c r="N5" s="2481"/>
      <c r="O5" s="2481"/>
      <c r="P5" s="3416"/>
      <c r="Q5" s="3417"/>
      <c r="R5" s="3422"/>
      <c r="S5" s="3423"/>
      <c r="T5" s="3422"/>
      <c r="U5" s="3423"/>
      <c r="V5" s="3393"/>
      <c r="W5" s="3393"/>
      <c r="X5" s="1262"/>
      <c r="Y5" s="3422"/>
      <c r="Z5" s="3423"/>
      <c r="AA5" s="3408"/>
      <c r="AB5" s="3393"/>
      <c r="AC5" s="3408"/>
    </row>
    <row r="6" spans="1:29" ht="15.75" thickBot="1">
      <c r="A6" s="349"/>
      <c r="B6" s="350"/>
      <c r="C6" s="3426" t="s">
        <v>1677</v>
      </c>
      <c r="D6" s="3427"/>
      <c r="E6" s="3434" t="s">
        <v>1677</v>
      </c>
      <c r="F6" s="3435"/>
      <c r="G6" s="3426" t="s">
        <v>1677</v>
      </c>
      <c r="H6" s="3427"/>
      <c r="I6" s="3426" t="s">
        <v>1677</v>
      </c>
      <c r="J6" s="3427"/>
      <c r="K6" s="536" t="s">
        <v>1678</v>
      </c>
      <c r="L6" s="2480"/>
      <c r="M6" s="2481"/>
      <c r="N6" s="2481"/>
      <c r="O6" s="2481"/>
      <c r="P6" s="3418"/>
      <c r="Q6" s="3419"/>
      <c r="R6" s="3422"/>
      <c r="S6" s="3423"/>
      <c r="T6" s="3424"/>
      <c r="U6" s="3425"/>
      <c r="V6" s="3393"/>
      <c r="W6" s="3393"/>
      <c r="X6" s="1262"/>
      <c r="Y6" s="3424"/>
      <c r="Z6" s="3425"/>
      <c r="AA6" s="3409"/>
      <c r="AB6" s="3393"/>
      <c r="AC6" s="3409"/>
    </row>
    <row r="7" spans="1:29" s="101" customFormat="1" ht="15.7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430" t="s">
        <v>1680</v>
      </c>
      <c r="Q7" s="3432"/>
      <c r="R7" s="662" t="s">
        <v>14</v>
      </c>
      <c r="S7" s="663">
        <f t="shared" ref="S7:S15" si="0">F7</f>
        <v>100</v>
      </c>
      <c r="T7" s="662" t="s">
        <v>14</v>
      </c>
      <c r="U7" s="663">
        <f t="shared" ref="U7:U15" si="1">H7</f>
        <v>100</v>
      </c>
      <c r="V7" s="662" t="s">
        <v>14</v>
      </c>
      <c r="W7" s="663">
        <f t="shared" ref="W7:W15" si="2">J7</f>
        <v>100</v>
      </c>
      <c r="X7" s="664"/>
      <c r="Y7" s="3430" t="s">
        <v>1680</v>
      </c>
      <c r="Z7" s="3431"/>
      <c r="AA7" s="50">
        <f>D7/F7</f>
        <v>1</v>
      </c>
      <c r="AB7" s="50">
        <f>D7/H7</f>
        <v>1</v>
      </c>
      <c r="AC7" s="50">
        <f>D7/J7</f>
        <v>1</v>
      </c>
    </row>
    <row r="8" spans="1:29" s="101" customFormat="1" ht="15.75" thickBot="1">
      <c r="A8" s="351" t="s">
        <v>1681</v>
      </c>
      <c r="B8" s="352"/>
      <c r="C8" s="357" t="s">
        <v>3438</v>
      </c>
      <c r="D8" s="354">
        <v>100</v>
      </c>
      <c r="E8" s="357" t="s">
        <v>3519</v>
      </c>
      <c r="F8" s="356">
        <f>SUMIF(61:61,E8,62:62)-SUMIF(61:61,C8,62:62)+100</f>
        <v>101</v>
      </c>
      <c r="G8" s="357" t="s">
        <v>3519</v>
      </c>
      <c r="H8" s="354">
        <f>SUMIF(61:61,G8,62:62)-SUMIF(61:61,C8,62:62)+100</f>
        <v>101</v>
      </c>
      <c r="I8" s="357" t="s">
        <v>3519</v>
      </c>
      <c r="J8" s="354">
        <f>SUMIF(61:61,I8,62:62)-SUMIF(61:61,C8,62:62)+100</f>
        <v>101</v>
      </c>
      <c r="K8" s="38"/>
      <c r="L8" s="2482"/>
      <c r="M8" s="2435"/>
      <c r="N8" s="2435"/>
      <c r="O8" s="2435"/>
      <c r="P8" s="3430" t="s">
        <v>1683</v>
      </c>
      <c r="Q8" s="3431"/>
      <c r="R8" s="662" t="s">
        <v>14</v>
      </c>
      <c r="S8" s="663">
        <f t="shared" si="0"/>
        <v>101</v>
      </c>
      <c r="T8" s="662" t="s">
        <v>14</v>
      </c>
      <c r="U8" s="663">
        <f t="shared" si="1"/>
        <v>101</v>
      </c>
      <c r="V8" s="662" t="s">
        <v>14</v>
      </c>
      <c r="W8" s="663">
        <f t="shared" si="2"/>
        <v>101</v>
      </c>
      <c r="X8" s="664"/>
      <c r="Y8" s="3430" t="s">
        <v>1683</v>
      </c>
      <c r="Z8" s="3431"/>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3494</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75" thickTop="1">
      <c r="A10" s="362"/>
      <c r="B10" s="363" t="s">
        <v>1688</v>
      </c>
      <c r="C10" s="3175" t="s">
        <v>3502</v>
      </c>
      <c r="D10" s="118">
        <v>100</v>
      </c>
      <c r="E10" s="3175" t="s">
        <v>3502</v>
      </c>
      <c r="F10" s="363">
        <f>SUMIF(65:65,E10,66:66)-SUMIF(65:65,C10,66:66)+100</f>
        <v>100</v>
      </c>
      <c r="G10" s="3175" t="s">
        <v>3502</v>
      </c>
      <c r="H10" s="118">
        <f>SUMIF(65:65,G10,66:66)-SUMIF(65:65,C10,66:66)+100</f>
        <v>100</v>
      </c>
      <c r="I10" s="3175" t="s">
        <v>3502</v>
      </c>
      <c r="J10" s="118">
        <f>SUMIF(65:65,I10,66:66)-SUMIF(65:65,C10,66:66)+100</f>
        <v>100</v>
      </c>
      <c r="K10" s="38"/>
      <c r="L10" s="2483"/>
      <c r="M10" s="2484"/>
      <c r="N10" s="2484"/>
      <c r="O10" s="2484"/>
      <c r="P10" s="3406"/>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6"/>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06"/>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6"/>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6"/>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397" t="s">
        <v>1691</v>
      </c>
      <c r="Q15" s="1260" t="str">
        <f t="shared" si="6"/>
        <v>商业繁华度</v>
      </c>
      <c r="R15" s="665" t="s">
        <v>14</v>
      </c>
      <c r="S15" s="666">
        <f t="shared" si="0"/>
        <v>100</v>
      </c>
      <c r="T15" s="665" t="s">
        <v>14</v>
      </c>
      <c r="U15" s="666">
        <f t="shared" si="1"/>
        <v>100</v>
      </c>
      <c r="V15" s="665" t="s">
        <v>14</v>
      </c>
      <c r="W15" s="666">
        <f t="shared" si="2"/>
        <v>100</v>
      </c>
      <c r="X15" s="1262"/>
      <c r="Y15" s="3399"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398"/>
      <c r="Q16" s="1260"/>
      <c r="R16" s="665"/>
      <c r="S16" s="666"/>
      <c r="T16" s="665"/>
      <c r="U16" s="666"/>
      <c r="V16" s="665"/>
      <c r="W16" s="666"/>
      <c r="X16" s="1262"/>
      <c r="Y16" s="3400"/>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8"/>
      <c r="Q17" s="1260" t="str">
        <f>B17</f>
        <v>交通便捷度</v>
      </c>
      <c r="R17" s="665" t="s">
        <v>14</v>
      </c>
      <c r="S17" s="666">
        <f>F17</f>
        <v>100</v>
      </c>
      <c r="T17" s="665" t="s">
        <v>14</v>
      </c>
      <c r="U17" s="666">
        <f>H17</f>
        <v>100</v>
      </c>
      <c r="V17" s="665" t="s">
        <v>14</v>
      </c>
      <c r="W17" s="666">
        <f>J17</f>
        <v>100</v>
      </c>
      <c r="X17" s="1262"/>
      <c r="Y17" s="3400"/>
      <c r="Z17" s="1261" t="str">
        <f>Q17</f>
        <v>交通便捷度</v>
      </c>
      <c r="AA17" s="1261">
        <f t="shared" si="3"/>
        <v>1</v>
      </c>
      <c r="AB17" s="1261">
        <f t="shared" si="4"/>
        <v>1</v>
      </c>
      <c r="AC17" s="1261">
        <f t="shared" si="5"/>
        <v>1</v>
      </c>
    </row>
    <row r="18" spans="1:29" ht="15">
      <c r="A18" s="366"/>
      <c r="B18" s="394"/>
      <c r="C18" s="1752" t="s">
        <v>3498</v>
      </c>
      <c r="D18" s="388"/>
      <c r="E18" s="1752" t="s">
        <v>3498</v>
      </c>
      <c r="F18" s="391"/>
      <c r="G18" s="1752" t="s">
        <v>3498</v>
      </c>
      <c r="H18" s="386"/>
      <c r="I18" s="1752" t="s">
        <v>3498</v>
      </c>
      <c r="J18" s="386"/>
      <c r="K18" s="540"/>
      <c r="L18" s="2486"/>
      <c r="M18" s="2481"/>
      <c r="N18" s="2481"/>
      <c r="O18" s="2481"/>
      <c r="P18" s="3398"/>
      <c r="Q18" s="1260"/>
      <c r="R18" s="665"/>
      <c r="S18" s="666"/>
      <c r="T18" s="665"/>
      <c r="U18" s="666"/>
      <c r="V18" s="665"/>
      <c r="W18" s="666"/>
      <c r="X18" s="1262"/>
      <c r="Y18" s="3400"/>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398"/>
      <c r="Q19" s="1260" t="str">
        <f>B19</f>
        <v>公共配套设施</v>
      </c>
      <c r="R19" s="665" t="s">
        <v>14</v>
      </c>
      <c r="S19" s="666">
        <f>F19</f>
        <v>100</v>
      </c>
      <c r="T19" s="665" t="s">
        <v>14</v>
      </c>
      <c r="U19" s="666">
        <f>H19</f>
        <v>100</v>
      </c>
      <c r="V19" s="665" t="s">
        <v>14</v>
      </c>
      <c r="W19" s="666">
        <f>J19</f>
        <v>100</v>
      </c>
      <c r="X19" s="1262"/>
      <c r="Y19" s="3400"/>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398"/>
      <c r="Q20" s="1260"/>
      <c r="R20" s="665"/>
      <c r="S20" s="666"/>
      <c r="T20" s="665"/>
      <c r="U20" s="666"/>
      <c r="V20" s="665"/>
      <c r="W20" s="666"/>
      <c r="X20" s="1262"/>
      <c r="Y20" s="3400"/>
      <c r="Z20" s="1261"/>
      <c r="AA20" s="1261">
        <v>1</v>
      </c>
      <c r="AB20" s="1261">
        <v>1</v>
      </c>
      <c r="AC20" s="1261">
        <v>1</v>
      </c>
    </row>
    <row r="21" spans="1:29" ht="28.5">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8"/>
      <c r="Q21" s="1260" t="str">
        <f>B21</f>
        <v>基础设施水平</v>
      </c>
      <c r="R21" s="665" t="s">
        <v>14</v>
      </c>
      <c r="S21" s="666">
        <f>F21</f>
        <v>100</v>
      </c>
      <c r="T21" s="665" t="s">
        <v>14</v>
      </c>
      <c r="U21" s="666">
        <f>H21</f>
        <v>100</v>
      </c>
      <c r="V21" s="665" t="s">
        <v>14</v>
      </c>
      <c r="W21" s="666">
        <f>J21</f>
        <v>100</v>
      </c>
      <c r="X21" s="1262"/>
      <c r="Y21" s="3400"/>
      <c r="Z21" s="1261" t="str">
        <f>Q21</f>
        <v>基础设施水平</v>
      </c>
      <c r="AA21" s="1261">
        <f t="shared" ref="AA21" si="8">D21/F21</f>
        <v>1</v>
      </c>
      <c r="AB21" s="1261">
        <f t="shared" ref="AB21" si="9">D21/H21</f>
        <v>1</v>
      </c>
      <c r="AC21" s="1261">
        <f t="shared" ref="AC21" si="10">D21/J21</f>
        <v>1</v>
      </c>
    </row>
    <row r="22" spans="1:29" ht="15">
      <c r="A22" s="366"/>
      <c r="B22" s="584"/>
      <c r="C22" s="1752" t="s">
        <v>3475</v>
      </c>
      <c r="D22" s="386"/>
      <c r="E22" s="1752" t="s">
        <v>3475</v>
      </c>
      <c r="F22" s="387"/>
      <c r="G22" s="1752" t="s">
        <v>3475</v>
      </c>
      <c r="H22" s="386"/>
      <c r="I22" s="1752" t="s">
        <v>3475</v>
      </c>
      <c r="J22" s="386"/>
      <c r="K22" s="1061"/>
      <c r="L22" s="2486"/>
      <c r="M22" s="2481"/>
      <c r="N22" s="2481"/>
      <c r="O22" s="2481"/>
      <c r="P22" s="3398"/>
      <c r="Q22" s="1260"/>
      <c r="R22" s="665"/>
      <c r="S22" s="666"/>
      <c r="T22" s="665"/>
      <c r="U22" s="666"/>
      <c r="V22" s="665"/>
      <c r="W22" s="666"/>
      <c r="X22" s="1262"/>
      <c r="Y22" s="3400"/>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8"/>
      <c r="Q23" s="1260" t="str">
        <f>B23</f>
        <v>自然及人文环境</v>
      </c>
      <c r="R23" s="665" t="s">
        <v>14</v>
      </c>
      <c r="S23" s="666">
        <f>F23</f>
        <v>100</v>
      </c>
      <c r="T23" s="665" t="s">
        <v>14</v>
      </c>
      <c r="U23" s="666">
        <f>H23</f>
        <v>100</v>
      </c>
      <c r="V23" s="665" t="s">
        <v>14</v>
      </c>
      <c r="W23" s="666">
        <f>J23</f>
        <v>100</v>
      </c>
      <c r="X23" s="1262"/>
      <c r="Y23" s="3400"/>
      <c r="Z23" s="1261" t="str">
        <f>Q23</f>
        <v>自然及人文环境</v>
      </c>
      <c r="AA23" s="1261">
        <f t="shared" si="3"/>
        <v>1</v>
      </c>
      <c r="AB23" s="1261">
        <f t="shared" si="4"/>
        <v>1</v>
      </c>
      <c r="AC23" s="1261">
        <f t="shared" si="5"/>
        <v>1</v>
      </c>
    </row>
    <row r="24" spans="1:29" ht="15">
      <c r="A24" s="366"/>
      <c r="B24" s="394"/>
      <c r="C24" s="385" t="s">
        <v>3498</v>
      </c>
      <c r="D24" s="386"/>
      <c r="E24" s="385" t="s">
        <v>3498</v>
      </c>
      <c r="F24" s="387"/>
      <c r="G24" s="385" t="s">
        <v>3498</v>
      </c>
      <c r="H24" s="386"/>
      <c r="I24" s="385" t="s">
        <v>3498</v>
      </c>
      <c r="J24" s="386"/>
      <c r="K24" s="540"/>
      <c r="L24" s="2486"/>
      <c r="M24" s="2481"/>
      <c r="N24" s="2481"/>
      <c r="O24" s="2481"/>
      <c r="P24" s="3398"/>
      <c r="Q24" s="1260"/>
      <c r="R24" s="665"/>
      <c r="S24" s="666"/>
      <c r="T24" s="665"/>
      <c r="U24" s="666"/>
      <c r="V24" s="665"/>
      <c r="W24" s="666"/>
      <c r="X24" s="1262"/>
      <c r="Y24" s="3400"/>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8"/>
      <c r="Q25" s="1260" t="str">
        <f t="shared" ref="Q25:Q46" si="11">B25</f>
        <v>临街状况</v>
      </c>
      <c r="R25" s="665" t="s">
        <v>14</v>
      </c>
      <c r="S25" s="666">
        <f>F25</f>
        <v>100</v>
      </c>
      <c r="T25" s="665" t="s">
        <v>14</v>
      </c>
      <c r="U25" s="666">
        <f>H25</f>
        <v>100</v>
      </c>
      <c r="V25" s="665" t="s">
        <v>14</v>
      </c>
      <c r="W25" s="666">
        <f>J25</f>
        <v>100</v>
      </c>
      <c r="X25" s="1262"/>
      <c r="Y25" s="3400"/>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8"/>
      <c r="Q26" s="1260" t="str">
        <f t="shared" si="11"/>
        <v>平面位置/可视性</v>
      </c>
      <c r="R26" s="665" t="s">
        <v>14</v>
      </c>
      <c r="S26" s="666">
        <f>F26</f>
        <v>100</v>
      </c>
      <c r="T26" s="665" t="s">
        <v>14</v>
      </c>
      <c r="U26" s="666">
        <f>H26</f>
        <v>100</v>
      </c>
      <c r="V26" s="665" t="s">
        <v>14</v>
      </c>
      <c r="W26" s="666">
        <f>J26</f>
        <v>100</v>
      </c>
      <c r="X26" s="1262"/>
      <c r="Y26" s="3400"/>
      <c r="Z26" s="1261" t="str">
        <f>Q26</f>
        <v>平面位置/可视性</v>
      </c>
      <c r="AA26" s="1261">
        <f t="shared" si="3"/>
        <v>1</v>
      </c>
      <c r="AB26" s="1261">
        <f t="shared" si="4"/>
        <v>1</v>
      </c>
      <c r="AC26" s="1261">
        <f t="shared" si="5"/>
        <v>1</v>
      </c>
    </row>
    <row r="27" spans="1:29" s="101" customFormat="1" ht="15">
      <c r="A27" s="369"/>
      <c r="B27" s="389" t="s">
        <v>1782</v>
      </c>
      <c r="C27" s="1804" t="s">
        <v>3500</v>
      </c>
      <c r="D27" s="400">
        <v>100</v>
      </c>
      <c r="E27" s="1804" t="s">
        <v>3500</v>
      </c>
      <c r="F27" s="394">
        <f>SUMIF(90:90,E27,91:91)-SUMIF(90:90,C27,91:91)+100</f>
        <v>100</v>
      </c>
      <c r="G27" s="1804" t="s">
        <v>3500</v>
      </c>
      <c r="H27" s="400">
        <f>SUMIF(90:90,G27,91:91)-SUMIF(90:90,C27,91:91)+100</f>
        <v>100</v>
      </c>
      <c r="I27" s="1804" t="s">
        <v>3500</v>
      </c>
      <c r="J27" s="400">
        <f>SUMIF(90:90,I27,91:91)-SUMIF(90:90,C27,91:91)+100</f>
        <v>100</v>
      </c>
      <c r="K27" s="537">
        <v>2</v>
      </c>
      <c r="L27" s="2482"/>
      <c r="M27" s="2435"/>
      <c r="N27" s="2435"/>
      <c r="O27" s="2435"/>
      <c r="P27" s="3398"/>
      <c r="Q27" s="529" t="str">
        <f t="shared" si="11"/>
        <v>人流量</v>
      </c>
      <c r="R27" s="662" t="s">
        <v>14</v>
      </c>
      <c r="S27" s="663">
        <f>F27</f>
        <v>100</v>
      </c>
      <c r="T27" s="662" t="s">
        <v>14</v>
      </c>
      <c r="U27" s="663">
        <f>H27</f>
        <v>100</v>
      </c>
      <c r="V27" s="662" t="s">
        <v>14</v>
      </c>
      <c r="W27" s="663">
        <f>J27</f>
        <v>100</v>
      </c>
      <c r="X27" s="664"/>
      <c r="Y27" s="3400"/>
      <c r="Z27" s="50" t="str">
        <f>Q27</f>
        <v>人流量</v>
      </c>
      <c r="AA27" s="1261">
        <f>D27/F27</f>
        <v>1</v>
      </c>
      <c r="AB27" s="1261">
        <f>D27/H27</f>
        <v>1</v>
      </c>
      <c r="AC27" s="1261">
        <f>D27/J27</f>
        <v>1</v>
      </c>
    </row>
    <row r="28" spans="1:29" ht="15">
      <c r="A28" s="366"/>
      <c r="B28" s="363" t="s">
        <v>1783</v>
      </c>
      <c r="C28" s="541" t="s">
        <v>3515</v>
      </c>
      <c r="D28" s="373">
        <v>100</v>
      </c>
      <c r="E28" s="541" t="s">
        <v>3515</v>
      </c>
      <c r="F28" s="399">
        <f>SUMIF(92:92,E28,93:93)-SUMIF(92:92,C28,93:93)+100</f>
        <v>100</v>
      </c>
      <c r="G28" s="541" t="s">
        <v>3515</v>
      </c>
      <c r="H28" s="373">
        <f>SUMIF(92:92,G28,93:93)-SUMIF(92:92,C28,93:93)+100</f>
        <v>100</v>
      </c>
      <c r="I28" s="541" t="s">
        <v>3515</v>
      </c>
      <c r="J28" s="373">
        <f>SUMIF(92:92,I28,93:93)-SUMIF(92:92,C28,93:93)+100</f>
        <v>100</v>
      </c>
      <c r="K28" s="538"/>
      <c r="L28" s="2486"/>
      <c r="M28" s="2481"/>
      <c r="N28" s="2481"/>
      <c r="O28" s="2481"/>
      <c r="P28" s="3398"/>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0"/>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8"/>
      <c r="Q29" s="1260">
        <f t="shared" si="11"/>
        <v>111</v>
      </c>
      <c r="R29" s="665" t="s">
        <v>14</v>
      </c>
      <c r="S29" s="666">
        <f t="shared" si="12"/>
        <v>100</v>
      </c>
      <c r="T29" s="665" t="s">
        <v>14</v>
      </c>
      <c r="U29" s="666">
        <f t="shared" si="13"/>
        <v>100</v>
      </c>
      <c r="V29" s="665" t="s">
        <v>14</v>
      </c>
      <c r="W29" s="666">
        <f t="shared" si="14"/>
        <v>100</v>
      </c>
      <c r="X29" s="1262"/>
      <c r="Y29" s="3400"/>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8"/>
      <c r="Q30" s="1260">
        <f t="shared" si="11"/>
        <v>111</v>
      </c>
      <c r="R30" s="665" t="s">
        <v>14</v>
      </c>
      <c r="S30" s="666">
        <f t="shared" si="12"/>
        <v>100</v>
      </c>
      <c r="T30" s="665" t="s">
        <v>14</v>
      </c>
      <c r="U30" s="666">
        <f t="shared" si="13"/>
        <v>100</v>
      </c>
      <c r="V30" s="665" t="s">
        <v>14</v>
      </c>
      <c r="W30" s="666">
        <f t="shared" si="14"/>
        <v>100</v>
      </c>
      <c r="X30" s="1262"/>
      <c r="Y30" s="3400"/>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8"/>
      <c r="Q31" s="1260">
        <f t="shared" si="11"/>
        <v>111</v>
      </c>
      <c r="R31" s="665" t="s">
        <v>14</v>
      </c>
      <c r="S31" s="666">
        <f t="shared" si="12"/>
        <v>100</v>
      </c>
      <c r="T31" s="665" t="s">
        <v>14</v>
      </c>
      <c r="U31" s="666">
        <f t="shared" si="13"/>
        <v>100</v>
      </c>
      <c r="V31" s="665" t="s">
        <v>14</v>
      </c>
      <c r="W31" s="666">
        <f t="shared" si="14"/>
        <v>100</v>
      </c>
      <c r="X31" s="1262"/>
      <c r="Y31" s="3400"/>
      <c r="Z31" s="1261">
        <f t="shared" si="15"/>
        <v>111</v>
      </c>
      <c r="AA31" s="1261">
        <f t="shared" si="3"/>
        <v>1</v>
      </c>
      <c r="AB31" s="1261">
        <f t="shared" si="4"/>
        <v>1</v>
      </c>
      <c r="AC31" s="1261">
        <f t="shared" si="5"/>
        <v>1</v>
      </c>
    </row>
    <row r="32" spans="1:29" ht="15">
      <c r="A32" s="378" t="s">
        <v>1694</v>
      </c>
      <c r="B32" s="60" t="s">
        <v>1784</v>
      </c>
      <c r="C32" s="1761" t="s">
        <v>3497</v>
      </c>
      <c r="D32" s="404">
        <v>100</v>
      </c>
      <c r="E32" s="1761" t="s">
        <v>3523</v>
      </c>
      <c r="F32" s="399">
        <f>SUMIF(100:100,E32,101:101)-SUMIF(100:100,C32,101:101)+100</f>
        <v>98</v>
      </c>
      <c r="G32" s="1761" t="s">
        <v>3497</v>
      </c>
      <c r="H32" s="373">
        <f>SUMIF(100:100,G32,101:101)-SUMIF(100:100,C32,101:101)+100</f>
        <v>100</v>
      </c>
      <c r="I32" s="1761" t="s">
        <v>3497</v>
      </c>
      <c r="J32" s="404">
        <f>SUMIF(100:100,I32,101:101)-SUMIF(100:100,C32,101:101)+100</f>
        <v>100</v>
      </c>
      <c r="K32" s="537">
        <v>2</v>
      </c>
      <c r="L32" s="2486"/>
      <c r="M32" s="2481"/>
      <c r="N32" s="2481"/>
      <c r="O32" s="2481"/>
      <c r="P32" s="3401" t="s">
        <v>1696</v>
      </c>
      <c r="Q32" s="1260" t="str">
        <f t="shared" si="11"/>
        <v>商业类型</v>
      </c>
      <c r="R32" s="665" t="s">
        <v>14</v>
      </c>
      <c r="S32" s="666">
        <f t="shared" si="12"/>
        <v>98</v>
      </c>
      <c r="T32" s="665" t="s">
        <v>14</v>
      </c>
      <c r="U32" s="666">
        <f t="shared" si="13"/>
        <v>100</v>
      </c>
      <c r="V32" s="665" t="s">
        <v>14</v>
      </c>
      <c r="W32" s="666">
        <f t="shared" si="14"/>
        <v>100</v>
      </c>
      <c r="X32" s="1262"/>
      <c r="Y32" s="3404"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1382.5</v>
      </c>
      <c r="D33" s="118">
        <v>100</v>
      </c>
      <c r="E33" s="406">
        <v>95</v>
      </c>
      <c r="F33" s="363">
        <f>LOOKUP(E33,103:103,104:104)-LOOKUP(C33,103:103,104:104)+100</f>
        <v>108</v>
      </c>
      <c r="G33" s="406">
        <v>150</v>
      </c>
      <c r="H33" s="118">
        <f>LOOKUP(G33,103:103,104:104)-LOOKUP(C33,103:103,104:104)+100</f>
        <v>106</v>
      </c>
      <c r="I33" s="406">
        <v>65</v>
      </c>
      <c r="J33" s="118">
        <f>LOOKUP(I33,103:103,104:104)-LOOKUP(C33,103:103,104:104)+100</f>
        <v>108</v>
      </c>
      <c r="K33" s="538"/>
      <c r="L33" s="2485"/>
      <c r="M33" s="2487"/>
      <c r="N33" s="2487"/>
      <c r="O33" s="2487"/>
      <c r="P33" s="3402"/>
      <c r="Q33" s="530" t="str">
        <f t="shared" si="11"/>
        <v>项目建筑规模</v>
      </c>
      <c r="R33" s="667" t="s">
        <v>14</v>
      </c>
      <c r="S33" s="668">
        <f t="shared" si="12"/>
        <v>108</v>
      </c>
      <c r="T33" s="667" t="s">
        <v>14</v>
      </c>
      <c r="U33" s="668">
        <f t="shared" si="13"/>
        <v>106</v>
      </c>
      <c r="V33" s="667" t="s">
        <v>14</v>
      </c>
      <c r="W33" s="668">
        <f t="shared" si="14"/>
        <v>108</v>
      </c>
      <c r="X33" s="669"/>
      <c r="Y33" s="3404"/>
      <c r="Z33" s="670" t="str">
        <f t="shared" si="15"/>
        <v>项目建筑规模</v>
      </c>
      <c r="AA33" s="1261">
        <f t="shared" si="3"/>
        <v>0.92592592592592593</v>
      </c>
      <c r="AB33" s="1261">
        <f t="shared" si="4"/>
        <v>0.94339622641509435</v>
      </c>
      <c r="AC33" s="1261">
        <f t="shared" si="5"/>
        <v>0.92592592592592593</v>
      </c>
    </row>
    <row r="34" spans="1:29" ht="15">
      <c r="A34" s="408"/>
      <c r="B34" s="363" t="s">
        <v>1698</v>
      </c>
      <c r="C34" s="398" t="s">
        <v>3474</v>
      </c>
      <c r="D34" s="373">
        <v>100</v>
      </c>
      <c r="E34" s="398" t="s">
        <v>3474</v>
      </c>
      <c r="F34" s="399">
        <f>SUMIF(105:105,E34,106:106)-SUMIF(105:105,C34,106:106)+100</f>
        <v>100</v>
      </c>
      <c r="G34" s="398" t="s">
        <v>3474</v>
      </c>
      <c r="H34" s="373">
        <f>SUMIF(105:105,G34,106:106)-SUMIF(105:105,C34,106:106)+100</f>
        <v>100</v>
      </c>
      <c r="I34" s="398" t="s">
        <v>3474</v>
      </c>
      <c r="J34" s="373">
        <f>SUMIF(105:105,I34,106:106)-SUMIF(105:105,C34,106:106)+100</f>
        <v>100</v>
      </c>
      <c r="K34" s="537">
        <v>2</v>
      </c>
      <c r="L34" s="2486"/>
      <c r="M34" s="2481"/>
      <c r="N34" s="2481"/>
      <c r="O34" s="2481"/>
      <c r="P34" s="3402"/>
      <c r="Q34" s="1260" t="str">
        <f t="shared" si="11"/>
        <v>建筑结构</v>
      </c>
      <c r="R34" s="665" t="s">
        <v>14</v>
      </c>
      <c r="S34" s="666">
        <f t="shared" si="12"/>
        <v>100</v>
      </c>
      <c r="T34" s="665" t="s">
        <v>14</v>
      </c>
      <c r="U34" s="666">
        <f t="shared" si="13"/>
        <v>100</v>
      </c>
      <c r="V34" s="665" t="s">
        <v>14</v>
      </c>
      <c r="W34" s="666">
        <f t="shared" si="14"/>
        <v>100</v>
      </c>
      <c r="X34" s="1262"/>
      <c r="Y34" s="3404"/>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2"/>
      <c r="Q35" s="1260" t="str">
        <f t="shared" si="11"/>
        <v>公共部分装修</v>
      </c>
      <c r="R35" s="665" t="s">
        <v>14</v>
      </c>
      <c r="S35" s="666">
        <f t="shared" si="12"/>
        <v>100</v>
      </c>
      <c r="T35" s="665" t="s">
        <v>14</v>
      </c>
      <c r="U35" s="666">
        <f t="shared" si="13"/>
        <v>100</v>
      </c>
      <c r="V35" s="665" t="s">
        <v>14</v>
      </c>
      <c r="W35" s="666">
        <f t="shared" si="14"/>
        <v>100</v>
      </c>
      <c r="X35" s="1262"/>
      <c r="Y35" s="3404"/>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02"/>
      <c r="Q36" s="1260" t="str">
        <f t="shared" si="11"/>
        <v>成新度</v>
      </c>
      <c r="R36" s="665" t="s">
        <v>14</v>
      </c>
      <c r="S36" s="666">
        <f t="shared" si="12"/>
        <v>100</v>
      </c>
      <c r="T36" s="665" t="s">
        <v>14</v>
      </c>
      <c r="U36" s="666">
        <f t="shared" si="13"/>
        <v>100</v>
      </c>
      <c r="V36" s="665" t="s">
        <v>14</v>
      </c>
      <c r="W36" s="666">
        <f t="shared" si="14"/>
        <v>100</v>
      </c>
      <c r="X36" s="1262"/>
      <c r="Y36" s="3404"/>
      <c r="Z36" s="1261" t="str">
        <f t="shared" si="15"/>
        <v>成新度</v>
      </c>
      <c r="AA36" s="1261">
        <f t="shared" si="3"/>
        <v>1</v>
      </c>
      <c r="AB36" s="1261">
        <f t="shared" si="4"/>
        <v>1</v>
      </c>
      <c r="AC36" s="1261">
        <f t="shared" si="5"/>
        <v>1</v>
      </c>
    </row>
    <row r="37" spans="1:29" s="101" customFormat="1" ht="15">
      <c r="A37" s="409"/>
      <c r="B37" s="363" t="s">
        <v>1787</v>
      </c>
      <c r="C37" s="1757" t="s">
        <v>3477</v>
      </c>
      <c r="D37" s="118">
        <v>100</v>
      </c>
      <c r="E37" s="1757" t="s">
        <v>3477</v>
      </c>
      <c r="F37" s="399">
        <f>SUMIF(112:112,E37,113:113)-SUMIF(112:112,C37,113:113)+100</f>
        <v>100</v>
      </c>
      <c r="G37" s="1757" t="s">
        <v>3477</v>
      </c>
      <c r="H37" s="373">
        <f>SUMIF(112:112,G37,113:113)-SUMIF(112:112,C37,113:113)+100</f>
        <v>100</v>
      </c>
      <c r="I37" s="1757" t="s">
        <v>3477</v>
      </c>
      <c r="J37" s="373">
        <f>SUMIF(112:112,I37,113:113)-SUMIF(112:112,C37,113:113)+100</f>
        <v>100</v>
      </c>
      <c r="K37" s="537">
        <v>1</v>
      </c>
      <c r="L37" s="2482"/>
      <c r="M37" s="2435"/>
      <c r="N37" s="2435"/>
      <c r="O37" s="2435"/>
      <c r="P37" s="3402"/>
      <c r="Q37" s="529"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8"/>
      <c r="B38" s="363" t="s">
        <v>1788</v>
      </c>
      <c r="C38" s="1757" t="s">
        <v>3488</v>
      </c>
      <c r="D38" s="373">
        <v>100</v>
      </c>
      <c r="E38" s="1757" t="s">
        <v>3488</v>
      </c>
      <c r="F38" s="399">
        <f>SUMIF(114:114,E38,115:115)-SUMIF(114:114,C38,115:115)+100</f>
        <v>100</v>
      </c>
      <c r="G38" s="1757" t="s">
        <v>3488</v>
      </c>
      <c r="H38" s="373">
        <f>SUMIF(114:114,G38,115:115)-SUMIF(114:114,C38,115:115)+100</f>
        <v>100</v>
      </c>
      <c r="I38" s="1757" t="s">
        <v>3488</v>
      </c>
      <c r="J38" s="373">
        <f>SUMIF(114:114,I38,115:115)-SUMIF(114:114,C38,115:115)+100</f>
        <v>100</v>
      </c>
      <c r="K38" s="537">
        <v>2</v>
      </c>
      <c r="L38" s="2486"/>
      <c r="M38" s="2481"/>
      <c r="N38" s="2481"/>
      <c r="O38" s="2481"/>
      <c r="P38" s="3402" t="s">
        <v>1696</v>
      </c>
      <c r="Q38" s="1260" t="str">
        <f t="shared" si="11"/>
        <v>业态</v>
      </c>
      <c r="R38" s="665" t="s">
        <v>14</v>
      </c>
      <c r="S38" s="666">
        <f t="shared" si="12"/>
        <v>100</v>
      </c>
      <c r="T38" s="665" t="s">
        <v>14</v>
      </c>
      <c r="U38" s="666">
        <f t="shared" si="13"/>
        <v>100</v>
      </c>
      <c r="V38" s="665" t="s">
        <v>14</v>
      </c>
      <c r="W38" s="666">
        <f t="shared" si="14"/>
        <v>100</v>
      </c>
      <c r="X38" s="1262"/>
      <c r="Y38" s="3404" t="s">
        <v>1696</v>
      </c>
      <c r="Z38" s="1261" t="str">
        <f t="shared" si="15"/>
        <v>业态</v>
      </c>
      <c r="AA38" s="1261">
        <f t="shared" si="3"/>
        <v>1</v>
      </c>
      <c r="AB38" s="1261">
        <f t="shared" si="4"/>
        <v>1</v>
      </c>
      <c r="AC38" s="1261">
        <f t="shared" si="5"/>
        <v>1</v>
      </c>
    </row>
    <row r="39" spans="1:29" ht="15">
      <c r="A39" s="408"/>
      <c r="B39" s="363" t="s">
        <v>1789</v>
      </c>
      <c r="C39" s="1757" t="s">
        <v>3501</v>
      </c>
      <c r="D39" s="373">
        <v>100</v>
      </c>
      <c r="E39" s="1757" t="s">
        <v>3501</v>
      </c>
      <c r="F39" s="399">
        <f>SUMIF(116:116,E39,117:117)-SUMIF(116:116,C39,117:117)+100</f>
        <v>100</v>
      </c>
      <c r="G39" s="1757" t="s">
        <v>3501</v>
      </c>
      <c r="H39" s="373">
        <f>SUMIF(116:116,G39,117:117)-SUMIF(116:116,C39,117:117)+100</f>
        <v>100</v>
      </c>
      <c r="I39" s="1757" t="s">
        <v>3501</v>
      </c>
      <c r="J39" s="373">
        <f>SUMIF(116:116,I39,117:117)-SUMIF(116:116,C39,117:117)+100</f>
        <v>100</v>
      </c>
      <c r="K39" s="537">
        <v>3</v>
      </c>
      <c r="L39" s="2486"/>
      <c r="M39" s="2481"/>
      <c r="N39" s="2481"/>
      <c r="O39" s="2481"/>
      <c r="P39" s="3402"/>
      <c r="Q39" s="1260" t="str">
        <f t="shared" si="11"/>
        <v>层高</v>
      </c>
      <c r="R39" s="665" t="s">
        <v>14</v>
      </c>
      <c r="S39" s="666">
        <f t="shared" si="12"/>
        <v>100</v>
      </c>
      <c r="T39" s="665" t="s">
        <v>14</v>
      </c>
      <c r="U39" s="666">
        <f t="shared" si="13"/>
        <v>100</v>
      </c>
      <c r="V39" s="665" t="s">
        <v>14</v>
      </c>
      <c r="W39" s="666">
        <f t="shared" si="14"/>
        <v>100</v>
      </c>
      <c r="X39" s="1262"/>
      <c r="Y39" s="340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2"/>
      <c r="Q40" s="1260" t="str">
        <f t="shared" si="11"/>
        <v>单套建筑面积</v>
      </c>
      <c r="R40" s="665" t="s">
        <v>14</v>
      </c>
      <c r="S40" s="666">
        <f t="shared" si="12"/>
        <v>100</v>
      </c>
      <c r="T40" s="665" t="s">
        <v>14</v>
      </c>
      <c r="U40" s="666">
        <f t="shared" si="13"/>
        <v>100</v>
      </c>
      <c r="V40" s="665" t="s">
        <v>14</v>
      </c>
      <c r="W40" s="666">
        <f t="shared" si="14"/>
        <v>100</v>
      </c>
      <c r="X40" s="1262"/>
      <c r="Y40" s="340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2"/>
      <c r="Q41" s="530"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1">
        <f t="shared" si="3"/>
        <v>1</v>
      </c>
      <c r="AB41" s="1261">
        <f t="shared" si="4"/>
        <v>1</v>
      </c>
      <c r="AC41" s="1261">
        <f t="shared" si="5"/>
        <v>1</v>
      </c>
    </row>
    <row r="42" spans="1:29" ht="15">
      <c r="A42" s="408"/>
      <c r="B42" s="363" t="s">
        <v>1792</v>
      </c>
      <c r="C42" s="1757" t="s">
        <v>3489</v>
      </c>
      <c r="D42" s="373">
        <v>100</v>
      </c>
      <c r="E42" s="1757" t="s">
        <v>3521</v>
      </c>
      <c r="F42" s="399">
        <f>SUMIF(122:122,E42,123:123)-SUMIF(122:122,C42,123:123)+100</f>
        <v>99</v>
      </c>
      <c r="G42" s="1757" t="s">
        <v>3489</v>
      </c>
      <c r="H42" s="373">
        <f>SUMIF(122:122,G42,123:123)-SUMIF(122:122,C42,123:123)+100</f>
        <v>100</v>
      </c>
      <c r="I42" s="1757" t="s">
        <v>3521</v>
      </c>
      <c r="J42" s="373">
        <f>SUMIF(122:122,I42,123:123)-SUMIF(122:122,C42,123:123)+100</f>
        <v>99</v>
      </c>
      <c r="K42" s="537">
        <v>1</v>
      </c>
      <c r="L42" s="2486"/>
      <c r="M42" s="2481"/>
      <c r="N42" s="2481"/>
      <c r="O42" s="2481"/>
      <c r="P42" s="3402"/>
      <c r="Q42" s="1260" t="str">
        <f t="shared" si="11"/>
        <v>内部装修</v>
      </c>
      <c r="R42" s="665" t="s">
        <v>14</v>
      </c>
      <c r="S42" s="666">
        <f t="shared" si="12"/>
        <v>99</v>
      </c>
      <c r="T42" s="665" t="s">
        <v>14</v>
      </c>
      <c r="U42" s="666">
        <f t="shared" si="13"/>
        <v>100</v>
      </c>
      <c r="V42" s="665" t="s">
        <v>14</v>
      </c>
      <c r="W42" s="666">
        <f t="shared" si="14"/>
        <v>99</v>
      </c>
      <c r="X42" s="1262"/>
      <c r="Y42" s="3404"/>
      <c r="Z42" s="1261" t="str">
        <f t="shared" si="15"/>
        <v>内部装修</v>
      </c>
      <c r="AA42" s="1261">
        <f t="shared" si="3"/>
        <v>1.0101010101010102</v>
      </c>
      <c r="AB42" s="1261">
        <f t="shared" si="4"/>
        <v>1</v>
      </c>
      <c r="AC42" s="1261">
        <f t="shared" si="5"/>
        <v>1.0101010101010102</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2"/>
      <c r="Q43" s="1260" t="str">
        <f t="shared" si="11"/>
        <v>内部装修维护情况</v>
      </c>
      <c r="R43" s="665" t="s">
        <v>14</v>
      </c>
      <c r="S43" s="666">
        <f t="shared" si="12"/>
        <v>100</v>
      </c>
      <c r="T43" s="665" t="s">
        <v>14</v>
      </c>
      <c r="U43" s="666">
        <f t="shared" si="13"/>
        <v>100</v>
      </c>
      <c r="V43" s="665" t="s">
        <v>14</v>
      </c>
      <c r="W43" s="666">
        <f t="shared" si="14"/>
        <v>100</v>
      </c>
      <c r="X43" s="1262"/>
      <c r="Y43" s="3404"/>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2"/>
      <c r="Q44" s="529">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2"/>
      <c r="Q45" s="1260">
        <f t="shared" si="11"/>
        <v>111</v>
      </c>
      <c r="R45" s="665" t="s">
        <v>14</v>
      </c>
      <c r="S45" s="666">
        <f t="shared" si="12"/>
        <v>100</v>
      </c>
      <c r="T45" s="665" t="s">
        <v>14</v>
      </c>
      <c r="U45" s="666">
        <f t="shared" si="13"/>
        <v>100</v>
      </c>
      <c r="V45" s="665" t="s">
        <v>14</v>
      </c>
      <c r="W45" s="666">
        <f t="shared" si="14"/>
        <v>100</v>
      </c>
      <c r="X45" s="1262"/>
      <c r="Y45" s="3404"/>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3"/>
      <c r="Q46" s="1260">
        <f t="shared" si="11"/>
        <v>111</v>
      </c>
      <c r="R46" s="665" t="s">
        <v>14</v>
      </c>
      <c r="S46" s="666">
        <f t="shared" si="12"/>
        <v>100</v>
      </c>
      <c r="T46" s="665" t="s">
        <v>14</v>
      </c>
      <c r="U46" s="666">
        <f t="shared" si="13"/>
        <v>100</v>
      </c>
      <c r="V46" s="665" t="s">
        <v>14</v>
      </c>
      <c r="W46" s="666">
        <f t="shared" si="14"/>
        <v>100</v>
      </c>
      <c r="X46" s="1262"/>
      <c r="Y46" s="3405"/>
      <c r="Z46" s="1261">
        <f t="shared" si="15"/>
        <v>111</v>
      </c>
      <c r="AA46" s="1261">
        <f t="shared" si="3"/>
        <v>1</v>
      </c>
      <c r="AB46" s="1261">
        <f t="shared" si="4"/>
        <v>1</v>
      </c>
      <c r="AC46" s="1261">
        <f t="shared" si="5"/>
        <v>1</v>
      </c>
    </row>
    <row r="47" spans="1:29" ht="15">
      <c r="A47" s="415" t="s">
        <v>1708</v>
      </c>
      <c r="B47" s="416"/>
      <c r="C47" s="1078" t="s">
        <v>0</v>
      </c>
      <c r="D47" s="417"/>
      <c r="E47" s="418">
        <f>ROUND(E50/Q90*Q95,1)</f>
        <v>2.5</v>
      </c>
      <c r="F47" s="419"/>
      <c r="G47" s="418">
        <f>ROUND(G50/Q90*Q95,1)</f>
        <v>2.7</v>
      </c>
      <c r="H47" s="421"/>
      <c r="I47" s="418">
        <f>ROUND(I50/Q90*Q95,1)</f>
        <v>2.4</v>
      </c>
      <c r="J47" s="421"/>
      <c r="K47" s="672"/>
      <c r="L47" s="3183" t="s">
        <v>3512</v>
      </c>
      <c r="M47" s="2481"/>
      <c r="N47" s="2481"/>
      <c r="O47" s="2481"/>
      <c r="P47" s="3392" t="str">
        <f>A47</f>
        <v>成交单价（元/平方米）</v>
      </c>
      <c r="Q47" s="3392"/>
      <c r="R47" s="3393">
        <f>E47</f>
        <v>2.5</v>
      </c>
      <c r="S47" s="3393"/>
      <c r="T47" s="3393">
        <f>G47</f>
        <v>2.7</v>
      </c>
      <c r="U47" s="3393"/>
      <c r="V47" s="3393">
        <f>I47</f>
        <v>2.4</v>
      </c>
      <c r="W47" s="3393"/>
      <c r="X47" s="384"/>
      <c r="Y47" s="671"/>
      <c r="Z47" s="384"/>
      <c r="AA47" s="384"/>
      <c r="AB47" s="384"/>
      <c r="AC47" s="384"/>
    </row>
    <row r="48" spans="1:29" ht="15.75" thickBot="1">
      <c r="A48" s="422" t="s">
        <v>1709</v>
      </c>
      <c r="B48" s="423"/>
      <c r="C48" s="1079">
        <f>R49</f>
        <v>2.4</v>
      </c>
      <c r="D48" s="2138" t="s">
        <v>2138</v>
      </c>
      <c r="E48" s="1080">
        <f>R48</f>
        <v>2.4</v>
      </c>
      <c r="F48" s="2139"/>
      <c r="G48" s="1079">
        <f>T48</f>
        <v>2.5</v>
      </c>
      <c r="H48" s="2139"/>
      <c r="I48" s="1080">
        <f>V48</f>
        <v>2.2000000000000002</v>
      </c>
      <c r="J48" s="2139"/>
      <c r="K48" s="2141">
        <f>F48+H48+J48</f>
        <v>0</v>
      </c>
      <c r="L48" s="2488"/>
      <c r="M48" s="2481"/>
      <c r="N48" s="2481"/>
      <c r="O48" s="2481"/>
      <c r="P48" s="3392" t="str">
        <f>A48</f>
        <v>比较价值（元/平方米）</v>
      </c>
      <c r="Q48" s="3392"/>
      <c r="R48" s="3393">
        <f>IF(F1="售价",ROUND(PRODUCT(R47,AA7:AA46),0),ROUND(PRODUCT(R47,AA7:AA46),1))</f>
        <v>2.4</v>
      </c>
      <c r="S48" s="3393"/>
      <c r="T48" s="3393">
        <f>IF(F1="售价",ROUND(PRODUCT(T47,AB7:AB46),0),ROUND(PRODUCT(T47,AB7:AB46),1))</f>
        <v>2.5</v>
      </c>
      <c r="U48" s="3393"/>
      <c r="V48" s="3393">
        <f>IF(F1="售价",ROUND(PRODUCT(V47,AC7:AC46),0),ROUND(PRODUCT(V47,AC7:AC46),1))</f>
        <v>2.2000000000000002</v>
      </c>
      <c r="W48" s="3393"/>
      <c r="X48" s="384"/>
      <c r="Y48" s="384"/>
      <c r="Z48" s="384"/>
      <c r="AA48" s="384"/>
      <c r="AB48" s="384"/>
      <c r="AC48" s="384"/>
    </row>
    <row r="49" spans="1:29" ht="15.75" thickBot="1">
      <c r="A49" s="426" t="s">
        <v>1710</v>
      </c>
      <c r="B49" s="427"/>
      <c r="C49" s="350">
        <f>R49</f>
        <v>2.4</v>
      </c>
      <c r="D49" s="350"/>
      <c r="E49" s="350"/>
      <c r="F49" s="350"/>
      <c r="G49" s="350"/>
      <c r="H49" s="350"/>
      <c r="I49" s="350"/>
      <c r="J49" s="350"/>
      <c r="K49" s="673"/>
      <c r="L49" s="2488"/>
      <c r="M49" s="2481"/>
      <c r="N49" s="2481"/>
      <c r="O49" s="2481"/>
      <c r="P49" s="3394" t="str">
        <f>A49</f>
        <v>估价对象XX用房的比较价值（楼面单价，元/平方米）</v>
      </c>
      <c r="Q49" s="3395"/>
      <c r="R49" s="3396">
        <f>IF(F1="售价",ROUND(IF(D48="简单平均",AVERAGE(R48:V48),R48*F48+T48*H48+V48*J48),0),ROUND(IF(D48="简单平均",AVERAGE(R48:V48),R48*F48+T48*H48+V48*J48),1))</f>
        <v>2.4</v>
      </c>
      <c r="S49" s="3396"/>
      <c r="T49" s="3396"/>
      <c r="U49" s="3396"/>
      <c r="V49" s="3396"/>
      <c r="W49" s="3396"/>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t="s">
        <v>3513</v>
      </c>
      <c r="F51" s="2481"/>
      <c r="G51" s="2481" t="s">
        <v>3513</v>
      </c>
      <c r="H51" s="2481"/>
      <c r="I51" s="2481" t="s">
        <v>3513</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4.1666666666666741E-2</v>
      </c>
      <c r="F52" s="434" t="str">
        <f>IF(OR(E52&gt;=0.3,E52&lt;=-0.3),"超过30%","")</f>
        <v/>
      </c>
      <c r="G52" s="433">
        <f>IF(G47&lt;G48,G48/G47-1,G47/G48-1)</f>
        <v>8.0000000000000071E-2</v>
      </c>
      <c r="H52" s="434" t="str">
        <f>IF(OR(G52&gt;=0.3,G52&lt;=-0.3),"超过30%","")</f>
        <v/>
      </c>
      <c r="I52" s="433">
        <f>IF(I47&lt;I48,I48/I47-1,I47/I48-1)</f>
        <v>9.0909090909090828E-2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4.1666666666666741E-2</v>
      </c>
      <c r="F53" s="434" t="str">
        <f>IF(OR(E53&gt;=0.2,E53&lt;=-0.2),"超过20%","")</f>
        <v/>
      </c>
      <c r="G53" s="433">
        <f>IF(G48&lt;I48,I48/G48-1,G48/I48-1)</f>
        <v>0.13636363636363624</v>
      </c>
      <c r="H53" s="434" t="str">
        <f>IF(OR(G53&gt;=0.2,G53&lt;=-0.2),"超过20%","")</f>
        <v/>
      </c>
      <c r="I53" s="433">
        <f>IF(I48&lt;E48,E48/I48-1,I48/E48-1)</f>
        <v>9.0909090909090828E-2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5">
      <c r="A61" s="454" t="s">
        <v>1681</v>
      </c>
      <c r="B61" s="443"/>
      <c r="C61" s="455" t="s">
        <v>1718</v>
      </c>
      <c r="D61" s="3184" t="s">
        <v>3520</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5.75"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3175" t="s">
        <v>3502</v>
      </c>
      <c r="D65" s="3175" t="s">
        <v>3503</v>
      </c>
      <c r="E65" s="3175" t="s">
        <v>3504</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171" t="s">
        <v>3460</v>
      </c>
      <c r="D86" s="3171" t="s">
        <v>3461</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5.75"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75" thickTop="1">
      <c r="A90" s="483"/>
      <c r="B90" s="468" t="str">
        <f>B27</f>
        <v>人流量</v>
      </c>
      <c r="C90" s="3171" t="s">
        <v>3462</v>
      </c>
      <c r="D90" s="3171" t="s">
        <v>3463</v>
      </c>
      <c r="E90" s="3171" t="s">
        <v>3464</v>
      </c>
      <c r="F90" s="484"/>
      <c r="G90" s="484"/>
      <c r="H90" s="485"/>
      <c r="I90" s="485"/>
      <c r="J90" s="485"/>
      <c r="K90" s="485"/>
      <c r="L90" s="486"/>
      <c r="M90" s="487"/>
      <c r="N90" s="2517" t="s">
        <v>3468</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3469</v>
      </c>
      <c r="O91" s="2515">
        <v>70</v>
      </c>
      <c r="P91" s="2507"/>
      <c r="Q91" s="2509"/>
      <c r="R91" s="2487"/>
      <c r="S91" s="2487"/>
      <c r="T91" s="2487"/>
      <c r="U91" s="2487"/>
      <c r="V91" s="2487"/>
      <c r="W91" s="2487"/>
      <c r="X91" s="2487"/>
      <c r="Y91" s="2487"/>
      <c r="Z91" s="2487"/>
      <c r="AA91" s="2487"/>
      <c r="AB91" s="2487"/>
      <c r="AC91" s="2487"/>
    </row>
    <row r="92" spans="1:29" ht="15.75" thickTop="1">
      <c r="A92" s="366"/>
      <c r="B92" s="468" t="str">
        <f>B28</f>
        <v>楼层</v>
      </c>
      <c r="C92" s="484" t="s">
        <v>3465</v>
      </c>
      <c r="D92" s="484" t="s">
        <v>3450</v>
      </c>
      <c r="E92" s="484" t="s">
        <v>3467</v>
      </c>
      <c r="F92" s="484" t="s">
        <v>3514</v>
      </c>
      <c r="G92" s="484"/>
      <c r="H92" s="484"/>
      <c r="I92" s="484"/>
      <c r="J92" s="484"/>
      <c r="K92" s="484"/>
      <c r="L92" s="509"/>
      <c r="M92" s="510"/>
      <c r="N92" s="2516" t="s">
        <v>3470</v>
      </c>
      <c r="O92" s="2516">
        <f>(O90+O91)/2</f>
        <v>85</v>
      </c>
      <c r="P92" s="2507">
        <v>100</v>
      </c>
      <c r="Q92" s="2502"/>
      <c r="R92" s="2481"/>
      <c r="S92" s="2481"/>
      <c r="T92" s="2481"/>
      <c r="U92" s="2481"/>
      <c r="V92" s="2481"/>
      <c r="W92" s="2481"/>
      <c r="X92" s="2481"/>
      <c r="Y92" s="2481"/>
      <c r="Z92" s="2481"/>
      <c r="AA92" s="2481"/>
      <c r="AB92" s="2481"/>
      <c r="AC92" s="2481"/>
    </row>
    <row r="93" spans="1:29" ht="15.75" thickBot="1">
      <c r="A93" s="366"/>
      <c r="B93" s="473"/>
      <c r="C93" s="466">
        <f>Q90</f>
        <v>138</v>
      </c>
      <c r="D93" s="466"/>
      <c r="E93" s="466"/>
      <c r="F93" s="466">
        <v>100</v>
      </c>
      <c r="G93" s="466"/>
      <c r="H93" s="466"/>
      <c r="I93" s="466"/>
      <c r="J93" s="466"/>
      <c r="K93" s="466"/>
      <c r="L93" s="466"/>
      <c r="M93" s="467"/>
      <c r="N93" s="2516" t="s">
        <v>3509</v>
      </c>
      <c r="O93" s="2516">
        <v>60</v>
      </c>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t="s">
        <v>3510</v>
      </c>
      <c r="O94" s="2515">
        <v>60</v>
      </c>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t="s">
        <v>3511</v>
      </c>
      <c r="O95" s="2516">
        <f>(O90+O91+O93+O94)/4</f>
        <v>72.5</v>
      </c>
      <c r="P95" s="2507"/>
      <c r="Q95" s="3181">
        <v>100</v>
      </c>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172" t="s">
        <v>2773</v>
      </c>
      <c r="D100" s="3172" t="s">
        <v>3471</v>
      </c>
      <c r="E100" s="3172" t="s">
        <v>3472</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3473</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3475</v>
      </c>
      <c r="D112" s="484" t="s">
        <v>3476</v>
      </c>
      <c r="E112" s="484" t="s">
        <v>3477</v>
      </c>
      <c r="F112" s="484" t="s">
        <v>3478</v>
      </c>
      <c r="G112" s="484" t="s">
        <v>3479</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3480</v>
      </c>
      <c r="D114" s="3171" t="s">
        <v>3481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3486</v>
      </c>
      <c r="D116" s="3171" t="s">
        <v>3487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3482</v>
      </c>
      <c r="D122" s="3171" t="s">
        <v>3483</v>
      </c>
      <c r="E122" s="3171" t="s">
        <v>3484</v>
      </c>
      <c r="F122" s="3173" t="s">
        <v>3485</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6">
        <f ca="1">J53</f>
        <v>12</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932.14120000000003</v>
      </c>
      <c r="C2" s="1286" t="s">
        <v>879</v>
      </c>
      <c r="D2" s="1372">
        <f ca="1">C40+J29+L46</f>
        <v>9321412</v>
      </c>
      <c r="E2" s="1292" t="s">
        <v>880</v>
      </c>
      <c r="F2" s="1293"/>
      <c r="G2" s="2472"/>
      <c r="H2" s="2462"/>
      <c r="I2" s="2462"/>
      <c r="J2" s="2462"/>
      <c r="K2" s="2463"/>
      <c r="L2" s="2462"/>
      <c r="M2" s="2462"/>
    </row>
    <row r="3" spans="1:37" ht="18" customHeight="1" thickBot="1">
      <c r="A3" s="1294" t="s">
        <v>881</v>
      </c>
      <c r="B3" s="1295">
        <f ca="1">IF(ISERROR(D2/F43),0,ROUND(D2/F43,0))</f>
        <v>6742</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1091325</v>
      </c>
      <c r="D5" s="1270" t="s">
        <v>889</v>
      </c>
      <c r="E5" s="1005"/>
      <c r="F5" s="1006"/>
      <c r="G5" s="1289"/>
      <c r="H5" s="290">
        <v>1</v>
      </c>
      <c r="I5" s="291" t="s">
        <v>888</v>
      </c>
      <c r="J5" s="1004">
        <f ca="1">J6+J10+J12</f>
        <v>0</v>
      </c>
      <c r="K5" s="1270" t="s">
        <v>889</v>
      </c>
      <c r="L5" s="1005"/>
      <c r="M5" s="1006"/>
    </row>
    <row r="6" spans="1:37" ht="18" customHeight="1">
      <c r="A6" s="1003" t="s">
        <v>398</v>
      </c>
      <c r="B6" s="3438" t="s">
        <v>694</v>
      </c>
      <c r="C6" s="1008">
        <f ca="1">ROUND(F6*F8*F7*(1-F9),0)</f>
        <v>1089963</v>
      </c>
      <c r="D6" s="146" t="s">
        <v>2106</v>
      </c>
      <c r="E6" s="293" t="s">
        <v>696</v>
      </c>
      <c r="F6" s="294">
        <f ca="1">INDIRECT("'数据-取费表'!u"&amp;$G$1)</f>
        <v>2.4</v>
      </c>
      <c r="G6" s="1289"/>
      <c r="H6" s="1003" t="s">
        <v>398</v>
      </c>
      <c r="I6" s="3438" t="s">
        <v>694</v>
      </c>
      <c r="J6" s="292">
        <f ca="1">ROUND(M6*M8*M7*(1-M9),0)</f>
        <v>0</v>
      </c>
      <c r="K6" s="1281" t="s">
        <v>2107</v>
      </c>
      <c r="L6" s="293" t="s">
        <v>696</v>
      </c>
      <c r="M6" s="294">
        <f ca="1">INDIRECT("'数据-取费表'!z"&amp;$G$1)</f>
        <v>0</v>
      </c>
    </row>
    <row r="7" spans="1:37" ht="18" customHeight="1">
      <c r="A7" s="1007"/>
      <c r="B7" s="3439"/>
      <c r="C7" s="1009"/>
      <c r="D7" s="298"/>
      <c r="E7" s="1010" t="s">
        <v>697</v>
      </c>
      <c r="F7" s="294">
        <f ca="1">IF(INDIRECT("'数据-取费表'!ah"&amp;$G$1)="",INDIRECT("'数据-取费表'!k"&amp;$G$1),INDIRECT("'数据-取费表'!ah"&amp;$G$1))</f>
        <v>1382.5</v>
      </c>
      <c r="G7" s="1289"/>
      <c r="H7" s="295"/>
      <c r="I7" s="3439"/>
      <c r="J7" s="297"/>
      <c r="K7" s="298"/>
      <c r="L7" s="293" t="s">
        <v>697</v>
      </c>
      <c r="M7" s="294">
        <f ca="1">F7</f>
        <v>1382.5</v>
      </c>
    </row>
    <row r="8" spans="1:37" ht="18" customHeight="1">
      <c r="A8" s="295"/>
      <c r="B8" s="3439"/>
      <c r="C8" s="297"/>
      <c r="D8" s="298"/>
      <c r="E8" s="293" t="s">
        <v>698</v>
      </c>
      <c r="F8" s="294">
        <f ca="1">INDIRECT("'数据-取费表'!ai"&amp;$G$1)</f>
        <v>365</v>
      </c>
      <c r="G8" s="1289"/>
      <c r="H8" s="295"/>
      <c r="I8" s="3439"/>
      <c r="J8" s="297"/>
      <c r="K8" s="298"/>
      <c r="L8" s="293" t="s">
        <v>698</v>
      </c>
      <c r="M8" s="294">
        <f ca="1">INDIRECT("'数据-取费表'!ai"&amp;$G$1)</f>
        <v>365</v>
      </c>
    </row>
    <row r="9" spans="1:37" ht="18" customHeight="1">
      <c r="A9" s="295"/>
      <c r="B9" s="3440"/>
      <c r="C9" s="297"/>
      <c r="D9" s="298"/>
      <c r="E9" s="293" t="s">
        <v>699</v>
      </c>
      <c r="F9" s="303">
        <f ca="1">INDIRECT("'数据-取费表'!w"&amp;$G$1)</f>
        <v>0.1</v>
      </c>
      <c r="G9" s="1289"/>
      <c r="H9" s="295"/>
      <c r="I9" s="3440"/>
      <c r="J9" s="297"/>
      <c r="K9" s="298"/>
      <c r="L9" s="304" t="s">
        <v>699</v>
      </c>
      <c r="M9" s="305">
        <f ca="1">INDIRECT("'数据-取费表'!ab"&amp;$G$1)</f>
        <v>0</v>
      </c>
    </row>
    <row r="10" spans="1:37" ht="18" customHeight="1">
      <c r="A10" s="1003" t="s">
        <v>402</v>
      </c>
      <c r="B10" s="1271" t="s">
        <v>700</v>
      </c>
      <c r="C10" s="307">
        <f ca="1">ROUND(IF(F10="押一",C6/12*F11,IF(F10="押二",C6/12*2*F11,IF(F10="押三",C6/12*3*F11,C11*F11))),0)</f>
        <v>1362</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5820880</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5530000</v>
      </c>
      <c r="D14" s="1254" t="s">
        <v>708</v>
      </c>
      <c r="E14" s="1252"/>
      <c r="F14" s="310"/>
      <c r="G14" s="1289"/>
      <c r="H14" s="926" t="s">
        <v>398</v>
      </c>
      <c r="I14" s="293" t="s">
        <v>709</v>
      </c>
      <c r="J14" s="21">
        <f ca="1">C29</f>
        <v>7973808</v>
      </c>
      <c r="K14" s="12"/>
      <c r="L14" s="757"/>
      <c r="M14" s="758"/>
    </row>
    <row r="15" spans="1:37" s="1301" customFormat="1" ht="18" customHeight="1" thickBot="1">
      <c r="A15" s="926" t="s">
        <v>399</v>
      </c>
      <c r="B15" s="293" t="s">
        <v>710</v>
      </c>
      <c r="C15" s="21">
        <f ca="1">ROUND(C14*F15,0)</f>
        <v>276500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39869</v>
      </c>
      <c r="K16" s="1021" t="s">
        <v>715</v>
      </c>
      <c r="L16" s="1022"/>
      <c r="M16" s="1006"/>
    </row>
    <row r="17" spans="1:37" s="1301" customFormat="1" ht="18" customHeight="1">
      <c r="A17" s="926" t="s">
        <v>681</v>
      </c>
      <c r="B17" s="293" t="s">
        <v>716</v>
      </c>
      <c r="C17" s="21">
        <f ca="1">ROUND(F17*(F43+INDIRECT("'数据-取费表'!S"&amp;$G$1)),0)</f>
        <v>276500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110600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6193600</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123872</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39869</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97921</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-39869</v>
      </c>
      <c r="K25" s="1029" t="s">
        <v>753</v>
      </c>
      <c r="L25" s="1030"/>
      <c r="M25" s="1031"/>
    </row>
    <row r="26" spans="1:37" ht="18" customHeight="1">
      <c r="A26" s="926" t="s">
        <v>397</v>
      </c>
      <c r="B26" s="293" t="s">
        <v>754</v>
      </c>
      <c r="C26" s="21">
        <f ca="1">ROUND((C19+C20)*F26,0)</f>
        <v>947621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7973808</v>
      </c>
      <c r="D29" s="1026"/>
      <c r="E29" s="1024"/>
      <c r="F29" s="1027"/>
      <c r="G29" s="1300"/>
      <c r="H29" s="324" t="s">
        <v>396</v>
      </c>
      <c r="I29" s="325" t="s">
        <v>768</v>
      </c>
      <c r="J29" s="326">
        <f ca="1">ROUND(J26/(1+F40)^F41,0)</f>
        <v>0</v>
      </c>
      <c r="K29" s="327" t="s">
        <v>769</v>
      </c>
      <c r="L29" s="328"/>
      <c r="M29" s="329">
        <f ca="1">INDIRECT("'数据-取费表'!k"&amp;$G$1)</f>
        <v>1382.5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239301</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182698</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58131</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124567</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39869</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5821</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10913</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852024</v>
      </c>
      <c r="D39" s="1029" t="s">
        <v>773</v>
      </c>
      <c r="E39" s="1030"/>
      <c r="F39" s="1031"/>
      <c r="G39" s="1289"/>
      <c r="H39" s="2467"/>
      <c r="I39" s="1302"/>
      <c r="J39" s="1303"/>
      <c r="K39" s="2465"/>
      <c r="L39" s="2467"/>
      <c r="M39" s="2467"/>
    </row>
    <row r="40" spans="1:18" ht="18" customHeight="1">
      <c r="A40" s="290" t="s">
        <v>395</v>
      </c>
      <c r="B40" s="291" t="s">
        <v>774</v>
      </c>
      <c r="C40" s="292">
        <f ca="1">ROUND(C39*(1-((1+F42)/(1+F40))^F41)/(F40-F42),0)</f>
        <v>7905226</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12</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5718</v>
      </c>
      <c r="D43" s="327" t="s">
        <v>777</v>
      </c>
      <c r="E43" s="328" t="s">
        <v>778</v>
      </c>
      <c r="F43" s="329">
        <f ca="1">INDIRECT("'数据-取费表'!k"&amp;$G$1)</f>
        <v>1382.5</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-829.90060000000005</v>
      </c>
      <c r="D45" s="3124" t="s">
        <v>3344</v>
      </c>
      <c r="E45" s="1304"/>
      <c r="F45" s="1304"/>
      <c r="O45" s="1307" t="s">
        <v>808</v>
      </c>
      <c r="P45" s="1363"/>
      <c r="Q45" s="1363"/>
      <c r="R45" s="1363"/>
    </row>
    <row r="46" spans="1:18" s="1289" customFormat="1" ht="13.5" thickBot="1">
      <c r="A46" s="1308" t="s">
        <v>809</v>
      </c>
      <c r="C46" s="1309">
        <f ca="1">ROUND(C45,0)</f>
        <v>-830</v>
      </c>
      <c r="D46" s="1310" t="str">
        <f>C2</f>
        <v>万元</v>
      </c>
      <c r="I46" s="1311" t="s">
        <v>810</v>
      </c>
      <c r="J46" s="1312"/>
      <c r="K46" s="1313"/>
      <c r="L46" s="1314">
        <f ca="1">IF(M47="住宅",0,IF(L48&gt;J51,L60,J60))</f>
        <v>1416186</v>
      </c>
      <c r="O46" s="1315" t="s">
        <v>811</v>
      </c>
      <c r="P46" s="1316" t="s">
        <v>812</v>
      </c>
      <c r="Q46" s="1317" t="s">
        <v>813</v>
      </c>
      <c r="R46" s="1317" t="s">
        <v>814</v>
      </c>
    </row>
    <row r="47" spans="1:18" s="1289" customFormat="1" ht="13.5"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7905226</v>
      </c>
      <c r="R47" s="1324" t="s">
        <v>818</v>
      </c>
    </row>
    <row r="48" spans="1:18" s="1289" customFormat="1" ht="28.5" thickBot="1">
      <c r="A48" s="1044" t="s">
        <v>438</v>
      </c>
      <c r="B48" s="291" t="s">
        <v>692</v>
      </c>
      <c r="C48" s="1265">
        <f ca="1">C49+C53+C55</f>
        <v>0</v>
      </c>
      <c r="D48" s="1046"/>
      <c r="E48" s="1047"/>
      <c r="F48" s="906"/>
      <c r="G48" s="679"/>
      <c r="H48" s="680"/>
      <c r="I48" s="1325" t="s">
        <v>819</v>
      </c>
      <c r="J48" s="1326" t="s">
        <v>3431</v>
      </c>
      <c r="K48" s="1327" t="s">
        <v>820</v>
      </c>
      <c r="L48" s="1328">
        <f ca="1">INDIRECT("'数据-取费表'!f"&amp;$G$1)</f>
        <v>12</v>
      </c>
      <c r="O48" s="1322" t="s">
        <v>404</v>
      </c>
      <c r="P48" s="1323" t="s">
        <v>821</v>
      </c>
      <c r="Q48" s="1324">
        <f ca="1">J60</f>
        <v>1416186</v>
      </c>
      <c r="R48" s="1324" t="s">
        <v>822</v>
      </c>
    </row>
    <row r="49" spans="1:18" s="1289" customFormat="1" ht="13.5"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7973808</v>
      </c>
      <c r="R49" s="1324" t="s">
        <v>818</v>
      </c>
    </row>
    <row r="50" spans="1:18" s="1289" customFormat="1" ht="13.5" thickBot="1">
      <c r="A50" s="920"/>
      <c r="B50" s="923"/>
      <c r="C50" s="924"/>
      <c r="D50" s="897"/>
      <c r="E50" s="990" t="s">
        <v>697</v>
      </c>
      <c r="F50" s="991">
        <f ca="1">F7</f>
        <v>1382.5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7114132</v>
      </c>
      <c r="M51" s="1338"/>
      <c r="O51" s="1331" t="s">
        <v>407</v>
      </c>
      <c r="P51" s="1323" t="s">
        <v>831</v>
      </c>
      <c r="Q51" s="1334">
        <f>J52</f>
        <v>7.0000000000000007E-2</v>
      </c>
      <c r="R51" s="1324"/>
    </row>
    <row r="52" spans="1:18" s="1289" customFormat="1" ht="13.5" thickBot="1">
      <c r="A52" s="921"/>
      <c r="B52" s="923"/>
      <c r="C52" s="924"/>
      <c r="D52" s="897"/>
      <c r="E52" s="925" t="s">
        <v>699</v>
      </c>
      <c r="F52" s="988"/>
      <c r="I52" s="1339" t="s">
        <v>832</v>
      </c>
      <c r="J52" s="1340">
        <v>7.0000000000000007E-2</v>
      </c>
      <c r="K52" s="1339" t="s">
        <v>833</v>
      </c>
      <c r="L52" s="1340"/>
      <c r="O52" s="1331" t="s">
        <v>408</v>
      </c>
      <c r="P52" s="1323" t="s">
        <v>834</v>
      </c>
      <c r="Q52" s="1324">
        <f ca="1">J53</f>
        <v>12</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12</v>
      </c>
      <c r="K53" s="3441" t="s">
        <v>837</v>
      </c>
      <c r="L53" s="3442"/>
      <c r="O53" s="1322" t="s">
        <v>409</v>
      </c>
      <c r="P53" s="1323" t="s">
        <v>838</v>
      </c>
      <c r="Q53" s="1324">
        <f ca="1">Q47+Q48</f>
        <v>9321412</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0.35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5820880</v>
      </c>
      <c r="D56" s="1349"/>
      <c r="E56" s="1350"/>
      <c r="F56" s="1342"/>
      <c r="I56" s="1351" t="s">
        <v>842</v>
      </c>
      <c r="J56" s="1352"/>
      <c r="K56" s="1325" t="s">
        <v>843</v>
      </c>
      <c r="L56" s="1328" t="str">
        <f ca="1">IF(L48&lt;J51,"——",L48-J51)</f>
        <v>——</v>
      </c>
      <c r="O56" s="1322" t="s">
        <v>403</v>
      </c>
      <c r="P56" s="1323" t="s">
        <v>817</v>
      </c>
      <c r="Q56" s="1324">
        <f ca="1">C40+J29</f>
        <v>7905226</v>
      </c>
      <c r="R56" s="1324" t="s">
        <v>818</v>
      </c>
    </row>
    <row r="57" spans="1:18" s="1289" customFormat="1" ht="24.75" thickBot="1">
      <c r="A57" s="1353"/>
      <c r="B57" s="894" t="s">
        <v>767</v>
      </c>
      <c r="C57" s="229">
        <f ca="1">C29</f>
        <v>7973808</v>
      </c>
      <c r="D57" s="1354"/>
      <c r="E57" s="1355"/>
      <c r="F57" s="1356"/>
      <c r="I57" s="1357" t="s">
        <v>844</v>
      </c>
      <c r="J57" s="1358">
        <f ca="1">IF(OR(M47="住宅",J51&lt;L48,J56="是"),"——",J51-L48)</f>
        <v>21</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45690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3189523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1416186</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7905226</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39869</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5821</v>
      </c>
      <c r="D65" s="908" t="s">
        <v>743</v>
      </c>
      <c r="E65" s="894" t="s">
        <v>744</v>
      </c>
      <c r="F65" s="320">
        <f t="shared" ca="1" si="0"/>
        <v>1E-3</v>
      </c>
      <c r="I65" s="1364" t="s">
        <v>867</v>
      </c>
      <c r="J65" s="608">
        <v>40</v>
      </c>
      <c r="K65" s="608">
        <v>30</v>
      </c>
      <c r="L65" s="608">
        <v>50</v>
      </c>
      <c r="M65" s="1366">
        <v>0.02</v>
      </c>
      <c r="O65" s="1322" t="s">
        <v>403</v>
      </c>
      <c r="P65" s="1323" t="s">
        <v>868</v>
      </c>
      <c r="Q65" s="1324">
        <f ca="1">C40+J29</f>
        <v>7905226</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-45690</v>
      </c>
      <c r="D67" s="907" t="s">
        <v>753</v>
      </c>
      <c r="E67" s="912"/>
      <c r="F67" s="913"/>
      <c r="O67" s="1331" t="s">
        <v>405</v>
      </c>
      <c r="P67" s="1323" t="s">
        <v>850</v>
      </c>
      <c r="Q67" s="1367">
        <f ca="1">L51</f>
        <v>7114132</v>
      </c>
      <c r="R67" s="1324" t="s">
        <v>870</v>
      </c>
    </row>
    <row r="68" spans="1:18" s="1289" customFormat="1" ht="16.5" thickBot="1">
      <c r="A68" s="891" t="s">
        <v>395</v>
      </c>
      <c r="B68" s="892" t="s">
        <v>774</v>
      </c>
      <c r="C68" s="292">
        <f ca="1">ROUND(C67*(1-((1+F70)/(1+F68))^F69)/(F68-F70),0)</f>
        <v>-393780</v>
      </c>
      <c r="D68" s="909" t="s">
        <v>758</v>
      </c>
      <c r="E68" s="894" t="s">
        <v>759</v>
      </c>
      <c r="F68" s="303">
        <f ca="1">F40</f>
        <v>5.5E-2</v>
      </c>
      <c r="O68" s="1331" t="s">
        <v>406</v>
      </c>
      <c r="P68" s="1368" t="s">
        <v>871</v>
      </c>
      <c r="Q68" s="1324">
        <f ca="1">ROUND(Q69-Q70*Q71,0)</f>
        <v>444562</v>
      </c>
      <c r="R68" s="1324" t="s">
        <v>414</v>
      </c>
    </row>
    <row r="69" spans="1:18" s="1289" customFormat="1" ht="13.5" thickBot="1">
      <c r="A69" s="895"/>
      <c r="B69" s="896"/>
      <c r="C69" s="297"/>
      <c r="D69" s="914" t="s">
        <v>762</v>
      </c>
      <c r="E69" s="894" t="s">
        <v>763</v>
      </c>
      <c r="F69" s="323">
        <f ca="1">F41</f>
        <v>12</v>
      </c>
      <c r="O69" s="1331" t="s">
        <v>411</v>
      </c>
      <c r="P69" s="1368" t="s">
        <v>872</v>
      </c>
      <c r="Q69" s="1324">
        <f ca="1">C39</f>
        <v>852024</v>
      </c>
      <c r="R69" s="1324" t="s">
        <v>818</v>
      </c>
    </row>
    <row r="70" spans="1:18" s="1289" customFormat="1" ht="13.5" thickBot="1">
      <c r="A70" s="898"/>
      <c r="B70" s="899"/>
      <c r="C70" s="301"/>
      <c r="D70" s="910"/>
      <c r="E70" s="894" t="s">
        <v>766</v>
      </c>
      <c r="F70" s="988"/>
      <c r="O70" s="1331" t="s">
        <v>412</v>
      </c>
      <c r="P70" s="1368" t="s">
        <v>873</v>
      </c>
      <c r="Q70" s="1324">
        <f ca="1">C13</f>
        <v>5820880</v>
      </c>
      <c r="R70" s="1324" t="s">
        <v>818</v>
      </c>
    </row>
    <row r="71" spans="1:18" s="1289" customFormat="1" ht="13.5" thickBot="1">
      <c r="A71" s="915" t="s">
        <v>396</v>
      </c>
      <c r="B71" s="916" t="s">
        <v>776</v>
      </c>
      <c r="C71" s="326">
        <f ca="1">ROUND(C68/F71,0)</f>
        <v>-285</v>
      </c>
      <c r="D71" s="917" t="s">
        <v>777</v>
      </c>
      <c r="E71" s="918" t="s">
        <v>778</v>
      </c>
      <c r="F71" s="329">
        <f ca="1">F43</f>
        <v>1382.5</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407462</v>
      </c>
      <c r="D75" s="1289"/>
      <c r="E75" s="1289"/>
      <c r="F75" s="1289"/>
      <c r="K75" s="1306"/>
      <c r="L75" s="1289"/>
      <c r="O75" s="1322" t="s">
        <v>409</v>
      </c>
      <c r="P75" s="1323" t="s">
        <v>838</v>
      </c>
      <c r="Q75" s="1324">
        <f ca="1">Q65+Q66</f>
        <v>7905226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0.26400000000000001</v>
      </c>
    </row>
    <row r="83" spans="2:3">
      <c r="B83" s="264" t="s">
        <v>803</v>
      </c>
      <c r="C83" s="265">
        <f ca="1">ROUND(C13/C40,3)</f>
        <v>0.73599999999999999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923</v>
      </c>
      <c r="D6" s="208"/>
      <c r="E6" s="209"/>
      <c r="F6" s="209"/>
      <c r="G6" s="210"/>
    </row>
    <row r="7" spans="1:9" s="205" customFormat="1" ht="13.5" customHeight="1">
      <c r="A7" s="730" t="s">
        <v>1474</v>
      </c>
      <c r="B7" s="206" t="s">
        <v>1475</v>
      </c>
      <c r="C7" s="211">
        <f>ROUND(C6*F7,0)</f>
        <v>28</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4.75">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5.75">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89" t="s">
        <v>1544</v>
      </c>
    </row>
    <row r="43" spans="1:7" ht="13.5" customHeight="1">
      <c r="A43" s="732" t="s">
        <v>347</v>
      </c>
      <c r="B43" s="206" t="s">
        <v>1545</v>
      </c>
      <c r="C43" s="229" t="e">
        <f ca="1">ROUND(IF('数据-取费表'!B22&lt;=1,C39*F22*'数据-取费表'!B21/2,C39*(POWER((1+F22),'数据-取费表'!B21/2)-1)),0)</f>
        <v>#N/A</v>
      </c>
      <c r="D43" s="229"/>
      <c r="E43" s="229"/>
      <c r="F43" s="230"/>
      <c r="G43" s="3390"/>
    </row>
    <row r="44" spans="1:7" ht="13.5" customHeight="1">
      <c r="A44" s="732" t="s">
        <v>348</v>
      </c>
      <c r="B44" s="206" t="s">
        <v>1546</v>
      </c>
      <c r="C44" s="229">
        <f ca="1">ROUND(IF('数据-取费表'!B22&lt;=1,C40*F22*'数据-取费表'!B21/2,C40*(POWER((1+F22),'数据-取费表'!B21/2)-1)),4)</f>
        <v>2.9999999999999997E-4</v>
      </c>
      <c r="D44" s="229"/>
      <c r="E44" s="229"/>
      <c r="F44" s="230"/>
      <c r="G44" s="3391"/>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5"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1382.5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1382.5</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1382.5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8" t="s">
        <v>694</v>
      </c>
      <c r="C6" s="1008" t="e">
        <f ca="1">ROUND(F6*F8*F7*(1-F9)/10000,0)</f>
        <v>#N/A</v>
      </c>
      <c r="D6" s="146" t="s">
        <v>2109</v>
      </c>
      <c r="E6" s="293" t="s">
        <v>696</v>
      </c>
      <c r="F6" s="294" t="e">
        <f ca="1">INDIRECT("'数据-取费表'!u"&amp;$G$1)</f>
        <v>#N/A</v>
      </c>
      <c r="G6" s="1289"/>
      <c r="H6" s="1003" t="s">
        <v>398</v>
      </c>
      <c r="I6" s="3438" t="s">
        <v>694</v>
      </c>
      <c r="J6" s="292" t="e">
        <f ca="1">ROUND(M6*M8*M7*(1-M9)/10000,0)</f>
        <v>#N/A</v>
      </c>
      <c r="K6" s="146" t="s">
        <v>2108</v>
      </c>
      <c r="L6" s="293" t="s">
        <v>696</v>
      </c>
      <c r="M6" s="294" t="e">
        <f ca="1">INDIRECT("'数据-取费表'!z"&amp;$G$1)</f>
        <v>#N/A</v>
      </c>
    </row>
    <row r="7" spans="1:37" ht="18" customHeight="1">
      <c r="A7" s="1007"/>
      <c r="B7" s="3439"/>
      <c r="C7" s="1009"/>
      <c r="D7" s="298"/>
      <c r="E7" s="1010" t="s">
        <v>697</v>
      </c>
      <c r="F7" s="294" t="e">
        <f ca="1">IF(INDIRECT("'数据-取费表'!ah"&amp;$G$1)="",INDIRECT("'数据-取费表'!k"&amp;$G$1),INDIRECT("'数据-取费表'!ah"&amp;$G$1))</f>
        <v>#N/A</v>
      </c>
      <c r="G7" s="1289"/>
      <c r="H7" s="295"/>
      <c r="I7" s="3439"/>
      <c r="J7" s="297"/>
      <c r="K7" s="298"/>
      <c r="L7" s="293" t="s">
        <v>697</v>
      </c>
      <c r="M7" s="294" t="e">
        <f ca="1">F7</f>
        <v>#N/A</v>
      </c>
    </row>
    <row r="8" spans="1:37" ht="18" customHeight="1">
      <c r="A8" s="295"/>
      <c r="B8" s="3439"/>
      <c r="C8" s="297"/>
      <c r="D8" s="298"/>
      <c r="E8" s="293" t="s">
        <v>698</v>
      </c>
      <c r="F8" s="294" t="e">
        <f ca="1">INDIRECT("'数据-取费表'!ai"&amp;$G$1)</f>
        <v>#N/A</v>
      </c>
      <c r="G8" s="1289"/>
      <c r="H8" s="295"/>
      <c r="I8" s="3439"/>
      <c r="J8" s="297"/>
      <c r="K8" s="298"/>
      <c r="L8" s="293" t="s">
        <v>698</v>
      </c>
      <c r="M8" s="294" t="e">
        <f ca="1">INDIRECT("'数据-取费表'!ai"&amp;$G$1)</f>
        <v>#N/A</v>
      </c>
    </row>
    <row r="9" spans="1:37" ht="18" customHeight="1">
      <c r="A9" s="295"/>
      <c r="B9" s="3440"/>
      <c r="C9" s="297"/>
      <c r="D9" s="298"/>
      <c r="E9" s="293" t="s">
        <v>699</v>
      </c>
      <c r="F9" s="303" t="e">
        <f ca="1">INDIRECT("'数据-取费表'!w"&amp;$G$1)</f>
        <v>#N/A</v>
      </c>
      <c r="G9" s="1289"/>
      <c r="H9" s="295"/>
      <c r="I9" s="344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5"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1" t="s">
        <v>837</v>
      </c>
      <c r="L53" s="3442"/>
      <c r="O53" s="1322" t="s">
        <v>409</v>
      </c>
      <c r="P53" s="1323" t="s">
        <v>838</v>
      </c>
      <c r="Q53" s="1324" t="e">
        <f ca="1">Q47+Q48</f>
        <v>#N/A</v>
      </c>
      <c r="R53" s="1324" t="s">
        <v>410</v>
      </c>
    </row>
    <row r="54" spans="1:18" s="1289" customFormat="1" ht="13.5"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75"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8"/>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15" customHeight="1">
      <c r="A2" s="1290" t="s">
        <v>2306</v>
      </c>
      <c r="B2" s="2588" t="e">
        <f>IF(D2="——",C40,C40+E2)</f>
        <v>#DIV/0!</v>
      </c>
      <c r="C2" s="2589" t="s">
        <v>2307</v>
      </c>
      <c r="D2" s="3132" t="s">
        <v>3350</v>
      </c>
      <c r="E2" s="3133"/>
      <c r="F2" s="2591"/>
      <c r="G2" s="2592"/>
      <c r="H2" s="2593"/>
      <c r="I2" s="2594"/>
      <c r="J2" s="3449" t="s">
        <v>2308</v>
      </c>
      <c r="K2" s="3450"/>
      <c r="L2" s="2595" t="s">
        <v>2309</v>
      </c>
      <c r="M2" s="2595" t="s">
        <v>2310</v>
      </c>
      <c r="N2" s="2595" t="s">
        <v>2311</v>
      </c>
      <c r="O2" s="2595" t="s">
        <v>2312</v>
      </c>
      <c r="P2" s="2595" t="s">
        <v>2313</v>
      </c>
      <c r="Q2" s="2596" t="s">
        <v>2314</v>
      </c>
      <c r="R2" s="2597" t="s">
        <v>2315</v>
      </c>
      <c r="S2" s="2586"/>
      <c r="T2" s="2586"/>
      <c r="U2" s="2586"/>
      <c r="V2" s="2594"/>
    </row>
    <row r="3" spans="1:22" s="2598" customFormat="1" ht="13.15" customHeight="1">
      <c r="A3" s="2599" t="s">
        <v>2316</v>
      </c>
      <c r="B3" s="2600" t="e">
        <f>ROUND(B2*10000/B4,0)</f>
        <v>#DIV/0!</v>
      </c>
      <c r="C3" s="2589" t="s">
        <v>2317</v>
      </c>
      <c r="D3" s="2589"/>
      <c r="E3" s="2590"/>
      <c r="F3" s="2591"/>
      <c r="G3" s="2592"/>
      <c r="H3" s="2593"/>
      <c r="I3" s="2594"/>
      <c r="J3" s="3451" t="s">
        <v>2318</v>
      </c>
      <c r="K3" s="3452"/>
      <c r="L3" s="2601"/>
      <c r="M3" s="2601"/>
      <c r="N3" s="2601"/>
      <c r="O3" s="2601"/>
      <c r="P3" s="2601"/>
      <c r="Q3" s="2602"/>
      <c r="R3" s="2603">
        <f>SUM(L3:Q3)</f>
        <v>0</v>
      </c>
      <c r="S3" s="2586"/>
      <c r="T3" s="2586"/>
      <c r="U3" s="2586"/>
      <c r="V3" s="2594"/>
    </row>
    <row r="4" spans="1:22" s="2598" customFormat="1" ht="13.15" customHeight="1">
      <c r="A4" s="2604" t="s">
        <v>2319</v>
      </c>
      <c r="B4" s="2605"/>
      <c r="C4" s="2589"/>
      <c r="D4" s="2589"/>
      <c r="E4" s="2590"/>
      <c r="F4" s="2591"/>
      <c r="G4" s="2592"/>
      <c r="H4" s="2593"/>
      <c r="I4" s="2594"/>
      <c r="J4" s="3451" t="s">
        <v>2320</v>
      </c>
      <c r="K4" s="3452"/>
      <c r="L4" s="2606"/>
      <c r="M4" s="2606"/>
      <c r="N4" s="2606"/>
      <c r="O4" s="2606"/>
      <c r="P4" s="2606"/>
      <c r="Q4" s="2607"/>
      <c r="R4" s="2608">
        <f>SUM(L4:Q4)</f>
        <v>0</v>
      </c>
      <c r="S4" s="2586"/>
      <c r="T4" s="2586"/>
      <c r="U4" s="2586"/>
      <c r="V4" s="2594"/>
    </row>
    <row r="5" spans="1:22" s="2598" customFormat="1" ht="13.15"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15" customHeight="1" thickBot="1">
      <c r="A6" s="3457" t="s">
        <v>2324</v>
      </c>
      <c r="B6" s="3458"/>
      <c r="C6" s="3459"/>
      <c r="D6" s="2615"/>
      <c r="E6" s="2616"/>
      <c r="F6" s="2617"/>
      <c r="G6" s="2618"/>
      <c r="H6" s="2593"/>
      <c r="I6" s="2594"/>
      <c r="J6" s="3443">
        <v>1</v>
      </c>
      <c r="K6" s="3444"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15" customHeight="1">
      <c r="A7" s="2621" t="s">
        <v>2334</v>
      </c>
      <c r="B7" s="2622"/>
      <c r="C7" s="2623"/>
      <c r="D7" s="2624">
        <f>SUM(D9,D10,D11,D17,0)</f>
        <v>0</v>
      </c>
      <c r="E7" s="2625" t="e">
        <f>E9+E10+E11+E17</f>
        <v>#DIV/0!</v>
      </c>
      <c r="F7" s="2626"/>
      <c r="G7" s="2627"/>
      <c r="H7" s="2593"/>
      <c r="I7" s="2594"/>
      <c r="J7" s="3443"/>
      <c r="K7" s="3445"/>
      <c r="L7" s="2628" t="s">
        <v>2335</v>
      </c>
      <c r="M7" s="2629"/>
      <c r="N7" s="2605"/>
      <c r="O7" s="2630"/>
      <c r="P7" s="2630"/>
      <c r="Q7" s="2631">
        <v>365</v>
      </c>
      <c r="R7" s="2632">
        <f>ROUND(M7*N7*O7*P7*Q7/10000,0)</f>
        <v>0</v>
      </c>
      <c r="S7" s="2586"/>
      <c r="T7" s="2586" t="s">
        <v>2336</v>
      </c>
      <c r="U7" s="2586"/>
      <c r="V7" s="2594"/>
    </row>
    <row r="8" spans="1:22" s="2598" customFormat="1" ht="13.15" customHeight="1">
      <c r="A8" s="2633" t="s">
        <v>2337</v>
      </c>
      <c r="B8" s="3460" t="s">
        <v>2338</v>
      </c>
      <c r="C8" s="3461"/>
      <c r="D8" s="2634" t="s">
        <v>2339</v>
      </c>
      <c r="E8" s="2635" t="s">
        <v>2340</v>
      </c>
      <c r="F8" s="2636" t="s">
        <v>2341</v>
      </c>
      <c r="G8" s="2637"/>
      <c r="H8" s="2593"/>
      <c r="I8" s="2594"/>
      <c r="J8" s="3443"/>
      <c r="K8" s="3445"/>
      <c r="L8" s="2628" t="s">
        <v>2342</v>
      </c>
      <c r="M8" s="2629"/>
      <c r="N8" s="2605"/>
      <c r="O8" s="2630"/>
      <c r="P8" s="2630"/>
      <c r="Q8" s="2631">
        <v>365</v>
      </c>
      <c r="R8" s="2632">
        <f t="shared" ref="R8:R13" si="0">ROUND(M8*N8*O8*P8*Q8/10000,0)</f>
        <v>0</v>
      </c>
      <c r="S8" s="2586"/>
      <c r="T8" s="2586" t="s">
        <v>2343</v>
      </c>
      <c r="U8" s="2586"/>
      <c r="V8" s="2594"/>
    </row>
    <row r="9" spans="1:22" s="2598" customFormat="1" ht="13.15" customHeight="1">
      <c r="A9" s="2633">
        <v>1</v>
      </c>
      <c r="B9" s="3460" t="s">
        <v>2344</v>
      </c>
      <c r="C9" s="3461"/>
      <c r="D9" s="2634">
        <f>ROUND(D6*E9,0)</f>
        <v>0</v>
      </c>
      <c r="E9" s="2638"/>
      <c r="F9" s="2639" t="s">
        <v>2345</v>
      </c>
      <c r="G9" s="2618"/>
      <c r="H9" s="2593"/>
      <c r="I9" s="2594"/>
      <c r="J9" s="3443"/>
      <c r="K9" s="3445"/>
      <c r="L9" s="2628" t="s">
        <v>2346</v>
      </c>
      <c r="M9" s="2629"/>
      <c r="N9" s="2605"/>
      <c r="O9" s="2630"/>
      <c r="P9" s="2630"/>
      <c r="Q9" s="2631">
        <v>365</v>
      </c>
      <c r="R9" s="2632">
        <f t="shared" si="0"/>
        <v>0</v>
      </c>
      <c r="S9" s="2586"/>
      <c r="T9" s="2586"/>
      <c r="U9" s="2586"/>
      <c r="V9" s="2594"/>
    </row>
    <row r="10" spans="1:22" s="2598" customFormat="1" ht="13.15" customHeight="1">
      <c r="A10" s="2633">
        <v>2</v>
      </c>
      <c r="B10" s="3460" t="s">
        <v>2347</v>
      </c>
      <c r="C10" s="3461"/>
      <c r="D10" s="2634">
        <f>ROUND(D6*E10,0)</f>
        <v>0</v>
      </c>
      <c r="E10" s="2638"/>
      <c r="F10" s="2639" t="s">
        <v>2348</v>
      </c>
      <c r="G10" s="2618"/>
      <c r="H10" s="2593"/>
      <c r="I10" s="2594"/>
      <c r="J10" s="3443"/>
      <c r="K10" s="3445"/>
      <c r="L10" s="2628" t="s">
        <v>2349</v>
      </c>
      <c r="M10" s="2629"/>
      <c r="N10" s="2605"/>
      <c r="O10" s="2630"/>
      <c r="P10" s="2630"/>
      <c r="Q10" s="2631">
        <v>365</v>
      </c>
      <c r="R10" s="2632">
        <f t="shared" si="0"/>
        <v>0</v>
      </c>
      <c r="S10" s="2586"/>
      <c r="T10" s="2586"/>
      <c r="U10" s="2586"/>
      <c r="V10" s="2594"/>
    </row>
    <row r="11" spans="1:22" s="2598" customFormat="1" ht="13.15" customHeight="1">
      <c r="A11" s="2633">
        <v>3</v>
      </c>
      <c r="B11" s="3460" t="s">
        <v>2350</v>
      </c>
      <c r="C11" s="3461"/>
      <c r="D11" s="2634">
        <f>D12+D14+D15+D16</f>
        <v>0</v>
      </c>
      <c r="E11" s="2640" t="e">
        <f>D11/D6</f>
        <v>#DIV/0!</v>
      </c>
      <c r="F11" s="2636"/>
      <c r="G11" s="2637"/>
      <c r="H11" s="2593"/>
      <c r="I11" s="2594"/>
      <c r="J11" s="3443"/>
      <c r="K11" s="3445"/>
      <c r="L11" s="2628" t="s">
        <v>2351</v>
      </c>
      <c r="M11" s="2629"/>
      <c r="N11" s="2605"/>
      <c r="O11" s="2630"/>
      <c r="P11" s="2630"/>
      <c r="Q11" s="2631">
        <v>365</v>
      </c>
      <c r="R11" s="2632">
        <f t="shared" si="0"/>
        <v>0</v>
      </c>
      <c r="S11" s="2586"/>
      <c r="T11" s="2586"/>
      <c r="U11" s="2586"/>
      <c r="V11" s="2594"/>
    </row>
    <row r="12" spans="1:22" s="2598" customFormat="1" ht="13.15" customHeight="1">
      <c r="A12" s="2641" t="s">
        <v>2352</v>
      </c>
      <c r="B12" s="3453" t="s">
        <v>2353</v>
      </c>
      <c r="C12" s="3454"/>
      <c r="D12" s="2642">
        <f>ROUND(D13*1.2%*(1-30%),0)</f>
        <v>0</v>
      </c>
      <c r="E12" s="2643">
        <v>1.2E-2</v>
      </c>
      <c r="F12" s="2636" t="s">
        <v>2354</v>
      </c>
      <c r="G12" s="2637"/>
      <c r="H12" s="2593"/>
      <c r="I12" s="2594"/>
      <c r="J12" s="3443"/>
      <c r="K12" s="3445"/>
      <c r="L12" s="2628" t="s">
        <v>2355</v>
      </c>
      <c r="M12" s="2629"/>
      <c r="N12" s="2605"/>
      <c r="O12" s="2630"/>
      <c r="P12" s="2630"/>
      <c r="Q12" s="2631">
        <v>365</v>
      </c>
      <c r="R12" s="2632">
        <f t="shared" si="0"/>
        <v>0</v>
      </c>
      <c r="S12" s="2586"/>
      <c r="T12" s="2586"/>
      <c r="U12" s="2586"/>
      <c r="V12" s="2594"/>
    </row>
    <row r="13" spans="1:22" s="2598" customFormat="1" ht="13.15" customHeight="1">
      <c r="A13" s="2641"/>
      <c r="B13" s="2644"/>
      <c r="C13" s="2645" t="s">
        <v>2356</v>
      </c>
      <c r="D13" s="2646"/>
      <c r="E13" s="2647"/>
      <c r="F13" s="2636"/>
      <c r="G13" s="2637"/>
      <c r="H13" s="2593"/>
      <c r="I13" s="2594"/>
      <c r="J13" s="3443"/>
      <c r="K13" s="3445"/>
      <c r="L13" s="2628" t="s">
        <v>2357</v>
      </c>
      <c r="M13" s="2629"/>
      <c r="N13" s="2605"/>
      <c r="O13" s="2630"/>
      <c r="P13" s="2630"/>
      <c r="Q13" s="2631">
        <v>365</v>
      </c>
      <c r="R13" s="2632">
        <f t="shared" si="0"/>
        <v>0</v>
      </c>
      <c r="S13" s="2586"/>
      <c r="T13" s="2586"/>
      <c r="U13" s="2586"/>
      <c r="V13" s="2594"/>
    </row>
    <row r="14" spans="1:22" s="2598" customFormat="1" ht="13.15" customHeight="1">
      <c r="A14" s="2641" t="s">
        <v>2358</v>
      </c>
      <c r="B14" s="3453" t="s">
        <v>2359</v>
      </c>
      <c r="C14" s="3454"/>
      <c r="D14" s="2642">
        <f>ROUND(E14*B5/10000,0)</f>
        <v>0</v>
      </c>
      <c r="E14" s="2631"/>
      <c r="F14" s="2636" t="s">
        <v>2360</v>
      </c>
      <c r="G14" s="2637"/>
      <c r="H14" s="2593"/>
      <c r="I14" s="2594"/>
      <c r="J14" s="3443"/>
      <c r="K14" s="3446"/>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2362</v>
      </c>
      <c r="B15" s="3453" t="s">
        <v>2363</v>
      </c>
      <c r="C15" s="3454"/>
      <c r="D15" s="2642">
        <f>ROUND(D6*E15,0)</f>
        <v>0</v>
      </c>
      <c r="E15" s="2643">
        <v>5.5E-2</v>
      </c>
      <c r="F15" s="2636" t="s">
        <v>2364</v>
      </c>
      <c r="G15" s="2618"/>
      <c r="H15" s="2593"/>
      <c r="I15" s="2594"/>
      <c r="J15" s="3443">
        <v>2</v>
      </c>
      <c r="K15" s="3444"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15" customHeight="1">
      <c r="A16" s="2641" t="s">
        <v>2371</v>
      </c>
      <c r="B16" s="3453" t="s">
        <v>2372</v>
      </c>
      <c r="C16" s="3454"/>
      <c r="D16" s="2653">
        <f>D6*E16</f>
        <v>0</v>
      </c>
      <c r="E16" s="2654"/>
      <c r="F16" s="2639" t="s">
        <v>2373</v>
      </c>
      <c r="G16" s="2618"/>
      <c r="H16" s="2593"/>
      <c r="I16" s="2594"/>
      <c r="J16" s="3443"/>
      <c r="K16" s="3445"/>
      <c r="L16" s="2628" t="s">
        <v>2374</v>
      </c>
      <c r="M16" s="2629"/>
      <c r="N16" s="2629"/>
      <c r="O16" s="2630"/>
      <c r="P16" s="2631">
        <v>365</v>
      </c>
      <c r="Q16" s="2605"/>
      <c r="R16" s="2652">
        <f>ROUND(M16*N16*O16*P16/10000,0)</f>
        <v>0</v>
      </c>
      <c r="S16" s="2586"/>
      <c r="T16" s="2586"/>
      <c r="U16" s="2586"/>
      <c r="V16" s="2594"/>
    </row>
    <row r="17" spans="1:22" s="2598" customFormat="1" ht="13.15" customHeight="1" thickBot="1">
      <c r="A17" s="2655">
        <v>4</v>
      </c>
      <c r="B17" s="3455" t="s">
        <v>2375</v>
      </c>
      <c r="C17" s="3456"/>
      <c r="D17" s="2656">
        <f>ROUND(D6*E17,0)</f>
        <v>0</v>
      </c>
      <c r="E17" s="2657"/>
      <c r="F17" s="2658" t="s">
        <v>2376</v>
      </c>
      <c r="G17" s="2618"/>
      <c r="H17" s="2593"/>
      <c r="I17" s="2594"/>
      <c r="J17" s="3443"/>
      <c r="K17" s="3445"/>
      <c r="L17" s="2628" t="s">
        <v>2377</v>
      </c>
      <c r="M17" s="2629"/>
      <c r="N17" s="2629"/>
      <c r="O17" s="2630"/>
      <c r="P17" s="2631">
        <v>365</v>
      </c>
      <c r="Q17" s="2605"/>
      <c r="R17" s="2652">
        <f>ROUND(M17*N17*O17*P17/10000,0)</f>
        <v>0</v>
      </c>
      <c r="S17" s="2586"/>
      <c r="T17" s="2586"/>
      <c r="U17" s="2586"/>
      <c r="V17" s="2594"/>
    </row>
    <row r="18" spans="1:22" s="2598" customFormat="1" ht="13.15" customHeight="1" thickBot="1">
      <c r="A18" s="2621" t="s">
        <v>2378</v>
      </c>
      <c r="B18" s="2622"/>
      <c r="C18" s="2622"/>
      <c r="D18" s="2659">
        <f>ROUND(D6*E18,0)</f>
        <v>0</v>
      </c>
      <c r="E18" s="2660"/>
      <c r="F18" s="2661" t="s">
        <v>2379</v>
      </c>
      <c r="G18" s="2618"/>
      <c r="H18" s="2593"/>
      <c r="I18" s="2594"/>
      <c r="J18" s="3443"/>
      <c r="K18" s="3445"/>
      <c r="L18" s="2628" t="s">
        <v>2380</v>
      </c>
      <c r="M18" s="2629"/>
      <c r="N18" s="2629"/>
      <c r="O18" s="2630"/>
      <c r="P18" s="2631">
        <v>365</v>
      </c>
      <c r="Q18" s="2605"/>
      <c r="R18" s="2652">
        <f>ROUND(M18*N18*O18*P18/10000,0)</f>
        <v>0</v>
      </c>
      <c r="S18" s="2586"/>
      <c r="T18" s="2586"/>
      <c r="U18" s="2586"/>
      <c r="V18" s="2594"/>
    </row>
    <row r="19" spans="1:22" s="2598" customFormat="1" ht="13.15" customHeight="1" thickBot="1">
      <c r="A19" s="2662" t="s">
        <v>2381</v>
      </c>
      <c r="B19" s="2616"/>
      <c r="C19" s="2616"/>
      <c r="D19" s="2616"/>
      <c r="E19" s="2616"/>
      <c r="F19" s="2617"/>
      <c r="G19" s="2637"/>
      <c r="H19" s="2593"/>
      <c r="I19" s="2594"/>
      <c r="J19" s="3443"/>
      <c r="K19" s="3446"/>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43">
        <v>3</v>
      </c>
      <c r="K20" s="3444"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15" customHeight="1">
      <c r="A21" s="2621"/>
      <c r="B21" s="2622"/>
      <c r="C21" s="2667" t="s">
        <v>2390</v>
      </c>
      <c r="D21" s="2668" t="s">
        <v>2391</v>
      </c>
      <c r="E21" s="2669" t="s">
        <v>2392</v>
      </c>
      <c r="F21" s="2665"/>
      <c r="G21" s="2637"/>
      <c r="H21" s="2593"/>
      <c r="I21" s="2594"/>
      <c r="J21" s="3443"/>
      <c r="K21" s="3445"/>
      <c r="L21" s="2628" t="s">
        <v>2393</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2394</v>
      </c>
      <c r="D22" s="2672" t="s">
        <v>2395</v>
      </c>
      <c r="E22" s="2673" t="s">
        <v>2396</v>
      </c>
      <c r="F22" s="2665"/>
      <c r="G22" s="2586"/>
      <c r="H22" s="2593"/>
      <c r="I22" s="2594"/>
      <c r="J22" s="3443"/>
      <c r="K22" s="3445"/>
      <c r="L22" s="2628" t="s">
        <v>2397</v>
      </c>
      <c r="M22" s="2629"/>
      <c r="N22" s="2629"/>
      <c r="O22" s="2630"/>
      <c r="P22" s="2631">
        <v>365</v>
      </c>
      <c r="Q22" s="2605"/>
      <c r="R22" s="2670">
        <f>ROUND(M22*N22*O22*P22/10000,0)</f>
        <v>0</v>
      </c>
      <c r="S22" s="2586"/>
      <c r="T22" s="2586"/>
      <c r="U22" s="2586"/>
      <c r="V22" s="2594"/>
    </row>
    <row r="23" spans="1:22" s="2598" customFormat="1" ht="13.15" customHeight="1">
      <c r="A23" s="2674">
        <v>1</v>
      </c>
      <c r="B23" s="2675" t="s">
        <v>2398</v>
      </c>
      <c r="C23" s="2676">
        <f>D6</f>
        <v>0</v>
      </c>
      <c r="D23" s="2677">
        <f>C23*(1+D24)</f>
        <v>0</v>
      </c>
      <c r="E23" s="2678">
        <f>D23*(1+E24)</f>
        <v>0</v>
      </c>
      <c r="F23" s="2679"/>
      <c r="G23" s="2680"/>
      <c r="H23" s="2593"/>
      <c r="I23" s="2594"/>
      <c r="J23" s="3443"/>
      <c r="K23" s="3445"/>
      <c r="L23" s="2628" t="s">
        <v>2399</v>
      </c>
      <c r="M23" s="2629"/>
      <c r="N23" s="2629"/>
      <c r="O23" s="2630"/>
      <c r="P23" s="2631">
        <v>365</v>
      </c>
      <c r="Q23" s="2605"/>
      <c r="R23" s="2670">
        <f>ROUND(M23*N23*O23*P23/10000,0)</f>
        <v>0</v>
      </c>
      <c r="S23" s="2586"/>
      <c r="T23" s="2586"/>
      <c r="U23" s="2586"/>
      <c r="V23" s="2594"/>
    </row>
    <row r="24" spans="1:22" s="2598" customFormat="1" ht="13.15" customHeight="1">
      <c r="A24" s="2681"/>
      <c r="B24" s="2682" t="s">
        <v>2400</v>
      </c>
      <c r="C24" s="2683"/>
      <c r="D24" s="2684"/>
      <c r="E24" s="2685"/>
      <c r="F24" s="2686"/>
      <c r="G24" s="2680"/>
      <c r="H24" s="2593"/>
      <c r="I24" s="2594"/>
      <c r="J24" s="3443"/>
      <c r="K24" s="3446"/>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15" customHeight="1">
      <c r="A26" s="2674">
        <v>2</v>
      </c>
      <c r="B26" s="2675" t="s">
        <v>2402</v>
      </c>
      <c r="C26" s="2676">
        <f>D7</f>
        <v>0</v>
      </c>
      <c r="D26" s="2677">
        <f>D23*D27</f>
        <v>0</v>
      </c>
      <c r="E26" s="2678">
        <f>E23*E27</f>
        <v>0</v>
      </c>
      <c r="F26" s="2679"/>
      <c r="G26" s="2680"/>
      <c r="H26" s="2593"/>
      <c r="I26" s="2594"/>
      <c r="J26" s="3447">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15" customHeight="1">
      <c r="A27" s="2681"/>
      <c r="B27" s="2682" t="s">
        <v>2408</v>
      </c>
      <c r="C27" s="2699" t="e">
        <f>E7</f>
        <v>#DIV/0!</v>
      </c>
      <c r="D27" s="2684"/>
      <c r="E27" s="2685"/>
      <c r="F27" s="2686"/>
      <c r="G27" s="2680"/>
      <c r="H27" s="2700"/>
      <c r="I27" s="2692"/>
      <c r="J27" s="3448"/>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15"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15" customHeight="1">
      <c r="A32" s="2674">
        <v>4</v>
      </c>
      <c r="B32" s="2675" t="s">
        <v>2416</v>
      </c>
      <c r="C32" s="2676">
        <f>C23-C26-C29</f>
        <v>0</v>
      </c>
      <c r="D32" s="2677">
        <f>D23-D26-D29</f>
        <v>0</v>
      </c>
      <c r="E32" s="2678">
        <f>E23-E26-E29</f>
        <v>0</v>
      </c>
      <c r="F32" s="2679"/>
      <c r="G32" s="2586"/>
      <c r="H32" s="2593"/>
      <c r="I32" s="2594"/>
      <c r="J32" s="3449" t="s">
        <v>2308</v>
      </c>
      <c r="K32" s="3450"/>
      <c r="L32" s="2595" t="s">
        <v>2309</v>
      </c>
      <c r="M32" s="2595" t="s">
        <v>2310</v>
      </c>
      <c r="N32" s="2595" t="s">
        <v>2311</v>
      </c>
      <c r="O32" s="2595" t="s">
        <v>2312</v>
      </c>
      <c r="P32" s="2595" t="s">
        <v>2313</v>
      </c>
      <c r="Q32" s="2596" t="s">
        <v>2314</v>
      </c>
      <c r="R32" s="2715" t="s">
        <v>2315</v>
      </c>
      <c r="S32" s="2586"/>
      <c r="T32" s="2586"/>
      <c r="U32" s="2586"/>
      <c r="V32" s="2692"/>
    </row>
    <row r="33" spans="1:23" s="2598" customFormat="1" ht="13.15" customHeight="1">
      <c r="A33" s="2674"/>
      <c r="B33" s="2675"/>
      <c r="C33" s="2676"/>
      <c r="D33" s="2716"/>
      <c r="E33" s="2717"/>
      <c r="F33" s="2679"/>
      <c r="G33" s="2586"/>
      <c r="H33" s="2700"/>
      <c r="I33" s="2692"/>
      <c r="J33" s="3451" t="s">
        <v>2318</v>
      </c>
      <c r="K33" s="3452"/>
      <c r="L33" s="2601"/>
      <c r="M33" s="2601"/>
      <c r="N33" s="2601"/>
      <c r="O33" s="2601"/>
      <c r="P33" s="2601"/>
      <c r="Q33" s="2602"/>
      <c r="R33" s="2718">
        <f>SUM(L33:Q33)</f>
        <v>0</v>
      </c>
      <c r="S33" s="2586"/>
      <c r="T33" s="2586"/>
      <c r="U33" s="2586"/>
      <c r="V33" s="2594"/>
    </row>
    <row r="34" spans="1:23" s="2598" customFormat="1" ht="13.15" customHeight="1">
      <c r="A34" s="2674">
        <v>5</v>
      </c>
      <c r="B34" s="2675" t="s">
        <v>2417</v>
      </c>
      <c r="C34" s="2719"/>
      <c r="D34" s="2720"/>
      <c r="E34" s="2721"/>
      <c r="F34" s="2679"/>
      <c r="G34" s="2586"/>
      <c r="H34" s="2700"/>
      <c r="I34" s="2692"/>
      <c r="J34" s="3451" t="s">
        <v>2320</v>
      </c>
      <c r="K34" s="3452"/>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15" customHeight="1" thickBot="1">
      <c r="A36" s="2674">
        <v>7</v>
      </c>
      <c r="B36" s="2728" t="s">
        <v>2419</v>
      </c>
      <c r="C36" s="2729"/>
      <c r="D36" s="2730"/>
      <c r="E36" s="2731"/>
      <c r="F36" s="2732">
        <f>C36+D36+E36</f>
        <v>0</v>
      </c>
      <c r="G36" s="2586"/>
      <c r="H36" s="2593"/>
      <c r="I36" s="2594"/>
      <c r="J36" s="3443">
        <v>1</v>
      </c>
      <c r="K36" s="3444" t="s">
        <v>2420</v>
      </c>
      <c r="L36" s="2619"/>
      <c r="M36" s="2620"/>
      <c r="N36" s="2620"/>
      <c r="O36" s="2620"/>
      <c r="P36" s="2620"/>
      <c r="Q36" s="2620"/>
      <c r="R36" s="2603" t="s">
        <v>2332</v>
      </c>
      <c r="S36" s="2586"/>
      <c r="T36" s="2586" t="s">
        <v>2333</v>
      </c>
      <c r="U36" s="2586"/>
      <c r="V36" s="2594"/>
    </row>
    <row r="37" spans="1:23" s="2598" customFormat="1" ht="13.15" customHeight="1">
      <c r="A37" s="2674"/>
      <c r="B37" s="2675"/>
      <c r="C37" s="2675"/>
      <c r="D37" s="2675"/>
      <c r="E37" s="2675"/>
      <c r="F37" s="2679"/>
      <c r="G37" s="2586"/>
      <c r="H37" s="2593"/>
      <c r="I37" s="2594"/>
      <c r="J37" s="3443"/>
      <c r="K37" s="3445"/>
      <c r="L37" s="2628"/>
      <c r="M37" s="2629"/>
      <c r="N37" s="2605"/>
      <c r="O37" s="2630"/>
      <c r="P37" s="2630"/>
      <c r="Q37" s="2631"/>
      <c r="R37" s="2632"/>
      <c r="S37" s="2586"/>
      <c r="T37" s="2586" t="s">
        <v>2336</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43"/>
      <c r="K38" s="3445"/>
      <c r="L38" s="2628"/>
      <c r="M38" s="2629"/>
      <c r="N38" s="2605"/>
      <c r="O38" s="2630"/>
      <c r="P38" s="2630"/>
      <c r="Q38" s="2631"/>
      <c r="R38" s="2632"/>
      <c r="S38" s="2586"/>
      <c r="T38" s="2586" t="s">
        <v>2343</v>
      </c>
      <c r="U38" s="2586"/>
      <c r="V38" s="2594"/>
    </row>
    <row r="39" spans="1:23" s="2598" customFormat="1" ht="13.15" customHeight="1">
      <c r="A39" s="2674">
        <v>9</v>
      </c>
      <c r="B39" s="2675" t="s">
        <v>2421</v>
      </c>
      <c r="C39" s="2642" t="e">
        <f>C38</f>
        <v>#DIV/0!</v>
      </c>
      <c r="D39" s="2675">
        <f>D38/(1+D34)^C36</f>
        <v>0</v>
      </c>
      <c r="E39" s="2675">
        <f>E38/(1+E34)^(C36+D36)</f>
        <v>0</v>
      </c>
      <c r="F39" s="2679"/>
      <c r="G39" s="2594"/>
      <c r="H39" s="2593"/>
      <c r="I39" s="2594"/>
      <c r="J39" s="3443"/>
      <c r="K39" s="3445"/>
      <c r="L39" s="2628"/>
      <c r="M39" s="2629"/>
      <c r="N39" s="2605"/>
      <c r="O39" s="2630"/>
      <c r="P39" s="2630"/>
      <c r="Q39" s="2631"/>
      <c r="R39" s="2632"/>
      <c r="S39" s="2586"/>
      <c r="T39" s="2586"/>
      <c r="U39" s="2586"/>
      <c r="V39" s="2594"/>
    </row>
    <row r="40" spans="1:23" s="2598" customFormat="1" ht="13.15" customHeight="1">
      <c r="A40" s="2733">
        <v>10</v>
      </c>
      <c r="B40" s="2675" t="s">
        <v>2422</v>
      </c>
      <c r="C40" s="2734" t="e">
        <f>C39+D39+E39</f>
        <v>#DIV/0!</v>
      </c>
      <c r="D40" s="2735"/>
      <c r="E40" s="2735"/>
      <c r="F40" s="2736"/>
      <c r="G40" s="2586"/>
      <c r="H40" s="2593"/>
      <c r="I40" s="2594"/>
      <c r="J40" s="3443"/>
      <c r="K40" s="3446"/>
      <c r="L40" s="2648" t="s">
        <v>2361</v>
      </c>
      <c r="M40" s="2649"/>
      <c r="N40" s="2649"/>
      <c r="O40" s="2650"/>
      <c r="P40" s="2650"/>
      <c r="Q40" s="2651"/>
      <c r="R40" s="2597">
        <f>SUM(R37:R39)</f>
        <v>0</v>
      </c>
      <c r="S40" s="2586"/>
      <c r="T40" s="2586"/>
      <c r="U40" s="2586"/>
      <c r="V40" s="2594"/>
    </row>
    <row r="41" spans="1:23" s="2598" customFormat="1" ht="13.15"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15" customHeight="1">
      <c r="G42" s="2593"/>
      <c r="H42" s="2593"/>
      <c r="I42" s="2594"/>
      <c r="J42" s="3447">
        <v>3</v>
      </c>
      <c r="K42" s="2694" t="s">
        <v>2403</v>
      </c>
      <c r="L42" s="2695"/>
      <c r="M42" s="2696"/>
      <c r="N42" s="2697" t="s">
        <v>2404</v>
      </c>
      <c r="O42" s="2697" t="s">
        <v>2405</v>
      </c>
      <c r="P42" s="2698" t="s">
        <v>2406</v>
      </c>
      <c r="Q42" s="2698" t="s">
        <v>2407</v>
      </c>
      <c r="R42" s="2603" t="s">
        <v>2332</v>
      </c>
      <c r="S42" s="2637"/>
      <c r="T42" s="2637"/>
      <c r="U42" s="2586"/>
      <c r="V42" s="2594"/>
    </row>
    <row r="43" spans="1:23" ht="13.15" customHeight="1">
      <c r="A43" s="2598"/>
      <c r="B43" s="2598"/>
      <c r="C43" s="2598"/>
      <c r="D43" s="2598"/>
      <c r="E43" s="2598"/>
      <c r="F43" s="2598"/>
      <c r="I43" s="2581"/>
      <c r="J43" s="3448"/>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8"/>
      <c r="H1" s="458"/>
      <c r="I1" s="458"/>
      <c r="J1" s="458"/>
      <c r="K1" s="458"/>
      <c r="L1" s="458"/>
      <c r="M1" s="458"/>
      <c r="N1" s="458"/>
      <c r="O1" s="458"/>
      <c r="P1" s="458"/>
      <c r="Q1" s="458"/>
      <c r="R1" s="458"/>
      <c r="S1" s="458"/>
    </row>
    <row r="2" spans="1:22" ht="15.75">
      <c r="A2" s="1725" t="s">
        <v>1462</v>
      </c>
      <c r="B2" s="809">
        <f ca="1">SUMIF(B6:B13,"&lt;&gt;#ref!",B6:B13)</f>
        <v>932.14120000000003</v>
      </c>
      <c r="C2" s="1726" t="s">
        <v>1651</v>
      </c>
      <c r="D2" s="1727" t="s">
        <v>1652</v>
      </c>
      <c r="E2" s="2388">
        <f>SUM(E6:E13)</f>
        <v>1382.5</v>
      </c>
      <c r="F2" s="2473"/>
      <c r="G2" s="458"/>
      <c r="H2" s="458"/>
      <c r="I2" s="458"/>
      <c r="J2" s="458"/>
      <c r="K2" s="458"/>
      <c r="L2" s="458"/>
      <c r="M2" s="458"/>
      <c r="N2" s="458"/>
      <c r="O2" s="458"/>
      <c r="P2" s="458"/>
      <c r="Q2" s="458"/>
      <c r="R2" s="458"/>
      <c r="S2" s="458"/>
    </row>
    <row r="3" spans="1:22" ht="15.75">
      <c r="A3" s="1725" t="s">
        <v>686</v>
      </c>
      <c r="B3" s="2382">
        <f ca="1">ROUND(B2*10000/E2,0)</f>
        <v>6742</v>
      </c>
      <c r="C3" s="1726" t="s">
        <v>1659</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4" t="s">
        <v>1653</v>
      </c>
      <c r="B5" s="3462" t="s">
        <v>1654</v>
      </c>
      <c r="C5" s="3463"/>
      <c r="D5" s="2474"/>
      <c r="E5" s="1728" t="s">
        <v>1655</v>
      </c>
      <c r="F5" s="128" t="s">
        <v>1656</v>
      </c>
      <c r="G5" s="458"/>
      <c r="H5" s="458"/>
      <c r="I5" s="458"/>
      <c r="J5" s="458"/>
      <c r="K5" s="458"/>
      <c r="L5" s="458"/>
      <c r="M5" s="458"/>
      <c r="N5" s="458"/>
      <c r="O5" s="458"/>
      <c r="P5" s="458"/>
      <c r="Q5" s="458"/>
      <c r="R5" s="458"/>
      <c r="S5" s="458"/>
    </row>
    <row r="6" spans="1:22">
      <c r="A6" s="2385" t="str">
        <f>'数据-取费表'!AN6</f>
        <v>收益法 (元)</v>
      </c>
      <c r="B6" s="2383">
        <f ca="1">IF(F6="是",'数据-取费表'!AO6,0)</f>
        <v>932.14120000000003</v>
      </c>
      <c r="C6" s="1726" t="s">
        <v>1651</v>
      </c>
      <c r="D6" s="2473"/>
      <c r="E6" s="2387">
        <f>IF(OR(A6=0,F6="否"),0,'数据-取费表'!K6+'数据-取费表'!S6)</f>
        <v>1382.5</v>
      </c>
      <c r="F6" s="1729" t="s">
        <v>1657</v>
      </c>
      <c r="G6" s="458"/>
      <c r="H6" s="458"/>
      <c r="I6" s="458"/>
      <c r="J6" s="458"/>
      <c r="K6" s="458"/>
      <c r="L6" s="458"/>
      <c r="M6" s="458"/>
      <c r="N6" s="458"/>
      <c r="O6" s="458"/>
      <c r="P6" s="458"/>
      <c r="Q6" s="458"/>
      <c r="R6" s="458"/>
      <c r="S6" s="458"/>
    </row>
    <row r="7" spans="1:22">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1382.5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5">
      <c r="A4" s="344" t="s">
        <v>1666</v>
      </c>
      <c r="B4" s="345"/>
      <c r="C4" s="3410" t="s">
        <v>1667</v>
      </c>
      <c r="D4" s="3411"/>
      <c r="E4" s="3412" t="s">
        <v>1668</v>
      </c>
      <c r="F4" s="3413"/>
      <c r="G4" s="3410" t="s">
        <v>1669</v>
      </c>
      <c r="H4" s="3411"/>
      <c r="I4" s="3410" t="s">
        <v>1670</v>
      </c>
      <c r="J4" s="3411"/>
      <c r="K4" s="1741" t="s">
        <v>1671</v>
      </c>
      <c r="L4" s="2480"/>
      <c r="M4" s="2481"/>
      <c r="N4" s="2481"/>
      <c r="O4" s="2481"/>
      <c r="P4" s="3414" t="s">
        <v>1672</v>
      </c>
      <c r="Q4" s="3415"/>
      <c r="R4" s="3420" t="s">
        <v>1668</v>
      </c>
      <c r="S4" s="3421"/>
      <c r="T4" s="3420" t="s">
        <v>1669</v>
      </c>
      <c r="U4" s="3421"/>
      <c r="V4" s="3393" t="s">
        <v>1670</v>
      </c>
      <c r="W4" s="3393"/>
      <c r="X4" s="1262"/>
      <c r="Y4" s="3420" t="s">
        <v>1672</v>
      </c>
      <c r="Z4" s="3421"/>
      <c r="AA4" s="3407" t="s">
        <v>1668</v>
      </c>
      <c r="AB4" s="3407" t="s">
        <v>1669</v>
      </c>
      <c r="AC4" s="3407" t="s">
        <v>1670</v>
      </c>
    </row>
    <row r="5" spans="1:29" ht="15">
      <c r="A5" s="347"/>
      <c r="B5" s="348"/>
      <c r="C5" s="3433" t="s">
        <v>1673</v>
      </c>
      <c r="D5" s="3429"/>
      <c r="E5" s="3464" t="s">
        <v>1674</v>
      </c>
      <c r="F5" s="3437"/>
      <c r="G5" s="3433" t="s">
        <v>1675</v>
      </c>
      <c r="H5" s="3429"/>
      <c r="I5" s="3433" t="s">
        <v>1676</v>
      </c>
      <c r="J5" s="3429"/>
      <c r="K5" s="1742"/>
      <c r="L5" s="2480"/>
      <c r="M5" s="2481"/>
      <c r="N5" s="2481"/>
      <c r="O5" s="2481"/>
      <c r="P5" s="3416"/>
      <c r="Q5" s="3417"/>
      <c r="R5" s="3422"/>
      <c r="S5" s="3423"/>
      <c r="T5" s="3422"/>
      <c r="U5" s="3423"/>
      <c r="V5" s="3393"/>
      <c r="W5" s="3393"/>
      <c r="X5" s="1262"/>
      <c r="Y5" s="3422"/>
      <c r="Z5" s="3423"/>
      <c r="AA5" s="3408"/>
      <c r="AB5" s="3408"/>
      <c r="AC5" s="3408"/>
    </row>
    <row r="6" spans="1:29" ht="15.75" thickBot="1">
      <c r="A6" s="349"/>
      <c r="B6" s="350"/>
      <c r="C6" s="3426" t="s">
        <v>1677</v>
      </c>
      <c r="D6" s="3427"/>
      <c r="E6" s="3434" t="s">
        <v>1677</v>
      </c>
      <c r="F6" s="3435"/>
      <c r="G6" s="3426" t="s">
        <v>1677</v>
      </c>
      <c r="H6" s="3427"/>
      <c r="I6" s="3426" t="s">
        <v>1677</v>
      </c>
      <c r="J6" s="3427"/>
      <c r="K6" s="1742" t="s">
        <v>1678</v>
      </c>
      <c r="L6" s="2480"/>
      <c r="M6" s="2481"/>
      <c r="N6" s="2481"/>
      <c r="O6" s="2481"/>
      <c r="P6" s="3418"/>
      <c r="Q6" s="3419"/>
      <c r="R6" s="3422"/>
      <c r="S6" s="3423"/>
      <c r="T6" s="3424"/>
      <c r="U6" s="3425"/>
      <c r="V6" s="3393"/>
      <c r="W6" s="3393"/>
      <c r="X6" s="1262"/>
      <c r="Y6" s="3424"/>
      <c r="Z6" s="3425"/>
      <c r="AA6" s="3409"/>
      <c r="AB6" s="3409"/>
      <c r="AC6" s="3409"/>
    </row>
    <row r="7" spans="1:29" s="101" customFormat="1" ht="15.75" thickBot="1">
      <c r="A7" s="351" t="s">
        <v>1679</v>
      </c>
      <c r="B7" s="352"/>
      <c r="C7" s="353">
        <f>'数据-取费表'!B2</f>
        <v>45775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30" t="s">
        <v>1680</v>
      </c>
      <c r="Q7" s="3432"/>
      <c r="R7" s="662" t="s">
        <v>20</v>
      </c>
      <c r="S7" s="663">
        <f t="shared" ref="S7:S15" si="0">F7</f>
        <v>0</v>
      </c>
      <c r="T7" s="662" t="s">
        <v>20</v>
      </c>
      <c r="U7" s="663">
        <f t="shared" ref="U7:U15" si="1">H7</f>
        <v>0</v>
      </c>
      <c r="V7" s="662" t="s">
        <v>20</v>
      </c>
      <c r="W7" s="663">
        <f t="shared" ref="W7:W15" si="2">J7</f>
        <v>0</v>
      </c>
      <c r="X7" s="664"/>
      <c r="Y7" s="3430" t="s">
        <v>1680</v>
      </c>
      <c r="Z7" s="3431"/>
      <c r="AA7" s="50" t="e">
        <f>D7/F7</f>
        <v>#DIV/0!</v>
      </c>
      <c r="AB7" s="50" t="e">
        <f>D7/H7</f>
        <v>#DIV/0!</v>
      </c>
      <c r="AC7" s="50" t="e">
        <f>D7/J7</f>
        <v>#DIV/0!</v>
      </c>
    </row>
    <row r="8" spans="1:29" s="101"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30" t="s">
        <v>1683</v>
      </c>
      <c r="Q8" s="3431"/>
      <c r="R8" s="662" t="s">
        <v>20</v>
      </c>
      <c r="S8" s="663">
        <f t="shared" si="0"/>
        <v>100</v>
      </c>
      <c r="T8" s="662" t="s">
        <v>20</v>
      </c>
      <c r="U8" s="663">
        <f t="shared" si="1"/>
        <v>100</v>
      </c>
      <c r="V8" s="662" t="s">
        <v>20</v>
      </c>
      <c r="W8" s="663">
        <f t="shared" si="2"/>
        <v>100</v>
      </c>
      <c r="X8" s="664"/>
      <c r="Y8" s="3430" t="s">
        <v>1683</v>
      </c>
      <c r="Z8" s="3431"/>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06"/>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06"/>
      <c r="Q11" s="529" t="str">
        <f t="shared" si="6"/>
        <v>容积率</v>
      </c>
      <c r="R11" s="662" t="s">
        <v>18</v>
      </c>
      <c r="S11" s="663" t="e">
        <f t="shared" si="0"/>
        <v>#N/A</v>
      </c>
      <c r="T11" s="662" t="s">
        <v>18</v>
      </c>
      <c r="U11" s="663" t="e">
        <f t="shared" si="1"/>
        <v>#N/A</v>
      </c>
      <c r="V11" s="662" t="s">
        <v>18</v>
      </c>
      <c r="W11" s="663" t="e">
        <f t="shared" si="2"/>
        <v>#N/A</v>
      </c>
      <c r="X11" s="664"/>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06"/>
      <c r="Q12" s="529">
        <f t="shared" si="6"/>
        <v>111</v>
      </c>
      <c r="R12" s="662" t="s">
        <v>18</v>
      </c>
      <c r="S12" s="663">
        <f t="shared" si="0"/>
        <v>100</v>
      </c>
      <c r="T12" s="662" t="s">
        <v>18</v>
      </c>
      <c r="U12" s="663">
        <f t="shared" si="1"/>
        <v>100</v>
      </c>
      <c r="V12" s="662" t="s">
        <v>18</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06"/>
      <c r="Q13" s="529">
        <f t="shared" si="6"/>
        <v>111</v>
      </c>
      <c r="R13" s="662" t="s">
        <v>18</v>
      </c>
      <c r="S13" s="663">
        <f t="shared" si="0"/>
        <v>100</v>
      </c>
      <c r="T13" s="662" t="s">
        <v>18</v>
      </c>
      <c r="U13" s="663">
        <f t="shared" si="1"/>
        <v>100</v>
      </c>
      <c r="V13" s="662" t="s">
        <v>18</v>
      </c>
      <c r="W13" s="663">
        <f t="shared" si="2"/>
        <v>100</v>
      </c>
      <c r="X13" s="664"/>
      <c r="Y13" s="3277"/>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06"/>
      <c r="Q14" s="529">
        <f t="shared" si="6"/>
        <v>111</v>
      </c>
      <c r="R14" s="662" t="s">
        <v>18</v>
      </c>
      <c r="S14" s="663">
        <f t="shared" si="0"/>
        <v>100</v>
      </c>
      <c r="T14" s="662" t="s">
        <v>18</v>
      </c>
      <c r="U14" s="663">
        <f t="shared" si="1"/>
        <v>100</v>
      </c>
      <c r="V14" s="662" t="s">
        <v>18</v>
      </c>
      <c r="W14" s="663">
        <f t="shared" si="2"/>
        <v>100</v>
      </c>
      <c r="X14" s="664"/>
      <c r="Y14" s="3277"/>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97" t="s">
        <v>1691</v>
      </c>
      <c r="Q15" s="1260" t="str">
        <f t="shared" si="6"/>
        <v>居住社区成熟度</v>
      </c>
      <c r="R15" s="665" t="s">
        <v>18</v>
      </c>
      <c r="S15" s="666">
        <f t="shared" si="0"/>
        <v>100</v>
      </c>
      <c r="T15" s="665" t="s">
        <v>18</v>
      </c>
      <c r="U15" s="666">
        <f t="shared" si="1"/>
        <v>100</v>
      </c>
      <c r="V15" s="665" t="s">
        <v>18</v>
      </c>
      <c r="W15" s="666">
        <f t="shared" si="2"/>
        <v>100</v>
      </c>
      <c r="X15" s="1262"/>
      <c r="Y15" s="3399"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398"/>
      <c r="Q16" s="1260"/>
      <c r="R16" s="665"/>
      <c r="S16" s="666"/>
      <c r="T16" s="665"/>
      <c r="U16" s="666"/>
      <c r="V16" s="665"/>
      <c r="W16" s="666"/>
      <c r="X16" s="1262"/>
      <c r="Y16" s="3400"/>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98"/>
      <c r="Q17" s="1260" t="str">
        <f>B17</f>
        <v>交通便捷度</v>
      </c>
      <c r="R17" s="665" t="s">
        <v>18</v>
      </c>
      <c r="S17" s="666">
        <f>F17</f>
        <v>100</v>
      </c>
      <c r="T17" s="665" t="s">
        <v>18</v>
      </c>
      <c r="U17" s="666">
        <f>H17</f>
        <v>100</v>
      </c>
      <c r="V17" s="665" t="s">
        <v>18</v>
      </c>
      <c r="W17" s="666">
        <f>J17</f>
        <v>100</v>
      </c>
      <c r="X17" s="1262"/>
      <c r="Y17" s="3400"/>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398"/>
      <c r="Q18" s="1260"/>
      <c r="R18" s="665"/>
      <c r="S18" s="666"/>
      <c r="T18" s="665"/>
      <c r="U18" s="666"/>
      <c r="V18" s="665"/>
      <c r="W18" s="666"/>
      <c r="X18" s="1262"/>
      <c r="Y18" s="3400"/>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98"/>
      <c r="Q19" s="1260" t="str">
        <f>B19</f>
        <v>公共配套设施</v>
      </c>
      <c r="R19" s="665" t="s">
        <v>18</v>
      </c>
      <c r="S19" s="666">
        <f>F19</f>
        <v>100</v>
      </c>
      <c r="T19" s="665" t="s">
        <v>18</v>
      </c>
      <c r="U19" s="666">
        <f>H19</f>
        <v>100</v>
      </c>
      <c r="V19" s="665" t="s">
        <v>18</v>
      </c>
      <c r="W19" s="666">
        <f>J19</f>
        <v>100</v>
      </c>
      <c r="X19" s="1262"/>
      <c r="Y19" s="3400"/>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398"/>
      <c r="Q20" s="1260"/>
      <c r="R20" s="665"/>
      <c r="S20" s="666"/>
      <c r="T20" s="665"/>
      <c r="U20" s="666"/>
      <c r="V20" s="665"/>
      <c r="W20" s="666"/>
      <c r="X20" s="1262"/>
      <c r="Y20" s="3400"/>
      <c r="Z20" s="1261"/>
      <c r="AA20" s="1261">
        <v>1</v>
      </c>
      <c r="AB20" s="1261">
        <v>1</v>
      </c>
      <c r="AC20" s="1261">
        <v>1</v>
      </c>
    </row>
    <row r="21" spans="1:29" ht="42.75">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98"/>
      <c r="Q21" s="1260" t="str">
        <f>B21</f>
        <v>基础设施水平</v>
      </c>
      <c r="R21" s="665" t="s">
        <v>14</v>
      </c>
      <c r="S21" s="666">
        <f>F21</f>
        <v>100</v>
      </c>
      <c r="T21" s="665" t="s">
        <v>14</v>
      </c>
      <c r="U21" s="666">
        <f>H21</f>
        <v>100</v>
      </c>
      <c r="V21" s="665" t="s">
        <v>14</v>
      </c>
      <c r="W21" s="666">
        <f>J21</f>
        <v>100</v>
      </c>
      <c r="X21" s="1262"/>
      <c r="Y21" s="3400"/>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398"/>
      <c r="Q22" s="1260"/>
      <c r="R22" s="665"/>
      <c r="S22" s="666"/>
      <c r="T22" s="665"/>
      <c r="U22" s="666"/>
      <c r="V22" s="665"/>
      <c r="W22" s="666"/>
      <c r="X22" s="1262"/>
      <c r="Y22" s="3400"/>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98"/>
      <c r="Q23" s="1260" t="str">
        <f>B23</f>
        <v>自然及人文环境</v>
      </c>
      <c r="R23" s="665" t="s">
        <v>18</v>
      </c>
      <c r="S23" s="666">
        <f>F23</f>
        <v>100</v>
      </c>
      <c r="T23" s="665" t="s">
        <v>18</v>
      </c>
      <c r="U23" s="666">
        <f>H23</f>
        <v>100</v>
      </c>
      <c r="V23" s="665" t="s">
        <v>18</v>
      </c>
      <c r="W23" s="666">
        <f>J23</f>
        <v>100</v>
      </c>
      <c r="X23" s="1262"/>
      <c r="Y23" s="3400"/>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398"/>
      <c r="Q24" s="1260"/>
      <c r="R24" s="665"/>
      <c r="S24" s="666"/>
      <c r="T24" s="665"/>
      <c r="U24" s="666"/>
      <c r="V24" s="665"/>
      <c r="W24" s="666"/>
      <c r="X24" s="1262"/>
      <c r="Y24" s="3400"/>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398"/>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0"/>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398"/>
      <c r="Q26" s="1260" t="str">
        <f t="shared" si="11"/>
        <v>朝向</v>
      </c>
      <c r="R26" s="665" t="s">
        <v>18</v>
      </c>
      <c r="S26" s="666">
        <f t="shared" si="12"/>
        <v>100</v>
      </c>
      <c r="T26" s="665" t="s">
        <v>18</v>
      </c>
      <c r="U26" s="666">
        <f t="shared" si="13"/>
        <v>100</v>
      </c>
      <c r="V26" s="665" t="s">
        <v>18</v>
      </c>
      <c r="W26" s="666">
        <f t="shared" si="14"/>
        <v>100</v>
      </c>
      <c r="X26" s="1262"/>
      <c r="Y26" s="3400"/>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398"/>
      <c r="Q27" s="529">
        <f t="shared" si="11"/>
        <v>111</v>
      </c>
      <c r="R27" s="662" t="s">
        <v>18</v>
      </c>
      <c r="S27" s="663">
        <f t="shared" si="12"/>
        <v>100</v>
      </c>
      <c r="T27" s="662" t="s">
        <v>18</v>
      </c>
      <c r="U27" s="663">
        <f t="shared" si="13"/>
        <v>100</v>
      </c>
      <c r="V27" s="662" t="s">
        <v>18</v>
      </c>
      <c r="W27" s="663">
        <f t="shared" si="14"/>
        <v>100</v>
      </c>
      <c r="X27" s="664"/>
      <c r="Y27" s="3400"/>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398"/>
      <c r="Q28" s="1260">
        <f t="shared" si="11"/>
        <v>111</v>
      </c>
      <c r="R28" s="665" t="s">
        <v>18</v>
      </c>
      <c r="S28" s="666">
        <f t="shared" si="12"/>
        <v>100</v>
      </c>
      <c r="T28" s="665" t="s">
        <v>18</v>
      </c>
      <c r="U28" s="666">
        <f t="shared" si="13"/>
        <v>100</v>
      </c>
      <c r="V28" s="665" t="s">
        <v>18</v>
      </c>
      <c r="W28" s="666">
        <f t="shared" si="14"/>
        <v>100</v>
      </c>
      <c r="X28" s="1262"/>
      <c r="Y28" s="3400"/>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398"/>
      <c r="Q29" s="1260">
        <f t="shared" si="11"/>
        <v>111</v>
      </c>
      <c r="R29" s="665" t="s">
        <v>18</v>
      </c>
      <c r="S29" s="666">
        <f t="shared" si="12"/>
        <v>100</v>
      </c>
      <c r="T29" s="665" t="s">
        <v>18</v>
      </c>
      <c r="U29" s="666">
        <f t="shared" si="13"/>
        <v>100</v>
      </c>
      <c r="V29" s="665" t="s">
        <v>18</v>
      </c>
      <c r="W29" s="666">
        <f t="shared" si="14"/>
        <v>100</v>
      </c>
      <c r="X29" s="1262"/>
      <c r="Y29" s="3400"/>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398"/>
      <c r="Q30" s="1260">
        <f t="shared" si="11"/>
        <v>111</v>
      </c>
      <c r="R30" s="665" t="s">
        <v>18</v>
      </c>
      <c r="S30" s="666">
        <f t="shared" si="12"/>
        <v>100</v>
      </c>
      <c r="T30" s="665" t="s">
        <v>18</v>
      </c>
      <c r="U30" s="666">
        <f t="shared" si="13"/>
        <v>100</v>
      </c>
      <c r="V30" s="665" t="s">
        <v>18</v>
      </c>
      <c r="W30" s="666">
        <f t="shared" si="14"/>
        <v>100</v>
      </c>
      <c r="X30" s="1262"/>
      <c r="Y30" s="3400"/>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398"/>
      <c r="Q31" s="1260">
        <f t="shared" si="11"/>
        <v>111</v>
      </c>
      <c r="R31" s="665" t="s">
        <v>18</v>
      </c>
      <c r="S31" s="666">
        <f t="shared" si="12"/>
        <v>100</v>
      </c>
      <c r="T31" s="665" t="s">
        <v>18</v>
      </c>
      <c r="U31" s="666">
        <f t="shared" si="13"/>
        <v>100</v>
      </c>
      <c r="V31" s="665" t="s">
        <v>18</v>
      </c>
      <c r="W31" s="666">
        <f t="shared" si="14"/>
        <v>100</v>
      </c>
      <c r="X31" s="1262"/>
      <c r="Y31" s="3400"/>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01" t="s">
        <v>1696</v>
      </c>
      <c r="Q32" s="1260" t="str">
        <f t="shared" si="11"/>
        <v>建筑类型</v>
      </c>
      <c r="R32" s="665" t="s">
        <v>18</v>
      </c>
      <c r="S32" s="666">
        <f t="shared" si="12"/>
        <v>100</v>
      </c>
      <c r="T32" s="665" t="s">
        <v>18</v>
      </c>
      <c r="U32" s="666">
        <f t="shared" si="13"/>
        <v>100</v>
      </c>
      <c r="V32" s="665" t="s">
        <v>18</v>
      </c>
      <c r="W32" s="666">
        <f t="shared" si="14"/>
        <v>100</v>
      </c>
      <c r="X32" s="1262"/>
      <c r="Y32" s="3404"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02"/>
      <c r="Q33" s="530" t="str">
        <f t="shared" si="11"/>
        <v>项目建筑规模</v>
      </c>
      <c r="R33" s="667" t="s">
        <v>18</v>
      </c>
      <c r="S33" s="668" t="e">
        <f t="shared" si="12"/>
        <v>#N/A</v>
      </c>
      <c r="T33" s="667" t="s">
        <v>18</v>
      </c>
      <c r="U33" s="668" t="e">
        <f t="shared" si="13"/>
        <v>#N/A</v>
      </c>
      <c r="V33" s="667" t="s">
        <v>18</v>
      </c>
      <c r="W33" s="668" t="e">
        <f t="shared" si="14"/>
        <v>#N/A</v>
      </c>
      <c r="X33" s="669"/>
      <c r="Y33" s="3404"/>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02"/>
      <c r="Q34" s="1260" t="str">
        <f t="shared" si="11"/>
        <v>建筑结构</v>
      </c>
      <c r="R34" s="665" t="s">
        <v>18</v>
      </c>
      <c r="S34" s="666">
        <f t="shared" si="12"/>
        <v>100</v>
      </c>
      <c r="T34" s="665" t="s">
        <v>18</v>
      </c>
      <c r="U34" s="666">
        <f t="shared" si="13"/>
        <v>100</v>
      </c>
      <c r="V34" s="665" t="s">
        <v>18</v>
      </c>
      <c r="W34" s="666">
        <f t="shared" si="14"/>
        <v>100</v>
      </c>
      <c r="X34" s="1262"/>
      <c r="Y34" s="3404"/>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02"/>
      <c r="Q35" s="1260" t="str">
        <f t="shared" si="11"/>
        <v>建筑品质</v>
      </c>
      <c r="R35" s="665" t="s">
        <v>18</v>
      </c>
      <c r="S35" s="666">
        <f t="shared" si="12"/>
        <v>100</v>
      </c>
      <c r="T35" s="665" t="s">
        <v>18</v>
      </c>
      <c r="U35" s="666">
        <f t="shared" si="13"/>
        <v>100</v>
      </c>
      <c r="V35" s="665" t="s">
        <v>18</v>
      </c>
      <c r="W35" s="666">
        <f t="shared" si="14"/>
        <v>100</v>
      </c>
      <c r="X35" s="1262"/>
      <c r="Y35" s="3404"/>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02"/>
      <c r="Q36" s="1260" t="str">
        <f t="shared" si="11"/>
        <v>公共部分装修</v>
      </c>
      <c r="R36" s="665" t="s">
        <v>18</v>
      </c>
      <c r="S36" s="666">
        <f t="shared" si="12"/>
        <v>100</v>
      </c>
      <c r="T36" s="665" t="s">
        <v>18</v>
      </c>
      <c r="U36" s="666">
        <f t="shared" si="13"/>
        <v>100</v>
      </c>
      <c r="V36" s="665" t="s">
        <v>18</v>
      </c>
      <c r="W36" s="666">
        <f t="shared" si="14"/>
        <v>100</v>
      </c>
      <c r="X36" s="1262"/>
      <c r="Y36" s="3404"/>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02"/>
      <c r="Q37" s="529" t="str">
        <f t="shared" si="11"/>
        <v>成新度</v>
      </c>
      <c r="R37" s="662" t="s">
        <v>18</v>
      </c>
      <c r="S37" s="663" t="e">
        <f t="shared" si="12"/>
        <v>#N/A</v>
      </c>
      <c r="T37" s="662" t="s">
        <v>18</v>
      </c>
      <c r="U37" s="663" t="e">
        <f t="shared" si="13"/>
        <v>#N/A</v>
      </c>
      <c r="V37" s="662" t="s">
        <v>18</v>
      </c>
      <c r="W37" s="663" t="e">
        <f t="shared" si="14"/>
        <v>#N/A</v>
      </c>
      <c r="X37" s="664"/>
      <c r="Y37" s="3404"/>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02" t="s">
        <v>1696</v>
      </c>
      <c r="Q38" s="1260" t="str">
        <f t="shared" si="11"/>
        <v>物业管理</v>
      </c>
      <c r="R38" s="665" t="s">
        <v>18</v>
      </c>
      <c r="S38" s="666">
        <f t="shared" si="12"/>
        <v>100</v>
      </c>
      <c r="T38" s="665" t="s">
        <v>18</v>
      </c>
      <c r="U38" s="666">
        <f t="shared" si="13"/>
        <v>100</v>
      </c>
      <c r="V38" s="665" t="s">
        <v>18</v>
      </c>
      <c r="W38" s="666">
        <f t="shared" si="14"/>
        <v>100</v>
      </c>
      <c r="X38" s="1262"/>
      <c r="Y38" s="3404"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02"/>
      <c r="Q39" s="1260" t="str">
        <f t="shared" si="11"/>
        <v>市政基础设施</v>
      </c>
      <c r="R39" s="665" t="s">
        <v>18</v>
      </c>
      <c r="S39" s="666">
        <f t="shared" si="12"/>
        <v>100</v>
      </c>
      <c r="T39" s="665" t="s">
        <v>18</v>
      </c>
      <c r="U39" s="666">
        <f t="shared" si="13"/>
        <v>100</v>
      </c>
      <c r="V39" s="665" t="s">
        <v>18</v>
      </c>
      <c r="W39" s="666">
        <f t="shared" si="14"/>
        <v>100</v>
      </c>
      <c r="X39" s="1262"/>
      <c r="Y39" s="3404"/>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02"/>
      <c r="Q40" s="1260" t="str">
        <f t="shared" si="11"/>
        <v>房型</v>
      </c>
      <c r="R40" s="665" t="s">
        <v>18</v>
      </c>
      <c r="S40" s="666">
        <f t="shared" si="12"/>
        <v>100</v>
      </c>
      <c r="T40" s="665" t="s">
        <v>18</v>
      </c>
      <c r="U40" s="666">
        <f t="shared" si="13"/>
        <v>100</v>
      </c>
      <c r="V40" s="665" t="s">
        <v>18</v>
      </c>
      <c r="W40" s="666">
        <f t="shared" si="14"/>
        <v>100</v>
      </c>
      <c r="X40" s="1262"/>
      <c r="Y40" s="3404"/>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02"/>
      <c r="Q41" s="530" t="str">
        <f t="shared" si="11"/>
        <v>单套/主力户型建筑面积</v>
      </c>
      <c r="R41" s="667" t="s">
        <v>18</v>
      </c>
      <c r="S41" s="668">
        <f t="shared" si="12"/>
        <v>100</v>
      </c>
      <c r="T41" s="667" t="s">
        <v>18</v>
      </c>
      <c r="U41" s="668">
        <f t="shared" si="13"/>
        <v>100</v>
      </c>
      <c r="V41" s="667" t="s">
        <v>18</v>
      </c>
      <c r="W41" s="668">
        <f t="shared" si="14"/>
        <v>100</v>
      </c>
      <c r="X41" s="669"/>
      <c r="Y41" s="3404"/>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02"/>
      <c r="Q42" s="1260" t="str">
        <f t="shared" si="11"/>
        <v>内部装修</v>
      </c>
      <c r="R42" s="665" t="s">
        <v>18</v>
      </c>
      <c r="S42" s="666">
        <f t="shared" si="12"/>
        <v>100</v>
      </c>
      <c r="T42" s="665" t="s">
        <v>18</v>
      </c>
      <c r="U42" s="666">
        <f t="shared" si="13"/>
        <v>100</v>
      </c>
      <c r="V42" s="665" t="s">
        <v>18</v>
      </c>
      <c r="W42" s="666">
        <f t="shared" si="14"/>
        <v>100</v>
      </c>
      <c r="X42" s="1262"/>
      <c r="Y42" s="3404"/>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02"/>
      <c r="Q43" s="1260" t="str">
        <f t="shared" si="11"/>
        <v>内部装修维护情况</v>
      </c>
      <c r="R43" s="665" t="s">
        <v>18</v>
      </c>
      <c r="S43" s="666">
        <f t="shared" si="12"/>
        <v>100</v>
      </c>
      <c r="T43" s="665" t="s">
        <v>18</v>
      </c>
      <c r="U43" s="666">
        <f t="shared" si="13"/>
        <v>100</v>
      </c>
      <c r="V43" s="665" t="s">
        <v>18</v>
      </c>
      <c r="W43" s="666">
        <f t="shared" si="14"/>
        <v>100</v>
      </c>
      <c r="X43" s="1262"/>
      <c r="Y43" s="3404"/>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02"/>
      <c r="Q44" s="529">
        <f t="shared" si="11"/>
        <v>111</v>
      </c>
      <c r="R44" s="662" t="s">
        <v>18</v>
      </c>
      <c r="S44" s="663">
        <f t="shared" si="12"/>
        <v>100</v>
      </c>
      <c r="T44" s="662" t="s">
        <v>18</v>
      </c>
      <c r="U44" s="663">
        <f t="shared" si="13"/>
        <v>100</v>
      </c>
      <c r="V44" s="662" t="s">
        <v>18</v>
      </c>
      <c r="W44" s="663">
        <f t="shared" si="14"/>
        <v>100</v>
      </c>
      <c r="X44" s="664"/>
      <c r="Y44" s="3404"/>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02"/>
      <c r="Q45" s="1260">
        <f t="shared" si="11"/>
        <v>111</v>
      </c>
      <c r="R45" s="665" t="s">
        <v>18</v>
      </c>
      <c r="S45" s="666">
        <f t="shared" si="12"/>
        <v>100</v>
      </c>
      <c r="T45" s="665" t="s">
        <v>18</v>
      </c>
      <c r="U45" s="666">
        <f t="shared" si="13"/>
        <v>100</v>
      </c>
      <c r="V45" s="665" t="s">
        <v>18</v>
      </c>
      <c r="W45" s="666">
        <f t="shared" si="14"/>
        <v>100</v>
      </c>
      <c r="X45" s="1262"/>
      <c r="Y45" s="3404"/>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03"/>
      <c r="Q46" s="1260">
        <f t="shared" si="11"/>
        <v>111</v>
      </c>
      <c r="R46" s="665" t="s">
        <v>17</v>
      </c>
      <c r="S46" s="666">
        <f t="shared" si="12"/>
        <v>100</v>
      </c>
      <c r="T46" s="665" t="s">
        <v>17</v>
      </c>
      <c r="U46" s="666">
        <f t="shared" si="13"/>
        <v>100</v>
      </c>
      <c r="V46" s="665" t="s">
        <v>17</v>
      </c>
      <c r="W46" s="666">
        <f t="shared" si="14"/>
        <v>100</v>
      </c>
      <c r="X46" s="1262"/>
      <c r="Y46" s="3405"/>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88"/>
      <c r="M47" s="2481"/>
      <c r="N47" s="2481"/>
      <c r="O47" s="2481"/>
      <c r="P47" s="3392" t="str">
        <f>A47</f>
        <v>成交单价（元/平方米）</v>
      </c>
      <c r="Q47" s="3392"/>
      <c r="R47" s="3393">
        <f>E47</f>
        <v>0</v>
      </c>
      <c r="S47" s="3393"/>
      <c r="T47" s="3393">
        <f>G47</f>
        <v>0</v>
      </c>
      <c r="U47" s="3393"/>
      <c r="V47" s="3393">
        <f>I47</f>
        <v>0</v>
      </c>
      <c r="W47" s="3393"/>
      <c r="X47" s="384"/>
      <c r="Y47" s="671"/>
      <c r="Z47" s="384"/>
      <c r="AA47" s="384"/>
      <c r="AB47" s="384"/>
      <c r="AC47" s="384"/>
    </row>
    <row r="48" spans="1:29" ht="15.7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88"/>
      <c r="M49" s="2481"/>
      <c r="N49" s="2481"/>
      <c r="O49" s="2481"/>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6" t="s">
        <v>1714</v>
      </c>
      <c r="B57" s="384"/>
      <c r="C57" s="657"/>
      <c r="D57" s="657"/>
      <c r="E57" s="657"/>
      <c r="F57" s="658"/>
      <c r="G57" s="658"/>
      <c r="H57" s="657"/>
      <c r="I57" s="657"/>
      <c r="J57" s="657"/>
      <c r="K57" s="885"/>
      <c r="L57" s="886"/>
      <c r="M57" s="884"/>
      <c r="N57" s="884"/>
      <c r="O57" s="884"/>
      <c r="P57" s="1768"/>
      <c r="Q57" s="438"/>
    </row>
    <row r="58" spans="1:29" s="441" customFormat="1" ht="15">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1" customFormat="1" ht="15">
      <c r="A59" s="442"/>
      <c r="B59" s="1769"/>
      <c r="C59" s="1099">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1"/>
      <c r="E61" s="31"/>
      <c r="F61" s="31"/>
      <c r="G61" s="31"/>
      <c r="H61" s="31"/>
      <c r="I61" s="31"/>
      <c r="J61" s="31"/>
      <c r="K61" s="31"/>
      <c r="L61" s="456"/>
      <c r="M61" s="457"/>
      <c r="N61" s="876"/>
      <c r="O61" s="876"/>
      <c r="P61" s="1771"/>
      <c r="Q61" s="438"/>
    </row>
    <row r="62" spans="1:29" s="101" customFormat="1" ht="15.75" thickBot="1">
      <c r="A62" s="454"/>
      <c r="B62" s="443"/>
      <c r="C62" s="444">
        <v>100</v>
      </c>
      <c r="D62" s="445"/>
      <c r="E62" s="445"/>
      <c r="F62" s="445"/>
      <c r="G62" s="445"/>
      <c r="H62" s="445"/>
      <c r="I62" s="445"/>
      <c r="J62" s="445"/>
      <c r="K62" s="445"/>
      <c r="L62" s="445"/>
      <c r="M62" s="447"/>
      <c r="N62" s="876"/>
      <c r="O62" s="876"/>
      <c r="P62" s="1770"/>
      <c r="Q62" s="438"/>
    </row>
    <row r="63" spans="1:29">
      <c r="A63" s="378" t="s">
        <v>1719</v>
      </c>
      <c r="B63" s="459" t="s">
        <v>1685</v>
      </c>
      <c r="C63" s="460">
        <f>C9</f>
        <v>0</v>
      </c>
      <c r="D63" s="461"/>
      <c r="E63" s="461"/>
      <c r="F63" s="461"/>
      <c r="G63" s="461"/>
      <c r="H63" s="461"/>
      <c r="I63" s="461"/>
      <c r="J63" s="461"/>
      <c r="K63" s="462"/>
      <c r="L63" s="463"/>
      <c r="M63" s="464"/>
      <c r="N63" s="877"/>
      <c r="O63" s="877"/>
      <c r="P63" s="1772"/>
      <c r="Q63" s="438"/>
    </row>
    <row r="64" spans="1:29" ht="15.75" thickBot="1">
      <c r="A64" s="366"/>
      <c r="B64" s="465"/>
      <c r="C64" s="466">
        <v>100</v>
      </c>
      <c r="D64" s="466"/>
      <c r="E64" s="466"/>
      <c r="F64" s="466"/>
      <c r="G64" s="466"/>
      <c r="H64" s="466"/>
      <c r="I64" s="466"/>
      <c r="J64" s="466"/>
      <c r="K64" s="466"/>
      <c r="L64" s="466"/>
      <c r="M64" s="467"/>
      <c r="N64" s="878"/>
      <c r="O64" s="878"/>
      <c r="P64" s="1772"/>
      <c r="Q64" s="438"/>
    </row>
    <row r="65" spans="1:17" ht="27.75" thickTop="1">
      <c r="A65" s="366"/>
      <c r="B65" s="468" t="s">
        <v>1688</v>
      </c>
      <c r="C65" s="512"/>
      <c r="D65" s="512"/>
      <c r="E65" s="512"/>
      <c r="F65" s="512"/>
      <c r="G65" s="512"/>
      <c r="H65" s="512"/>
      <c r="I65" s="512"/>
      <c r="J65" s="512"/>
      <c r="K65" s="512"/>
      <c r="L65" s="512"/>
      <c r="M65" s="512"/>
      <c r="N65" s="878"/>
      <c r="O65" s="878"/>
      <c r="P65" s="1772"/>
      <c r="Q65" s="438"/>
    </row>
    <row r="66" spans="1:17" ht="15.75" thickBot="1">
      <c r="A66" s="366"/>
      <c r="B66" s="473"/>
      <c r="C66" s="466"/>
      <c r="D66" s="466"/>
      <c r="E66" s="466"/>
      <c r="F66" s="466"/>
      <c r="G66" s="466"/>
      <c r="H66" s="466"/>
      <c r="I66" s="466"/>
      <c r="J66" s="466"/>
      <c r="K66" s="466"/>
      <c r="L66" s="466"/>
      <c r="M66" s="467"/>
      <c r="N66" s="878"/>
      <c r="O66" s="878"/>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ht="15">
      <c r="A68" s="366"/>
      <c r="B68" s="478"/>
      <c r="C68" s="479"/>
      <c r="D68" s="479"/>
      <c r="E68" s="479"/>
      <c r="F68" s="479"/>
      <c r="G68" s="479"/>
      <c r="H68" s="479"/>
      <c r="I68" s="479"/>
      <c r="J68" s="479"/>
      <c r="K68" s="480"/>
      <c r="L68" s="481"/>
      <c r="M68" s="482"/>
      <c r="N68" s="877"/>
      <c r="O68" s="877"/>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5.75" thickTop="1">
      <c r="A70" s="483"/>
      <c r="B70" s="468">
        <f>B12</f>
        <v>111</v>
      </c>
      <c r="C70" s="484"/>
      <c r="D70" s="484"/>
      <c r="E70" s="484"/>
      <c r="F70" s="484"/>
      <c r="G70" s="484"/>
      <c r="H70" s="485"/>
      <c r="I70" s="485"/>
      <c r="J70" s="485"/>
      <c r="K70" s="485"/>
      <c r="L70" s="486"/>
      <c r="M70" s="487"/>
      <c r="N70" s="879"/>
      <c r="O70" s="879"/>
      <c r="P70" s="1773"/>
      <c r="Q70" s="489"/>
    </row>
    <row r="71" spans="1:17" s="407" customFormat="1" ht="15.75" thickBot="1">
      <c r="A71" s="483"/>
      <c r="B71" s="473"/>
      <c r="C71" s="490"/>
      <c r="D71" s="466"/>
      <c r="E71" s="466"/>
      <c r="F71" s="466"/>
      <c r="G71" s="466"/>
      <c r="H71" s="466"/>
      <c r="I71" s="466"/>
      <c r="J71" s="466"/>
      <c r="K71" s="466"/>
      <c r="L71" s="466"/>
      <c r="M71" s="467"/>
      <c r="N71" s="878"/>
      <c r="O71" s="878"/>
      <c r="P71" s="1773"/>
      <c r="Q71" s="489"/>
    </row>
    <row r="72" spans="1:17" s="407" customFormat="1" ht="15.75" thickTop="1">
      <c r="A72" s="483"/>
      <c r="B72" s="468">
        <f>B13</f>
        <v>111</v>
      </c>
      <c r="C72" s="484"/>
      <c r="D72" s="484"/>
      <c r="E72" s="484"/>
      <c r="F72" s="484"/>
      <c r="G72" s="484"/>
      <c r="H72" s="485"/>
      <c r="I72" s="485"/>
      <c r="J72" s="485"/>
      <c r="K72" s="485"/>
      <c r="L72" s="486"/>
      <c r="M72" s="487"/>
      <c r="N72" s="879"/>
      <c r="O72" s="879"/>
      <c r="P72" s="1774"/>
      <c r="Q72" s="491"/>
    </row>
    <row r="73" spans="1:17" s="407" customFormat="1" ht="15.75" thickBot="1">
      <c r="A73" s="483"/>
      <c r="B73" s="473"/>
      <c r="C73" s="490"/>
      <c r="D73" s="490"/>
      <c r="E73" s="490"/>
      <c r="F73" s="490"/>
      <c r="G73" s="490"/>
      <c r="H73" s="492"/>
      <c r="I73" s="492"/>
      <c r="J73" s="492"/>
      <c r="K73" s="492"/>
      <c r="L73" s="492"/>
      <c r="M73" s="493"/>
      <c r="N73" s="879"/>
      <c r="O73" s="879"/>
      <c r="P73" s="1773"/>
      <c r="Q73" s="489"/>
    </row>
    <row r="74" spans="1:17" s="407" customFormat="1" ht="15.75" thickTop="1">
      <c r="A74" s="483"/>
      <c r="B74" s="476">
        <f>B14</f>
        <v>111</v>
      </c>
      <c r="C74" s="484"/>
      <c r="D74" s="484"/>
      <c r="E74" s="484"/>
      <c r="F74" s="484"/>
      <c r="G74" s="31"/>
      <c r="H74" s="494"/>
      <c r="I74" s="494"/>
      <c r="J74" s="494"/>
      <c r="K74" s="494"/>
      <c r="L74" s="495"/>
      <c r="M74" s="496"/>
      <c r="N74" s="879"/>
      <c r="O74" s="879"/>
      <c r="P74" s="1775"/>
      <c r="Q74" s="489"/>
    </row>
    <row r="75" spans="1:17" s="407" customFormat="1" ht="15.75" thickBot="1">
      <c r="A75" s="498"/>
      <c r="B75" s="499"/>
      <c r="C75" s="500"/>
      <c r="D75" s="500"/>
      <c r="E75" s="500"/>
      <c r="F75" s="500"/>
      <c r="G75" s="500"/>
      <c r="H75" s="501"/>
      <c r="I75" s="501"/>
      <c r="J75" s="501"/>
      <c r="K75" s="501"/>
      <c r="L75" s="501"/>
      <c r="M75" s="502"/>
      <c r="N75" s="879"/>
      <c r="O75" s="879"/>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75" thickTop="1">
      <c r="A86" s="369"/>
      <c r="B86" s="468" t="s">
        <v>1734</v>
      </c>
      <c r="C86" s="484"/>
      <c r="D86" s="484"/>
      <c r="E86" s="484"/>
      <c r="F86" s="484"/>
      <c r="G86" s="484"/>
      <c r="H86" s="484"/>
      <c r="I86" s="484"/>
      <c r="J86" s="484"/>
      <c r="K86" s="484"/>
      <c r="L86" s="509"/>
      <c r="M86" s="510"/>
      <c r="N86" s="876"/>
      <c r="O86" s="876"/>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75" thickTop="1">
      <c r="A88" s="369"/>
      <c r="B88" s="468" t="s">
        <v>1735</v>
      </c>
      <c r="C88" s="484"/>
      <c r="D88" s="484"/>
      <c r="E88" s="484"/>
      <c r="F88" s="1777"/>
      <c r="G88" s="484"/>
      <c r="H88" s="484"/>
      <c r="I88" s="484"/>
      <c r="J88" s="484"/>
      <c r="K88" s="484"/>
      <c r="L88" s="484"/>
      <c r="M88" s="510"/>
      <c r="N88" s="876"/>
      <c r="O88" s="876"/>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5.75" thickTop="1">
      <c r="A90" s="483"/>
      <c r="B90" s="468">
        <f>B27</f>
        <v>111</v>
      </c>
      <c r="C90" s="484"/>
      <c r="D90" s="484"/>
      <c r="E90" s="484"/>
      <c r="F90" s="484"/>
      <c r="G90" s="484"/>
      <c r="H90" s="485"/>
      <c r="I90" s="485"/>
      <c r="J90" s="485"/>
      <c r="K90" s="485"/>
      <c r="L90" s="486"/>
      <c r="M90" s="487"/>
      <c r="N90" s="879"/>
      <c r="O90" s="879"/>
      <c r="P90" s="1773"/>
      <c r="Q90" s="489"/>
    </row>
    <row r="91" spans="1:17" s="407" customFormat="1" ht="15.75" thickBot="1">
      <c r="A91" s="483"/>
      <c r="B91" s="473"/>
      <c r="C91" s="490"/>
      <c r="D91" s="490"/>
      <c r="E91" s="490"/>
      <c r="F91" s="490"/>
      <c r="G91" s="490"/>
      <c r="H91" s="492"/>
      <c r="I91" s="492"/>
      <c r="J91" s="492"/>
      <c r="K91" s="492"/>
      <c r="L91" s="492"/>
      <c r="M91" s="493"/>
      <c r="N91" s="879"/>
      <c r="O91" s="879"/>
      <c r="P91" s="1773"/>
      <c r="Q91" s="489"/>
    </row>
    <row r="92" spans="1:17" ht="15.75" thickTop="1">
      <c r="A92" s="366"/>
      <c r="B92" s="468">
        <f>B28</f>
        <v>111</v>
      </c>
      <c r="C92" s="484"/>
      <c r="D92" s="484"/>
      <c r="E92" s="484"/>
      <c r="F92" s="484"/>
      <c r="G92" s="512"/>
      <c r="H92" s="512"/>
      <c r="I92" s="512"/>
      <c r="J92" s="512"/>
      <c r="K92" s="513"/>
      <c r="L92" s="514"/>
      <c r="M92" s="515"/>
      <c r="N92" s="877"/>
      <c r="O92" s="877"/>
      <c r="P92" s="1772"/>
      <c r="Q92" s="438"/>
    </row>
    <row r="93" spans="1:17" ht="15.75" thickBot="1">
      <c r="A93" s="366"/>
      <c r="B93" s="473"/>
      <c r="C93" s="490"/>
      <c r="D93" s="466"/>
      <c r="E93" s="466"/>
      <c r="F93" s="466"/>
      <c r="G93" s="466"/>
      <c r="H93" s="466"/>
      <c r="I93" s="466"/>
      <c r="J93" s="466"/>
      <c r="K93" s="466"/>
      <c r="L93" s="466"/>
      <c r="M93" s="467"/>
      <c r="N93" s="878"/>
      <c r="O93" s="878"/>
      <c r="P93" s="1772"/>
      <c r="Q93" s="438"/>
    </row>
    <row r="94" spans="1:17" ht="15.75" thickTop="1">
      <c r="A94" s="366"/>
      <c r="B94" s="468">
        <f>B29</f>
        <v>111</v>
      </c>
      <c r="C94" s="484"/>
      <c r="D94" s="484"/>
      <c r="E94" s="484"/>
      <c r="F94" s="484"/>
      <c r="G94" s="512"/>
      <c r="H94" s="512"/>
      <c r="I94" s="512"/>
      <c r="J94" s="512"/>
      <c r="K94" s="513"/>
      <c r="L94" s="514"/>
      <c r="M94" s="515"/>
      <c r="N94" s="877"/>
      <c r="O94" s="877"/>
      <c r="P94" s="1772"/>
      <c r="Q94" s="438"/>
    </row>
    <row r="95" spans="1:17" ht="15.75" thickBot="1">
      <c r="A95" s="366"/>
      <c r="B95" s="473"/>
      <c r="C95" s="490"/>
      <c r="D95" s="490"/>
      <c r="E95" s="490"/>
      <c r="F95" s="490"/>
      <c r="G95" s="466"/>
      <c r="H95" s="466"/>
      <c r="I95" s="466"/>
      <c r="J95" s="466"/>
      <c r="K95" s="466"/>
      <c r="L95" s="466"/>
      <c r="M95" s="467"/>
      <c r="N95" s="878"/>
      <c r="O95" s="878"/>
      <c r="P95" s="1772"/>
      <c r="Q95" s="438"/>
    </row>
    <row r="96" spans="1:17" ht="15.75" thickTop="1">
      <c r="A96" s="366"/>
      <c r="B96" s="468">
        <f>B30</f>
        <v>111</v>
      </c>
      <c r="C96" s="484"/>
      <c r="D96" s="484"/>
      <c r="E96" s="484"/>
      <c r="F96" s="484"/>
      <c r="G96" s="512"/>
      <c r="H96" s="512"/>
      <c r="I96" s="512"/>
      <c r="J96" s="512"/>
      <c r="K96" s="513"/>
      <c r="L96" s="514"/>
      <c r="M96" s="515"/>
      <c r="N96" s="877"/>
      <c r="O96" s="877"/>
      <c r="P96" s="1772"/>
      <c r="Q96" s="438"/>
    </row>
    <row r="97" spans="1:17" ht="15.75" thickBot="1">
      <c r="A97" s="366"/>
      <c r="B97" s="473"/>
      <c r="C97" s="500"/>
      <c r="D97" s="500"/>
      <c r="E97" s="500"/>
      <c r="F97" s="500"/>
      <c r="G97" s="466"/>
      <c r="H97" s="466"/>
      <c r="I97" s="466"/>
      <c r="J97" s="466"/>
      <c r="K97" s="466"/>
      <c r="L97" s="466"/>
      <c r="M97" s="467"/>
      <c r="N97" s="878"/>
      <c r="O97" s="878"/>
      <c r="P97" s="1772"/>
      <c r="Q97" s="438"/>
    </row>
    <row r="98" spans="1:17" ht="15.75" thickTop="1">
      <c r="A98" s="366"/>
      <c r="B98" s="476">
        <f>B31</f>
        <v>111</v>
      </c>
      <c r="C98" s="516"/>
      <c r="D98" s="516"/>
      <c r="E98" s="516"/>
      <c r="F98" s="516"/>
      <c r="G98" s="516"/>
      <c r="H98" s="516"/>
      <c r="I98" s="516"/>
      <c r="J98" s="516"/>
      <c r="K98" s="517"/>
      <c r="L98" s="518"/>
      <c r="M98" s="519"/>
      <c r="N98" s="877"/>
      <c r="O98" s="877"/>
      <c r="P98" s="1772"/>
      <c r="Q98" s="438"/>
    </row>
    <row r="99" spans="1:17" ht="15.75" thickBot="1">
      <c r="A99" s="374"/>
      <c r="B99" s="499"/>
      <c r="C99" s="520"/>
      <c r="D99" s="520"/>
      <c r="E99" s="520"/>
      <c r="F99" s="520"/>
      <c r="G99" s="520"/>
      <c r="H99" s="520"/>
      <c r="I99" s="520"/>
      <c r="J99" s="520"/>
      <c r="K99" s="520"/>
      <c r="L99" s="520"/>
      <c r="M99" s="521"/>
      <c r="N99" s="878"/>
      <c r="O99" s="878"/>
      <c r="P99" s="1772"/>
      <c r="Q99" s="438"/>
    </row>
    <row r="100" spans="1:17">
      <c r="A100" s="378" t="s">
        <v>1694</v>
      </c>
      <c r="B100" s="459" t="s">
        <v>1736</v>
      </c>
      <c r="C100" s="461"/>
      <c r="D100" s="461"/>
      <c r="E100" s="461"/>
      <c r="F100" s="461"/>
      <c r="G100" s="461"/>
      <c r="H100" s="461"/>
      <c r="I100" s="461"/>
      <c r="J100" s="461"/>
      <c r="K100" s="462"/>
      <c r="L100" s="463"/>
      <c r="M100" s="464"/>
      <c r="N100" s="877"/>
      <c r="O100" s="877"/>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5.75"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5.75"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5.75" thickBot="1">
      <c r="A127" s="483"/>
      <c r="B127" s="473"/>
      <c r="C127" s="490"/>
      <c r="D127" s="466"/>
      <c r="E127" s="466"/>
      <c r="F127" s="466"/>
      <c r="G127" s="490"/>
      <c r="H127" s="492"/>
      <c r="I127" s="492"/>
      <c r="J127" s="492"/>
      <c r="K127" s="492"/>
      <c r="L127" s="492"/>
      <c r="M127" s="493"/>
      <c r="N127" s="879"/>
      <c r="O127" s="879"/>
      <c r="P127" s="1773"/>
      <c r="Q127" s="489"/>
    </row>
    <row r="128" spans="1:17" ht="15" thickTop="1">
      <c r="A128" s="408"/>
      <c r="B128" s="468">
        <f>B45</f>
        <v>111</v>
      </c>
      <c r="C128" s="484"/>
      <c r="D128" s="484"/>
      <c r="E128" s="484"/>
      <c r="F128" s="484"/>
      <c r="G128" s="512"/>
      <c r="H128" s="512"/>
      <c r="I128" s="512"/>
      <c r="J128" s="512"/>
      <c r="K128" s="513"/>
      <c r="L128" s="514"/>
      <c r="M128" s="515"/>
      <c r="N128" s="877"/>
      <c r="O128" s="877"/>
      <c r="P128" s="1772"/>
      <c r="Q128" s="438"/>
    </row>
    <row r="129" spans="1:17" ht="15.75" thickBot="1">
      <c r="A129" s="366"/>
      <c r="B129" s="473"/>
      <c r="C129" s="490"/>
      <c r="D129" s="490"/>
      <c r="E129" s="490"/>
      <c r="F129" s="490"/>
      <c r="G129" s="466"/>
      <c r="H129" s="466"/>
      <c r="I129" s="466"/>
      <c r="J129" s="466"/>
      <c r="K129" s="466"/>
      <c r="L129" s="466"/>
      <c r="M129" s="467"/>
      <c r="N129" s="878"/>
      <c r="O129" s="878"/>
      <c r="P129" s="1772"/>
      <c r="Q129" s="438"/>
    </row>
    <row r="130" spans="1:17" ht="15" thickTop="1">
      <c r="A130" s="408"/>
      <c r="B130" s="476">
        <f>B46</f>
        <v>111</v>
      </c>
      <c r="C130" s="484"/>
      <c r="D130" s="484"/>
      <c r="E130" s="484"/>
      <c r="F130" s="484"/>
      <c r="G130" s="516"/>
      <c r="H130" s="516"/>
      <c r="I130" s="516"/>
      <c r="J130" s="516"/>
      <c r="K130" s="31"/>
      <c r="L130" s="456"/>
      <c r="M130" s="519"/>
      <c r="N130" s="877"/>
      <c r="O130" s="877"/>
      <c r="P130" s="1772"/>
      <c r="Q130" s="438"/>
    </row>
    <row r="131" spans="1:17" ht="15.75"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受贵公司委托，我公司对北京市迎宾中路16号房地产抵押价值进行了预评估。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估价对象为北京市迎宾中路16号房地产，为所有。根据《国有土地使用证》[]，估价对象（分摊）出让国有建设用地使用权面积为0平方米，建筑面积为1382.5平方米。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估价对象为北京市迎宾中路16号房地产,属开发建设的，该项目尚在开发建设中。根据《国有土地使用证》[]，估价对象（分摊）出让国有建设用地使用权面积为0平方米，规划建筑面积为1382.5平方米。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2025年4月28日（评估专业人员实地查勘之日）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1382.5</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5">
      <c r="A4" s="344" t="s">
        <v>1769</v>
      </c>
      <c r="B4" s="345"/>
      <c r="C4" s="3410" t="s">
        <v>1770</v>
      </c>
      <c r="D4" s="3411"/>
      <c r="E4" s="3412" t="s">
        <v>1771</v>
      </c>
      <c r="F4" s="3413"/>
      <c r="G4" s="3410" t="s">
        <v>1772</v>
      </c>
      <c r="H4" s="3411"/>
      <c r="I4" s="3410" t="s">
        <v>1773</v>
      </c>
      <c r="J4" s="3411"/>
      <c r="K4" s="536" t="s">
        <v>1774</v>
      </c>
      <c r="L4" s="2480"/>
      <c r="M4" s="2481"/>
      <c r="N4" s="2481"/>
      <c r="O4" s="2481"/>
      <c r="P4" s="3471" t="s">
        <v>1775</v>
      </c>
      <c r="Q4" s="3472"/>
      <c r="R4" s="3475" t="s">
        <v>1771</v>
      </c>
      <c r="S4" s="3476"/>
      <c r="T4" s="3475" t="s">
        <v>1772</v>
      </c>
      <c r="U4" s="3476"/>
      <c r="V4" s="3477" t="s">
        <v>1773</v>
      </c>
      <c r="W4" s="3477"/>
      <c r="X4" s="1806"/>
      <c r="Y4" s="3475" t="s">
        <v>1775</v>
      </c>
      <c r="Z4" s="3476"/>
      <c r="AA4" s="3479" t="s">
        <v>1771</v>
      </c>
      <c r="AB4" s="3479" t="s">
        <v>1772</v>
      </c>
      <c r="AC4" s="3468" t="s">
        <v>1773</v>
      </c>
    </row>
    <row r="5" spans="1:29" ht="15">
      <c r="A5" s="347"/>
      <c r="B5" s="348"/>
      <c r="C5" s="3433" t="s">
        <v>1673</v>
      </c>
      <c r="D5" s="3429"/>
      <c r="E5" s="3464" t="s">
        <v>1674</v>
      </c>
      <c r="F5" s="3437"/>
      <c r="G5" s="3433" t="s">
        <v>1675</v>
      </c>
      <c r="H5" s="3429"/>
      <c r="I5" s="3433" t="s">
        <v>1676</v>
      </c>
      <c r="J5" s="3429"/>
      <c r="K5" s="536"/>
      <c r="L5" s="2480"/>
      <c r="M5" s="2481"/>
      <c r="N5" s="2481"/>
      <c r="O5" s="2481"/>
      <c r="P5" s="3473"/>
      <c r="Q5" s="3417"/>
      <c r="R5" s="3422"/>
      <c r="S5" s="3423"/>
      <c r="T5" s="3422"/>
      <c r="U5" s="3423"/>
      <c r="V5" s="3393"/>
      <c r="W5" s="3393"/>
      <c r="X5" s="1262"/>
      <c r="Y5" s="3422"/>
      <c r="Z5" s="3423"/>
      <c r="AA5" s="3408"/>
      <c r="AB5" s="3408"/>
      <c r="AC5" s="3469"/>
    </row>
    <row r="6" spans="1:29" ht="15.75" thickBot="1">
      <c r="A6" s="349"/>
      <c r="B6" s="350"/>
      <c r="C6" s="3426" t="s">
        <v>1677</v>
      </c>
      <c r="D6" s="3427"/>
      <c r="E6" s="3434" t="s">
        <v>1677</v>
      </c>
      <c r="F6" s="3435"/>
      <c r="G6" s="3426" t="s">
        <v>1677</v>
      </c>
      <c r="H6" s="3427"/>
      <c r="I6" s="3426" t="s">
        <v>1677</v>
      </c>
      <c r="J6" s="3427"/>
      <c r="K6" s="536" t="s">
        <v>1678</v>
      </c>
      <c r="L6" s="2480"/>
      <c r="M6" s="2481"/>
      <c r="N6" s="2481"/>
      <c r="O6" s="2481"/>
      <c r="P6" s="3474"/>
      <c r="Q6" s="3419"/>
      <c r="R6" s="3422"/>
      <c r="S6" s="3423"/>
      <c r="T6" s="3424"/>
      <c r="U6" s="3425"/>
      <c r="V6" s="3393"/>
      <c r="W6" s="3393"/>
      <c r="X6" s="1262"/>
      <c r="Y6" s="3424"/>
      <c r="Z6" s="3425"/>
      <c r="AA6" s="3409"/>
      <c r="AB6" s="3409"/>
      <c r="AC6" s="3470"/>
    </row>
    <row r="7" spans="1:29" s="101" customFormat="1" ht="15.75" thickBot="1">
      <c r="A7" s="351" t="s">
        <v>1679</v>
      </c>
      <c r="B7" s="352"/>
      <c r="C7" s="353">
        <f>'数据-取费表'!B2</f>
        <v>45775</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8" t="s">
        <v>1680</v>
      </c>
      <c r="Q7" s="3432"/>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8" t="s">
        <v>1683</v>
      </c>
      <c r="Q8" s="3431"/>
      <c r="R8" s="662" t="s">
        <v>14</v>
      </c>
      <c r="S8" s="663">
        <f t="shared" si="0"/>
        <v>100</v>
      </c>
      <c r="T8" s="662" t="s">
        <v>14</v>
      </c>
      <c r="U8" s="663">
        <f t="shared" si="1"/>
        <v>100</v>
      </c>
      <c r="V8" s="662" t="s">
        <v>14</v>
      </c>
      <c r="W8" s="663">
        <f t="shared" si="2"/>
        <v>100</v>
      </c>
      <c r="X8" s="664"/>
      <c r="Y8" s="3430" t="s">
        <v>1683</v>
      </c>
      <c r="Z8" s="3431"/>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800">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06"/>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06"/>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06"/>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06"/>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800">
        <f t="shared" si="5"/>
        <v>1</v>
      </c>
    </row>
    <row r="14" spans="1:29" ht="15.75"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06"/>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397" t="s">
        <v>1691</v>
      </c>
      <c r="Q15" s="1260" t="str">
        <f t="shared" si="6"/>
        <v>办公集聚程度</v>
      </c>
      <c r="R15" s="665" t="s">
        <v>14</v>
      </c>
      <c r="S15" s="666">
        <f t="shared" si="0"/>
        <v>100</v>
      </c>
      <c r="T15" s="665" t="s">
        <v>14</v>
      </c>
      <c r="U15" s="666">
        <f t="shared" si="1"/>
        <v>100</v>
      </c>
      <c r="V15" s="665" t="s">
        <v>14</v>
      </c>
      <c r="W15" s="666">
        <f t="shared" si="2"/>
        <v>100</v>
      </c>
      <c r="X15" s="1262"/>
      <c r="Y15" s="3399"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398"/>
      <c r="Q16" s="1260"/>
      <c r="R16" s="665"/>
      <c r="S16" s="666"/>
      <c r="T16" s="665"/>
      <c r="U16" s="666"/>
      <c r="V16" s="665"/>
      <c r="W16" s="666"/>
      <c r="X16" s="1262"/>
      <c r="Y16" s="3400"/>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398"/>
      <c r="Q17" s="1260" t="str">
        <f>B17</f>
        <v>交通便捷度</v>
      </c>
      <c r="R17" s="665" t="s">
        <v>14</v>
      </c>
      <c r="S17" s="666">
        <f>F17</f>
        <v>100</v>
      </c>
      <c r="T17" s="665" t="s">
        <v>14</v>
      </c>
      <c r="U17" s="666">
        <f>H17</f>
        <v>100</v>
      </c>
      <c r="V17" s="665" t="s">
        <v>14</v>
      </c>
      <c r="W17" s="666">
        <f>J17</f>
        <v>100</v>
      </c>
      <c r="X17" s="1262"/>
      <c r="Y17" s="3400"/>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398"/>
      <c r="Q18" s="1260"/>
      <c r="R18" s="665"/>
      <c r="S18" s="666"/>
      <c r="T18" s="665"/>
      <c r="U18" s="666"/>
      <c r="V18" s="665"/>
      <c r="W18" s="666"/>
      <c r="X18" s="1262"/>
      <c r="Y18" s="3400"/>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398"/>
      <c r="Q19" s="1260" t="str">
        <f>B19</f>
        <v>公共配套设施</v>
      </c>
      <c r="R19" s="665" t="s">
        <v>14</v>
      </c>
      <c r="S19" s="666">
        <f>F19</f>
        <v>100</v>
      </c>
      <c r="T19" s="665" t="s">
        <v>14</v>
      </c>
      <c r="U19" s="666">
        <f>H19</f>
        <v>100</v>
      </c>
      <c r="V19" s="665" t="s">
        <v>14</v>
      </c>
      <c r="W19" s="666">
        <f>J19</f>
        <v>100</v>
      </c>
      <c r="X19" s="1262"/>
      <c r="Y19" s="3400"/>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398"/>
      <c r="Q20" s="1260"/>
      <c r="R20" s="665"/>
      <c r="S20" s="666"/>
      <c r="T20" s="665"/>
      <c r="U20" s="666"/>
      <c r="V20" s="665"/>
      <c r="W20" s="666"/>
      <c r="X20" s="1262"/>
      <c r="Y20" s="3400"/>
      <c r="Z20" s="1261"/>
      <c r="AA20" s="1261">
        <v>1</v>
      </c>
      <c r="AB20" s="1261">
        <v>1</v>
      </c>
      <c r="AC20" s="1809">
        <v>1</v>
      </c>
    </row>
    <row r="21" spans="1:29" ht="42.75">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98"/>
      <c r="Q21" s="1260" t="str">
        <f>B21</f>
        <v>基础设施水平</v>
      </c>
      <c r="R21" s="665" t="s">
        <v>14</v>
      </c>
      <c r="S21" s="666">
        <f>F21</f>
        <v>100</v>
      </c>
      <c r="T21" s="665" t="s">
        <v>14</v>
      </c>
      <c r="U21" s="666">
        <f>H21</f>
        <v>100</v>
      </c>
      <c r="V21" s="665" t="s">
        <v>14</v>
      </c>
      <c r="W21" s="666">
        <f>J21</f>
        <v>100</v>
      </c>
      <c r="X21" s="1262"/>
      <c r="Y21" s="3400"/>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398"/>
      <c r="Q22" s="1260"/>
      <c r="R22" s="665"/>
      <c r="S22" s="666"/>
      <c r="T22" s="665"/>
      <c r="U22" s="666"/>
      <c r="V22" s="665"/>
      <c r="W22" s="666"/>
      <c r="X22" s="1262"/>
      <c r="Y22" s="3400"/>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398"/>
      <c r="Q23" s="1260" t="str">
        <f>B23</f>
        <v>环境质量</v>
      </c>
      <c r="R23" s="665" t="s">
        <v>14</v>
      </c>
      <c r="S23" s="666">
        <f>F23</f>
        <v>100</v>
      </c>
      <c r="T23" s="665" t="s">
        <v>14</v>
      </c>
      <c r="U23" s="666">
        <f>H23</f>
        <v>100</v>
      </c>
      <c r="V23" s="665" t="s">
        <v>14</v>
      </c>
      <c r="W23" s="666">
        <f>J23</f>
        <v>100</v>
      </c>
      <c r="X23" s="1262"/>
      <c r="Y23" s="3400"/>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398"/>
      <c r="Q24" s="1260"/>
      <c r="R24" s="665"/>
      <c r="S24" s="666"/>
      <c r="T24" s="665"/>
      <c r="U24" s="666"/>
      <c r="V24" s="665"/>
      <c r="W24" s="666"/>
      <c r="X24" s="1262"/>
      <c r="Y24" s="3400"/>
      <c r="Z24" s="1261"/>
      <c r="AA24" s="1261">
        <v>1</v>
      </c>
      <c r="AB24" s="1261">
        <v>1</v>
      </c>
      <c r="AC24" s="1809">
        <v>1</v>
      </c>
    </row>
    <row r="25" spans="1:29" ht="27">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398"/>
      <c r="Q25" s="1260" t="str">
        <f>B25</f>
        <v>毗邻道路的类型与等级</v>
      </c>
      <c r="R25" s="665" t="s">
        <v>14</v>
      </c>
      <c r="S25" s="666">
        <f>F25</f>
        <v>100</v>
      </c>
      <c r="T25" s="665" t="s">
        <v>14</v>
      </c>
      <c r="U25" s="666">
        <f>H25</f>
        <v>100</v>
      </c>
      <c r="V25" s="665" t="s">
        <v>14</v>
      </c>
      <c r="W25" s="666">
        <f>J25</f>
        <v>100</v>
      </c>
      <c r="X25" s="1262"/>
      <c r="Y25" s="3400"/>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398"/>
      <c r="Q26" s="1260"/>
      <c r="R26" s="665"/>
      <c r="S26" s="666"/>
      <c r="T26" s="665"/>
      <c r="U26" s="666"/>
      <c r="V26" s="665"/>
      <c r="W26" s="666"/>
      <c r="X26" s="1262"/>
      <c r="Y26" s="3400"/>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98"/>
      <c r="Q27" s="1260" t="str">
        <f t="shared" ref="Q27:Q47" si="11">B27</f>
        <v>楼层</v>
      </c>
      <c r="R27" s="665" t="s">
        <v>14</v>
      </c>
      <c r="S27" s="666">
        <f>F27</f>
        <v>100</v>
      </c>
      <c r="T27" s="665" t="s">
        <v>14</v>
      </c>
      <c r="U27" s="666">
        <f>H27</f>
        <v>100</v>
      </c>
      <c r="V27" s="665" t="s">
        <v>14</v>
      </c>
      <c r="W27" s="666">
        <f>J27</f>
        <v>100</v>
      </c>
      <c r="X27" s="1262"/>
      <c r="Y27" s="3400"/>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398"/>
      <c r="Q28" s="529" t="str">
        <f t="shared" si="11"/>
        <v>朝向</v>
      </c>
      <c r="R28" s="662" t="s">
        <v>14</v>
      </c>
      <c r="S28" s="663">
        <f>F28</f>
        <v>100</v>
      </c>
      <c r="T28" s="662" t="s">
        <v>14</v>
      </c>
      <c r="U28" s="663">
        <f>H28</f>
        <v>100</v>
      </c>
      <c r="V28" s="662" t="s">
        <v>14</v>
      </c>
      <c r="W28" s="663">
        <f>J28</f>
        <v>100</v>
      </c>
      <c r="X28" s="664"/>
      <c r="Y28" s="3400"/>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398"/>
      <c r="Q29" s="1260">
        <f t="shared" si="11"/>
        <v>111</v>
      </c>
      <c r="R29" s="665" t="s">
        <v>14</v>
      </c>
      <c r="S29" s="666">
        <f t="shared" ref="S29:S47" si="12">F29</f>
        <v>100</v>
      </c>
      <c r="T29" s="665" t="s">
        <v>14</v>
      </c>
      <c r="U29" s="666">
        <f t="shared" ref="U29:U47" si="13">H29</f>
        <v>100</v>
      </c>
      <c r="V29" s="665" t="s">
        <v>14</v>
      </c>
      <c r="W29" s="666">
        <f t="shared" ref="W29:W47" si="14">J29</f>
        <v>100</v>
      </c>
      <c r="X29" s="1262"/>
      <c r="Y29" s="3400"/>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398"/>
      <c r="Q30" s="1260">
        <f t="shared" si="11"/>
        <v>111</v>
      </c>
      <c r="R30" s="665" t="s">
        <v>14</v>
      </c>
      <c r="S30" s="666">
        <f t="shared" si="12"/>
        <v>100</v>
      </c>
      <c r="T30" s="665" t="s">
        <v>14</v>
      </c>
      <c r="U30" s="666">
        <f t="shared" si="13"/>
        <v>100</v>
      </c>
      <c r="V30" s="665" t="s">
        <v>14</v>
      </c>
      <c r="W30" s="666">
        <f t="shared" si="14"/>
        <v>100</v>
      </c>
      <c r="X30" s="1262"/>
      <c r="Y30" s="3400"/>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398"/>
      <c r="Q31" s="1260">
        <f t="shared" si="11"/>
        <v>111</v>
      </c>
      <c r="R31" s="665" t="s">
        <v>14</v>
      </c>
      <c r="S31" s="666">
        <f t="shared" si="12"/>
        <v>100</v>
      </c>
      <c r="T31" s="665" t="s">
        <v>14</v>
      </c>
      <c r="U31" s="666">
        <f t="shared" si="13"/>
        <v>100</v>
      </c>
      <c r="V31" s="665" t="s">
        <v>14</v>
      </c>
      <c r="W31" s="666">
        <f t="shared" si="14"/>
        <v>100</v>
      </c>
      <c r="X31" s="1262"/>
      <c r="Y31" s="3400"/>
      <c r="Z31" s="1261">
        <f t="shared" si="15"/>
        <v>111</v>
      </c>
      <c r="AA31" s="1261">
        <f t="shared" si="3"/>
        <v>1</v>
      </c>
      <c r="AB31" s="1261">
        <f t="shared" si="4"/>
        <v>1</v>
      </c>
      <c r="AC31" s="1809">
        <f t="shared" si="5"/>
        <v>1</v>
      </c>
    </row>
    <row r="32" spans="1:29" ht="15.75"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398"/>
      <c r="Q32" s="1260">
        <f t="shared" si="11"/>
        <v>111</v>
      </c>
      <c r="R32" s="665" t="s">
        <v>14</v>
      </c>
      <c r="S32" s="666">
        <f t="shared" si="12"/>
        <v>100</v>
      </c>
      <c r="T32" s="665" t="s">
        <v>14</v>
      </c>
      <c r="U32" s="666">
        <f t="shared" si="13"/>
        <v>100</v>
      </c>
      <c r="V32" s="665" t="s">
        <v>14</v>
      </c>
      <c r="W32" s="666">
        <f t="shared" si="14"/>
        <v>100</v>
      </c>
      <c r="X32" s="1262"/>
      <c r="Y32" s="3400"/>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01" t="s">
        <v>1696</v>
      </c>
      <c r="Q33" s="1260" t="str">
        <f t="shared" si="11"/>
        <v>建筑类型</v>
      </c>
      <c r="R33" s="665" t="s">
        <v>14</v>
      </c>
      <c r="S33" s="666">
        <f t="shared" si="12"/>
        <v>100</v>
      </c>
      <c r="T33" s="665" t="s">
        <v>14</v>
      </c>
      <c r="U33" s="666">
        <f t="shared" si="13"/>
        <v>100</v>
      </c>
      <c r="V33" s="665" t="s">
        <v>14</v>
      </c>
      <c r="W33" s="666">
        <f t="shared" si="14"/>
        <v>100</v>
      </c>
      <c r="X33" s="1262"/>
      <c r="Y33" s="3404"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02"/>
      <c r="Q34" s="530" t="str">
        <f t="shared" si="11"/>
        <v>项目建筑规模</v>
      </c>
      <c r="R34" s="667" t="s">
        <v>14</v>
      </c>
      <c r="S34" s="668" t="e">
        <f t="shared" si="12"/>
        <v>#N/A</v>
      </c>
      <c r="T34" s="667" t="s">
        <v>14</v>
      </c>
      <c r="U34" s="668" t="e">
        <f t="shared" si="13"/>
        <v>#N/A</v>
      </c>
      <c r="V34" s="667" t="s">
        <v>14</v>
      </c>
      <c r="W34" s="668" t="e">
        <f t="shared" si="14"/>
        <v>#N/A</v>
      </c>
      <c r="X34" s="669"/>
      <c r="Y34" s="3404"/>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02"/>
      <c r="Q35" s="1260" t="str">
        <f t="shared" si="11"/>
        <v>建筑结构</v>
      </c>
      <c r="R35" s="665" t="s">
        <v>14</v>
      </c>
      <c r="S35" s="666">
        <f t="shared" si="12"/>
        <v>100</v>
      </c>
      <c r="T35" s="665" t="s">
        <v>14</v>
      </c>
      <c r="U35" s="666">
        <f t="shared" si="13"/>
        <v>100</v>
      </c>
      <c r="V35" s="665" t="s">
        <v>14</v>
      </c>
      <c r="W35" s="666">
        <f t="shared" si="14"/>
        <v>100</v>
      </c>
      <c r="X35" s="1262"/>
      <c r="Y35" s="3404"/>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02"/>
      <c r="Q36" s="1260" t="str">
        <f t="shared" si="11"/>
        <v>公共部分装修</v>
      </c>
      <c r="R36" s="665" t="s">
        <v>14</v>
      </c>
      <c r="S36" s="666">
        <f t="shared" si="12"/>
        <v>100</v>
      </c>
      <c r="T36" s="665" t="s">
        <v>14</v>
      </c>
      <c r="U36" s="666">
        <f t="shared" si="13"/>
        <v>100</v>
      </c>
      <c r="V36" s="665" t="s">
        <v>14</v>
      </c>
      <c r="W36" s="666">
        <f t="shared" si="14"/>
        <v>100</v>
      </c>
      <c r="X36" s="1262"/>
      <c r="Y36" s="3404"/>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02"/>
      <c r="Q37" s="1260" t="str">
        <f t="shared" si="11"/>
        <v>成新度</v>
      </c>
      <c r="R37" s="665" t="s">
        <v>14</v>
      </c>
      <c r="S37" s="666" t="e">
        <f t="shared" si="12"/>
        <v>#N/A</v>
      </c>
      <c r="T37" s="665" t="s">
        <v>14</v>
      </c>
      <c r="U37" s="666" t="e">
        <f t="shared" si="13"/>
        <v>#N/A</v>
      </c>
      <c r="V37" s="665" t="s">
        <v>14</v>
      </c>
      <c r="W37" s="666" t="e">
        <f t="shared" si="14"/>
        <v>#N/A</v>
      </c>
      <c r="X37" s="1262"/>
      <c r="Y37" s="3404"/>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02"/>
      <c r="Q38" s="529" t="str">
        <f t="shared" si="11"/>
        <v>写字楼等级</v>
      </c>
      <c r="R38" s="662" t="s">
        <v>14</v>
      </c>
      <c r="S38" s="663">
        <f t="shared" si="12"/>
        <v>100</v>
      </c>
      <c r="T38" s="662" t="s">
        <v>14</v>
      </c>
      <c r="U38" s="663">
        <f t="shared" si="13"/>
        <v>100</v>
      </c>
      <c r="V38" s="662" t="s">
        <v>14</v>
      </c>
      <c r="W38" s="663">
        <f t="shared" si="14"/>
        <v>100</v>
      </c>
      <c r="X38" s="664"/>
      <c r="Y38" s="340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02" t="s">
        <v>1696</v>
      </c>
      <c r="Q39" s="1260" t="str">
        <f t="shared" si="11"/>
        <v>物业管理</v>
      </c>
      <c r="R39" s="665" t="s">
        <v>14</v>
      </c>
      <c r="S39" s="666">
        <f t="shared" si="12"/>
        <v>100</v>
      </c>
      <c r="T39" s="665" t="s">
        <v>14</v>
      </c>
      <c r="U39" s="666">
        <f t="shared" si="13"/>
        <v>100</v>
      </c>
      <c r="V39" s="665" t="s">
        <v>14</v>
      </c>
      <c r="W39" s="666">
        <f t="shared" si="14"/>
        <v>100</v>
      </c>
      <c r="X39" s="1262"/>
      <c r="Y39" s="3404"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02"/>
      <c r="Q40" s="1260" t="str">
        <f t="shared" si="11"/>
        <v>市政基础设施</v>
      </c>
      <c r="R40" s="665" t="s">
        <v>14</v>
      </c>
      <c r="S40" s="666">
        <f t="shared" si="12"/>
        <v>100</v>
      </c>
      <c r="T40" s="665" t="s">
        <v>14</v>
      </c>
      <c r="U40" s="666">
        <f t="shared" si="13"/>
        <v>100</v>
      </c>
      <c r="V40" s="665" t="s">
        <v>14</v>
      </c>
      <c r="W40" s="666">
        <f t="shared" si="14"/>
        <v>100</v>
      </c>
      <c r="X40" s="1262"/>
      <c r="Y40" s="3404"/>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02"/>
      <c r="Q41" s="1260" t="str">
        <f t="shared" si="11"/>
        <v>层高</v>
      </c>
      <c r="R41" s="665" t="s">
        <v>14</v>
      </c>
      <c r="S41" s="666">
        <f t="shared" si="12"/>
        <v>100</v>
      </c>
      <c r="T41" s="665" t="s">
        <v>14</v>
      </c>
      <c r="U41" s="666">
        <f t="shared" si="13"/>
        <v>100</v>
      </c>
      <c r="V41" s="665" t="s">
        <v>14</v>
      </c>
      <c r="W41" s="666">
        <f t="shared" si="14"/>
        <v>100</v>
      </c>
      <c r="X41" s="1262"/>
      <c r="Y41" s="3404"/>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02"/>
      <c r="Q42" s="530" t="str">
        <f t="shared" si="11"/>
        <v>单套建筑面积</v>
      </c>
      <c r="R42" s="667" t="s">
        <v>14</v>
      </c>
      <c r="S42" s="668">
        <f t="shared" si="12"/>
        <v>100</v>
      </c>
      <c r="T42" s="667" t="s">
        <v>14</v>
      </c>
      <c r="U42" s="668">
        <f t="shared" si="13"/>
        <v>100</v>
      </c>
      <c r="V42" s="667" t="s">
        <v>14</v>
      </c>
      <c r="W42" s="668">
        <f t="shared" si="14"/>
        <v>100</v>
      </c>
      <c r="X42" s="669"/>
      <c r="Y42" s="3404"/>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02"/>
      <c r="Q43" s="1260" t="str">
        <f t="shared" si="11"/>
        <v>内部装修</v>
      </c>
      <c r="R43" s="665" t="s">
        <v>14</v>
      </c>
      <c r="S43" s="666">
        <f t="shared" si="12"/>
        <v>100</v>
      </c>
      <c r="T43" s="665" t="s">
        <v>14</v>
      </c>
      <c r="U43" s="666">
        <f t="shared" si="13"/>
        <v>100</v>
      </c>
      <c r="V43" s="665" t="s">
        <v>14</v>
      </c>
      <c r="W43" s="666">
        <f t="shared" si="14"/>
        <v>100</v>
      </c>
      <c r="X43" s="1262"/>
      <c r="Y43" s="3404"/>
      <c r="Z43" s="1261" t="str">
        <f t="shared" si="15"/>
        <v>内部装修</v>
      </c>
      <c r="AA43" s="1261">
        <f t="shared" si="3"/>
        <v>1</v>
      </c>
      <c r="AB43" s="1261">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02"/>
      <c r="Q44" s="1260" t="str">
        <f t="shared" si="11"/>
        <v>内部装修维护情况</v>
      </c>
      <c r="R44" s="665" t="s">
        <v>14</v>
      </c>
      <c r="S44" s="666">
        <f t="shared" si="12"/>
        <v>100</v>
      </c>
      <c r="T44" s="665" t="s">
        <v>14</v>
      </c>
      <c r="U44" s="666">
        <f t="shared" si="13"/>
        <v>100</v>
      </c>
      <c r="V44" s="665" t="s">
        <v>14</v>
      </c>
      <c r="W44" s="666">
        <f t="shared" si="14"/>
        <v>100</v>
      </c>
      <c r="X44" s="1262"/>
      <c r="Y44" s="3404"/>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02"/>
      <c r="Q45" s="529">
        <f t="shared" si="11"/>
        <v>111</v>
      </c>
      <c r="R45" s="662" t="s">
        <v>14</v>
      </c>
      <c r="S45" s="663">
        <f t="shared" si="12"/>
        <v>100</v>
      </c>
      <c r="T45" s="662" t="s">
        <v>14</v>
      </c>
      <c r="U45" s="663">
        <f t="shared" si="13"/>
        <v>100</v>
      </c>
      <c r="V45" s="662" t="s">
        <v>14</v>
      </c>
      <c r="W45" s="663">
        <f t="shared" si="14"/>
        <v>100</v>
      </c>
      <c r="X45" s="664"/>
      <c r="Y45" s="3404"/>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2"/>
      <c r="Q46" s="1260">
        <f t="shared" si="11"/>
        <v>111</v>
      </c>
      <c r="R46" s="665" t="s">
        <v>14</v>
      </c>
      <c r="S46" s="666">
        <f t="shared" si="12"/>
        <v>100</v>
      </c>
      <c r="T46" s="665" t="s">
        <v>14</v>
      </c>
      <c r="U46" s="666">
        <f t="shared" si="13"/>
        <v>100</v>
      </c>
      <c r="V46" s="665" t="s">
        <v>14</v>
      </c>
      <c r="W46" s="666">
        <f t="shared" si="14"/>
        <v>100</v>
      </c>
      <c r="X46" s="1262"/>
      <c r="Y46" s="3404"/>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3"/>
      <c r="Q47" s="1260">
        <f t="shared" si="11"/>
        <v>111</v>
      </c>
      <c r="R47" s="665" t="s">
        <v>14</v>
      </c>
      <c r="S47" s="666">
        <f t="shared" si="12"/>
        <v>100</v>
      </c>
      <c r="T47" s="665" t="s">
        <v>14</v>
      </c>
      <c r="U47" s="666">
        <f t="shared" si="13"/>
        <v>100</v>
      </c>
      <c r="V47" s="665" t="s">
        <v>14</v>
      </c>
      <c r="W47" s="666">
        <f t="shared" si="14"/>
        <v>100</v>
      </c>
      <c r="X47" s="1262"/>
      <c r="Y47" s="3405"/>
      <c r="Z47" s="1261">
        <f t="shared" si="15"/>
        <v>111</v>
      </c>
      <c r="AA47" s="1261">
        <f t="shared" si="3"/>
        <v>1</v>
      </c>
      <c r="AB47" s="1261">
        <f t="shared" si="4"/>
        <v>1</v>
      </c>
      <c r="AC47" s="1809">
        <f t="shared" si="5"/>
        <v>1</v>
      </c>
    </row>
    <row r="48" spans="1:29" ht="15">
      <c r="A48" s="415" t="s">
        <v>1708</v>
      </c>
      <c r="B48" s="416"/>
      <c r="C48" s="1078" t="s">
        <v>0</v>
      </c>
      <c r="D48" s="417"/>
      <c r="E48" s="418"/>
      <c r="F48" s="419"/>
      <c r="G48" s="420"/>
      <c r="H48" s="421"/>
      <c r="I48" s="418"/>
      <c r="J48" s="421"/>
      <c r="K48" s="672"/>
      <c r="L48" s="2488"/>
      <c r="M48" s="2481"/>
      <c r="N48" s="2481"/>
      <c r="O48" s="2481"/>
      <c r="P48" s="3406" t="str">
        <f>A48</f>
        <v>成交单价（元/平方米）</v>
      </c>
      <c r="Q48" s="3392"/>
      <c r="R48" s="3393">
        <f>E48</f>
        <v>0</v>
      </c>
      <c r="S48" s="3393"/>
      <c r="T48" s="3393">
        <f>G48</f>
        <v>0</v>
      </c>
      <c r="U48" s="3393"/>
      <c r="V48" s="3393">
        <f>I48</f>
        <v>0</v>
      </c>
      <c r="W48" s="3393"/>
      <c r="X48" s="384"/>
      <c r="Y48" s="671"/>
      <c r="Z48" s="384"/>
      <c r="AA48" s="384"/>
      <c r="AB48" s="384"/>
      <c r="AC48" s="553"/>
    </row>
    <row r="49" spans="1:29" ht="15.7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06"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8"/>
      <c r="M50" s="2481"/>
      <c r="N50" s="2481"/>
      <c r="O50" s="2481"/>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5">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1" customFormat="1" ht="15">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7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5">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5.75"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5.75"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1382.5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10" t="s">
        <v>1770</v>
      </c>
      <c r="D4" s="3411"/>
      <c r="E4" s="3412" t="s">
        <v>1771</v>
      </c>
      <c r="F4" s="3413"/>
      <c r="G4" s="3410" t="s">
        <v>1772</v>
      </c>
      <c r="H4" s="3411"/>
      <c r="I4" s="3410" t="s">
        <v>1773</v>
      </c>
      <c r="J4" s="3411"/>
      <c r="K4" s="536" t="s">
        <v>1774</v>
      </c>
      <c r="L4" s="858"/>
      <c r="M4" s="859"/>
      <c r="N4" s="859"/>
      <c r="O4" s="859"/>
      <c r="P4" s="3414" t="s">
        <v>1775</v>
      </c>
      <c r="Q4" s="3415"/>
      <c r="R4" s="3420" t="s">
        <v>1771</v>
      </c>
      <c r="S4" s="3421"/>
      <c r="T4" s="3420" t="s">
        <v>1772</v>
      </c>
      <c r="U4" s="3421"/>
      <c r="V4" s="3393" t="s">
        <v>1773</v>
      </c>
      <c r="W4" s="3393"/>
      <c r="X4" s="1262"/>
      <c r="Y4" s="3420" t="s">
        <v>1775</v>
      </c>
      <c r="Z4" s="3421"/>
      <c r="AA4" s="3407" t="s">
        <v>1771</v>
      </c>
      <c r="AB4" s="3408" t="s">
        <v>1772</v>
      </c>
      <c r="AC4" s="3407" t="s">
        <v>1773</v>
      </c>
    </row>
    <row r="5" spans="1:29" ht="15">
      <c r="A5" s="347"/>
      <c r="B5" s="348"/>
      <c r="C5" s="3433" t="s">
        <v>1673</v>
      </c>
      <c r="D5" s="3429"/>
      <c r="E5" s="3464" t="s">
        <v>1674</v>
      </c>
      <c r="F5" s="3437"/>
      <c r="G5" s="3433" t="s">
        <v>1675</v>
      </c>
      <c r="H5" s="3429"/>
      <c r="I5" s="3433" t="s">
        <v>1676</v>
      </c>
      <c r="J5" s="3429"/>
      <c r="K5" s="536"/>
      <c r="L5" s="858"/>
      <c r="M5" s="859"/>
      <c r="N5" s="859"/>
      <c r="O5" s="859"/>
      <c r="P5" s="3416"/>
      <c r="Q5" s="3417"/>
      <c r="R5" s="3422"/>
      <c r="S5" s="3423"/>
      <c r="T5" s="3422"/>
      <c r="U5" s="3423"/>
      <c r="V5" s="3393"/>
      <c r="W5" s="3393"/>
      <c r="X5" s="1262"/>
      <c r="Y5" s="3422"/>
      <c r="Z5" s="3423"/>
      <c r="AA5" s="3408"/>
      <c r="AB5" s="3408"/>
      <c r="AC5" s="3408"/>
    </row>
    <row r="6" spans="1:29" ht="15.75" thickBot="1">
      <c r="A6" s="349"/>
      <c r="B6" s="350"/>
      <c r="C6" s="3426" t="s">
        <v>1677</v>
      </c>
      <c r="D6" s="3427"/>
      <c r="E6" s="3434" t="s">
        <v>1677</v>
      </c>
      <c r="F6" s="3435"/>
      <c r="G6" s="3426" t="s">
        <v>1677</v>
      </c>
      <c r="H6" s="3427"/>
      <c r="I6" s="3426" t="s">
        <v>1677</v>
      </c>
      <c r="J6" s="3427"/>
      <c r="K6" s="536" t="s">
        <v>1678</v>
      </c>
      <c r="L6" s="858"/>
      <c r="M6" s="859"/>
      <c r="N6" s="859"/>
      <c r="O6" s="859"/>
      <c r="P6" s="3418"/>
      <c r="Q6" s="3419"/>
      <c r="R6" s="3422"/>
      <c r="S6" s="3423"/>
      <c r="T6" s="3424"/>
      <c r="U6" s="3425"/>
      <c r="V6" s="3393"/>
      <c r="W6" s="3393"/>
      <c r="X6" s="1262"/>
      <c r="Y6" s="3424"/>
      <c r="Z6" s="3425"/>
      <c r="AA6" s="3409"/>
      <c r="AB6" s="3409"/>
      <c r="AC6" s="3409"/>
    </row>
    <row r="7" spans="1:29" s="101" customFormat="1" ht="15.75" thickBot="1">
      <c r="A7" s="351" t="s">
        <v>1679</v>
      </c>
      <c r="B7" s="352"/>
      <c r="C7" s="353">
        <f>'数据-取费表'!B2</f>
        <v>45775</v>
      </c>
      <c r="D7" s="354">
        <v>100</v>
      </c>
      <c r="E7" s="355"/>
      <c r="F7" s="356">
        <f>SUMIF(52:52,YEAR(E7)&amp;"-"&amp;MONTH(E7),53:53)</f>
        <v>0</v>
      </c>
      <c r="G7" s="355"/>
      <c r="H7" s="354">
        <f>SUMIF(52:52,YEAR(G7)&amp;"-"&amp;MONTH(G7),53:53)</f>
        <v>0</v>
      </c>
      <c r="I7" s="355"/>
      <c r="J7" s="354">
        <f>SUMIF(52:52,YEAR(I7)&amp;"-"&amp;MONTH(I7),53:53)</f>
        <v>0</v>
      </c>
      <c r="K7" s="38"/>
      <c r="L7" s="860"/>
      <c r="M7" s="861"/>
      <c r="N7" s="861"/>
      <c r="O7" s="861"/>
      <c r="P7" s="3430" t="s">
        <v>1680</v>
      </c>
      <c r="Q7" s="3432"/>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0" t="s">
        <v>1683</v>
      </c>
      <c r="Q8" s="3431"/>
      <c r="R8" s="662" t="s">
        <v>14</v>
      </c>
      <c r="S8" s="663">
        <f t="shared" si="0"/>
        <v>100</v>
      </c>
      <c r="T8" s="662" t="s">
        <v>14</v>
      </c>
      <c r="U8" s="663">
        <f t="shared" si="1"/>
        <v>100</v>
      </c>
      <c r="V8" s="662" t="s">
        <v>14</v>
      </c>
      <c r="W8" s="663">
        <f t="shared" si="2"/>
        <v>100</v>
      </c>
      <c r="X8" s="664"/>
      <c r="Y8" s="3430" t="s">
        <v>1683</v>
      </c>
      <c r="Z8" s="343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2"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92"/>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2"/>
      <c r="Q11" s="529" t="str">
        <f t="shared" si="6"/>
        <v>容积率</v>
      </c>
      <c r="R11" s="662" t="s">
        <v>14</v>
      </c>
      <c r="S11" s="663">
        <f t="shared" si="0"/>
        <v>100</v>
      </c>
      <c r="T11" s="662" t="s">
        <v>14</v>
      </c>
      <c r="U11" s="663">
        <f t="shared" si="1"/>
        <v>100</v>
      </c>
      <c r="V11" s="662" t="s">
        <v>14</v>
      </c>
      <c r="W11" s="663">
        <f t="shared" si="2"/>
        <v>100</v>
      </c>
      <c r="X11" s="664"/>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92"/>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92"/>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92"/>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99" t="s">
        <v>1691</v>
      </c>
      <c r="Q15" s="1260" t="str">
        <f t="shared" si="6"/>
        <v>产业集聚程度</v>
      </c>
      <c r="R15" s="665" t="s">
        <v>14</v>
      </c>
      <c r="S15" s="666">
        <f t="shared" si="0"/>
        <v>100</v>
      </c>
      <c r="T15" s="665" t="s">
        <v>14</v>
      </c>
      <c r="U15" s="666">
        <f t="shared" si="1"/>
        <v>100</v>
      </c>
      <c r="V15" s="665" t="s">
        <v>14</v>
      </c>
      <c r="W15" s="666">
        <f t="shared" si="2"/>
        <v>100</v>
      </c>
      <c r="X15" s="1262"/>
      <c r="Y15" s="3399"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0"/>
      <c r="Q16" s="1260"/>
      <c r="R16" s="665"/>
      <c r="S16" s="666"/>
      <c r="T16" s="665"/>
      <c r="U16" s="666"/>
      <c r="V16" s="665"/>
      <c r="W16" s="666"/>
      <c r="X16" s="1262"/>
      <c r="Y16" s="3400"/>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0"/>
      <c r="Q17" s="1260" t="str">
        <f>B17</f>
        <v>交通便捷度</v>
      </c>
      <c r="R17" s="665" t="s">
        <v>14</v>
      </c>
      <c r="S17" s="666">
        <f>F17</f>
        <v>100</v>
      </c>
      <c r="T17" s="665" t="s">
        <v>14</v>
      </c>
      <c r="U17" s="666">
        <f>H17</f>
        <v>100</v>
      </c>
      <c r="V17" s="665" t="s">
        <v>14</v>
      </c>
      <c r="W17" s="666">
        <f>J17</f>
        <v>100</v>
      </c>
      <c r="X17" s="1262"/>
      <c r="Y17" s="3400"/>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00"/>
      <c r="Q18" s="1260"/>
      <c r="R18" s="665"/>
      <c r="S18" s="666"/>
      <c r="T18" s="665"/>
      <c r="U18" s="666"/>
      <c r="V18" s="665"/>
      <c r="W18" s="666"/>
      <c r="X18" s="1262"/>
      <c r="Y18" s="3400"/>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0"/>
      <c r="Q19" s="1260" t="str">
        <f>B19</f>
        <v>公共配套设施</v>
      </c>
      <c r="R19" s="665" t="s">
        <v>14</v>
      </c>
      <c r="S19" s="666">
        <f>F19</f>
        <v>100</v>
      </c>
      <c r="T19" s="665" t="s">
        <v>14</v>
      </c>
      <c r="U19" s="666">
        <f>H19</f>
        <v>100</v>
      </c>
      <c r="V19" s="665" t="s">
        <v>14</v>
      </c>
      <c r="W19" s="666">
        <f>J19</f>
        <v>100</v>
      </c>
      <c r="X19" s="1262"/>
      <c r="Y19" s="3400"/>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00"/>
      <c r="Q20" s="1260"/>
      <c r="R20" s="665"/>
      <c r="S20" s="666"/>
      <c r="T20" s="665"/>
      <c r="U20" s="666"/>
      <c r="V20" s="665"/>
      <c r="W20" s="666"/>
      <c r="X20" s="1262"/>
      <c r="Y20" s="3400"/>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0"/>
      <c r="Q21" s="1260" t="str">
        <f>B21</f>
        <v>基础设施水平</v>
      </c>
      <c r="R21" s="665" t="s">
        <v>14</v>
      </c>
      <c r="S21" s="666">
        <f>F21</f>
        <v>100</v>
      </c>
      <c r="T21" s="665" t="s">
        <v>14</v>
      </c>
      <c r="U21" s="666">
        <f>H21</f>
        <v>100</v>
      </c>
      <c r="V21" s="665" t="s">
        <v>14</v>
      </c>
      <c r="W21" s="666">
        <f>J21</f>
        <v>100</v>
      </c>
      <c r="X21" s="1262"/>
      <c r="Y21" s="3400"/>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00"/>
      <c r="Q22" s="1260"/>
      <c r="R22" s="665"/>
      <c r="S22" s="666"/>
      <c r="T22" s="665"/>
      <c r="U22" s="666"/>
      <c r="V22" s="665"/>
      <c r="W22" s="666"/>
      <c r="X22" s="1262"/>
      <c r="Y22" s="3400"/>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0"/>
      <c r="Q23" s="1260" t="str">
        <f>B23</f>
        <v>环境质量</v>
      </c>
      <c r="R23" s="665" t="s">
        <v>14</v>
      </c>
      <c r="S23" s="666">
        <f>F23</f>
        <v>100</v>
      </c>
      <c r="T23" s="665" t="s">
        <v>14</v>
      </c>
      <c r="U23" s="666">
        <f>H23</f>
        <v>100</v>
      </c>
      <c r="V23" s="665" t="s">
        <v>14</v>
      </c>
      <c r="W23" s="666">
        <f>J23</f>
        <v>100</v>
      </c>
      <c r="X23" s="1262"/>
      <c r="Y23" s="3400"/>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00"/>
      <c r="Q24" s="1260"/>
      <c r="R24" s="665"/>
      <c r="S24" s="666"/>
      <c r="T24" s="665"/>
      <c r="U24" s="666"/>
      <c r="V24" s="665"/>
      <c r="W24" s="666"/>
      <c r="X24" s="1262"/>
      <c r="Y24" s="3400"/>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0"/>
      <c r="Q25" s="1260">
        <f>B25</f>
        <v>111</v>
      </c>
      <c r="R25" s="665" t="s">
        <v>14</v>
      </c>
      <c r="S25" s="666">
        <f>F25</f>
        <v>100</v>
      </c>
      <c r="T25" s="665" t="s">
        <v>14</v>
      </c>
      <c r="U25" s="666">
        <f>H25</f>
        <v>100</v>
      </c>
      <c r="V25" s="665" t="s">
        <v>14</v>
      </c>
      <c r="W25" s="666">
        <f>J25</f>
        <v>100</v>
      </c>
      <c r="X25" s="1262"/>
      <c r="Y25" s="3400"/>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0"/>
      <c r="Q26" s="1260">
        <f t="shared" ref="Q26:Q40" si="11">B26</f>
        <v>111</v>
      </c>
      <c r="R26" s="665" t="s">
        <v>14</v>
      </c>
      <c r="S26" s="666">
        <f>F26</f>
        <v>100</v>
      </c>
      <c r="T26" s="665" t="s">
        <v>14</v>
      </c>
      <c r="U26" s="666">
        <f>H26</f>
        <v>100</v>
      </c>
      <c r="V26" s="665" t="s">
        <v>14</v>
      </c>
      <c r="W26" s="666">
        <f>J26</f>
        <v>100</v>
      </c>
      <c r="X26" s="1262"/>
      <c r="Y26" s="3400"/>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0"/>
      <c r="Q27" s="529">
        <f t="shared" si="11"/>
        <v>111</v>
      </c>
      <c r="R27" s="662" t="s">
        <v>14</v>
      </c>
      <c r="S27" s="663">
        <f>F27</f>
        <v>100</v>
      </c>
      <c r="T27" s="662" t="s">
        <v>14</v>
      </c>
      <c r="U27" s="663">
        <f>H27</f>
        <v>100</v>
      </c>
      <c r="V27" s="662" t="s">
        <v>14</v>
      </c>
      <c r="W27" s="663">
        <f>J27</f>
        <v>100</v>
      </c>
      <c r="X27" s="664"/>
      <c r="Y27" s="3400"/>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0"/>
      <c r="Q28" s="1260">
        <f t="shared" si="11"/>
        <v>111</v>
      </c>
      <c r="R28" s="665" t="s">
        <v>14</v>
      </c>
      <c r="S28" s="666">
        <f t="shared" ref="S28:S40" si="12">F28</f>
        <v>100</v>
      </c>
      <c r="T28" s="665" t="s">
        <v>14</v>
      </c>
      <c r="U28" s="666">
        <f t="shared" ref="U28:U40" si="13">H28</f>
        <v>100</v>
      </c>
      <c r="V28" s="665" t="s">
        <v>14</v>
      </c>
      <c r="W28" s="666">
        <f t="shared" ref="W28:W40" si="14">J28</f>
        <v>100</v>
      </c>
      <c r="X28" s="1262"/>
      <c r="Y28" s="3400"/>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0" t="s">
        <v>1696</v>
      </c>
      <c r="Q29" s="1260" t="str">
        <f t="shared" si="11"/>
        <v>建筑类型</v>
      </c>
      <c r="R29" s="665" t="s">
        <v>14</v>
      </c>
      <c r="S29" s="666">
        <f t="shared" si="12"/>
        <v>100</v>
      </c>
      <c r="T29" s="665" t="s">
        <v>14</v>
      </c>
      <c r="U29" s="666">
        <f t="shared" si="13"/>
        <v>100</v>
      </c>
      <c r="V29" s="665" t="s">
        <v>14</v>
      </c>
      <c r="W29" s="666">
        <f t="shared" si="14"/>
        <v>100</v>
      </c>
      <c r="X29" s="1262"/>
      <c r="Y29" s="3404"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4"/>
      <c r="Q30" s="530" t="str">
        <f t="shared" si="11"/>
        <v>项目建筑规模</v>
      </c>
      <c r="R30" s="667" t="s">
        <v>14</v>
      </c>
      <c r="S30" s="668" t="e">
        <f t="shared" si="12"/>
        <v>#N/A</v>
      </c>
      <c r="T30" s="667" t="s">
        <v>14</v>
      </c>
      <c r="U30" s="668" t="e">
        <f t="shared" si="13"/>
        <v>#N/A</v>
      </c>
      <c r="V30" s="667" t="s">
        <v>14</v>
      </c>
      <c r="W30" s="668" t="e">
        <f t="shared" si="14"/>
        <v>#N/A</v>
      </c>
      <c r="X30" s="669"/>
      <c r="Y30" s="3404"/>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4"/>
      <c r="Q31" s="1260" t="str">
        <f t="shared" si="11"/>
        <v>建筑结构</v>
      </c>
      <c r="R31" s="665" t="s">
        <v>14</v>
      </c>
      <c r="S31" s="666">
        <f t="shared" si="12"/>
        <v>100</v>
      </c>
      <c r="T31" s="665" t="s">
        <v>14</v>
      </c>
      <c r="U31" s="666">
        <f t="shared" si="13"/>
        <v>100</v>
      </c>
      <c r="V31" s="665" t="s">
        <v>14</v>
      </c>
      <c r="W31" s="666">
        <f t="shared" si="14"/>
        <v>100</v>
      </c>
      <c r="X31" s="1262"/>
      <c r="Y31" s="3404"/>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4"/>
      <c r="Q32" s="1260" t="str">
        <f t="shared" si="11"/>
        <v>公共部分装修</v>
      </c>
      <c r="R32" s="665" t="s">
        <v>14</v>
      </c>
      <c r="S32" s="666">
        <f t="shared" si="12"/>
        <v>100</v>
      </c>
      <c r="T32" s="665" t="s">
        <v>14</v>
      </c>
      <c r="U32" s="666">
        <f t="shared" si="13"/>
        <v>100</v>
      </c>
      <c r="V32" s="665" t="s">
        <v>14</v>
      </c>
      <c r="W32" s="666">
        <f t="shared" si="14"/>
        <v>100</v>
      </c>
      <c r="X32" s="1262"/>
      <c r="Y32" s="3404"/>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4"/>
      <c r="Q33" s="1260" t="str">
        <f t="shared" si="11"/>
        <v>成新度</v>
      </c>
      <c r="R33" s="665" t="s">
        <v>14</v>
      </c>
      <c r="S33" s="666" t="e">
        <f t="shared" si="12"/>
        <v>#N/A</v>
      </c>
      <c r="T33" s="665" t="s">
        <v>14</v>
      </c>
      <c r="U33" s="666" t="e">
        <f t="shared" si="13"/>
        <v>#N/A</v>
      </c>
      <c r="V33" s="665" t="s">
        <v>14</v>
      </c>
      <c r="W33" s="666" t="e">
        <f t="shared" si="14"/>
        <v>#N/A</v>
      </c>
      <c r="X33" s="1262"/>
      <c r="Y33" s="3404"/>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4"/>
      <c r="Q34" s="529" t="str">
        <f t="shared" si="11"/>
        <v>物业管理</v>
      </c>
      <c r="R34" s="662" t="s">
        <v>14</v>
      </c>
      <c r="S34" s="663">
        <f t="shared" si="12"/>
        <v>100</v>
      </c>
      <c r="T34" s="662" t="s">
        <v>14</v>
      </c>
      <c r="U34" s="663">
        <f t="shared" si="13"/>
        <v>100</v>
      </c>
      <c r="V34" s="662" t="s">
        <v>14</v>
      </c>
      <c r="W34" s="663">
        <f t="shared" si="14"/>
        <v>100</v>
      </c>
      <c r="X34" s="664"/>
      <c r="Y34" s="340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4" t="s">
        <v>1696</v>
      </c>
      <c r="Q35" s="1260" t="str">
        <f t="shared" si="11"/>
        <v>市政基础设施</v>
      </c>
      <c r="R35" s="665" t="s">
        <v>14</v>
      </c>
      <c r="S35" s="666">
        <f t="shared" si="12"/>
        <v>100</v>
      </c>
      <c r="T35" s="665" t="s">
        <v>14</v>
      </c>
      <c r="U35" s="666">
        <f t="shared" si="13"/>
        <v>100</v>
      </c>
      <c r="V35" s="665" t="s">
        <v>14</v>
      </c>
      <c r="W35" s="666">
        <f t="shared" si="14"/>
        <v>100</v>
      </c>
      <c r="X35" s="1262"/>
      <c r="Y35" s="3404"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4"/>
      <c r="Q36" s="1260" t="str">
        <f t="shared" si="11"/>
        <v>内部装修</v>
      </c>
      <c r="R36" s="665" t="s">
        <v>14</v>
      </c>
      <c r="S36" s="666">
        <f t="shared" si="12"/>
        <v>100</v>
      </c>
      <c r="T36" s="665" t="s">
        <v>14</v>
      </c>
      <c r="U36" s="666">
        <f t="shared" si="13"/>
        <v>100</v>
      </c>
      <c r="V36" s="665" t="s">
        <v>14</v>
      </c>
      <c r="W36" s="666">
        <f t="shared" si="14"/>
        <v>100</v>
      </c>
      <c r="X36" s="1262"/>
      <c r="Y36" s="3404"/>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4"/>
      <c r="Q37" s="1260" t="str">
        <f t="shared" si="11"/>
        <v>内部装修状况</v>
      </c>
      <c r="R37" s="665" t="s">
        <v>14</v>
      </c>
      <c r="S37" s="666">
        <f t="shared" si="12"/>
        <v>100</v>
      </c>
      <c r="T37" s="665" t="s">
        <v>14</v>
      </c>
      <c r="U37" s="666">
        <f t="shared" si="13"/>
        <v>100</v>
      </c>
      <c r="V37" s="665" t="s">
        <v>14</v>
      </c>
      <c r="W37" s="666">
        <f t="shared" si="14"/>
        <v>100</v>
      </c>
      <c r="X37" s="1262"/>
      <c r="Y37" s="3404"/>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4"/>
      <c r="Q38" s="530">
        <f t="shared" si="11"/>
        <v>111</v>
      </c>
      <c r="R38" s="667" t="s">
        <v>14</v>
      </c>
      <c r="S38" s="668">
        <f t="shared" si="12"/>
        <v>100</v>
      </c>
      <c r="T38" s="667" t="s">
        <v>14</v>
      </c>
      <c r="U38" s="668">
        <f t="shared" si="13"/>
        <v>100</v>
      </c>
      <c r="V38" s="667" t="s">
        <v>14</v>
      </c>
      <c r="W38" s="668">
        <f t="shared" si="14"/>
        <v>100</v>
      </c>
      <c r="X38" s="669"/>
      <c r="Y38" s="3404"/>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4"/>
      <c r="Q39" s="1260">
        <f t="shared" si="11"/>
        <v>111</v>
      </c>
      <c r="R39" s="665" t="s">
        <v>14</v>
      </c>
      <c r="S39" s="666">
        <f t="shared" si="12"/>
        <v>100</v>
      </c>
      <c r="T39" s="665" t="s">
        <v>14</v>
      </c>
      <c r="U39" s="666">
        <f t="shared" si="13"/>
        <v>100</v>
      </c>
      <c r="V39" s="665" t="s">
        <v>14</v>
      </c>
      <c r="W39" s="666">
        <f t="shared" si="14"/>
        <v>100</v>
      </c>
      <c r="X39" s="1262"/>
      <c r="Y39" s="3404"/>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5"/>
      <c r="Q40" s="1260">
        <f t="shared" si="11"/>
        <v>111</v>
      </c>
      <c r="R40" s="665" t="s">
        <v>14</v>
      </c>
      <c r="S40" s="666">
        <f t="shared" si="12"/>
        <v>100</v>
      </c>
      <c r="T40" s="665" t="s">
        <v>14</v>
      </c>
      <c r="U40" s="666">
        <f t="shared" si="13"/>
        <v>100</v>
      </c>
      <c r="V40" s="665" t="s">
        <v>14</v>
      </c>
      <c r="W40" s="666">
        <f t="shared" si="14"/>
        <v>100</v>
      </c>
      <c r="X40" s="1262"/>
      <c r="Y40" s="3405"/>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2"/>
      <c r="L41" s="871"/>
      <c r="M41" s="859"/>
      <c r="N41" s="859"/>
      <c r="O41" s="859"/>
      <c r="P41" s="3392" t="str">
        <f>A41</f>
        <v>成交单价（元/平方米）</v>
      </c>
      <c r="Q41" s="3392"/>
      <c r="R41" s="3393">
        <f>E41</f>
        <v>0</v>
      </c>
      <c r="S41" s="3393"/>
      <c r="T41" s="3393">
        <f>G41</f>
        <v>0</v>
      </c>
      <c r="U41" s="3393"/>
      <c r="V41" s="3393">
        <f>I41</f>
        <v>0</v>
      </c>
      <c r="W41" s="3393"/>
      <c r="X41" s="384"/>
      <c r="Y41" s="671"/>
      <c r="Z41" s="384"/>
      <c r="AA41" s="384"/>
      <c r="AB41" s="384"/>
      <c r="AC41" s="384"/>
    </row>
    <row r="42" spans="1:29" ht="15.7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2"/>
      <c r="O54" s="2533"/>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5">
      <c r="A4" s="344" t="s">
        <v>1769</v>
      </c>
      <c r="B4" s="345"/>
      <c r="C4" s="3410" t="s">
        <v>1770</v>
      </c>
      <c r="D4" s="3411"/>
      <c r="E4" s="3412" t="s">
        <v>1771</v>
      </c>
      <c r="F4" s="3413"/>
      <c r="G4" s="3410" t="s">
        <v>1772</v>
      </c>
      <c r="H4" s="3411"/>
      <c r="I4" s="3410" t="s">
        <v>1773</v>
      </c>
      <c r="J4" s="3411"/>
      <c r="K4" s="536" t="s">
        <v>1774</v>
      </c>
      <c r="L4" s="2480"/>
      <c r="M4" s="2481"/>
      <c r="N4" s="2481"/>
      <c r="O4" s="2481"/>
      <c r="P4" s="3414" t="s">
        <v>1775</v>
      </c>
      <c r="Q4" s="3415"/>
      <c r="R4" s="3420" t="s">
        <v>1771</v>
      </c>
      <c r="S4" s="3421"/>
      <c r="T4" s="3420" t="s">
        <v>1772</v>
      </c>
      <c r="U4" s="3421"/>
      <c r="V4" s="3393" t="s">
        <v>1773</v>
      </c>
      <c r="W4" s="3393"/>
      <c r="X4" s="1262"/>
      <c r="Y4" s="3420" t="s">
        <v>1775</v>
      </c>
      <c r="Z4" s="3421"/>
      <c r="AA4" s="3407" t="s">
        <v>1771</v>
      </c>
      <c r="AB4" s="3408" t="s">
        <v>1772</v>
      </c>
      <c r="AC4" s="3407" t="s">
        <v>1773</v>
      </c>
    </row>
    <row r="5" spans="1:29" ht="15">
      <c r="A5" s="347"/>
      <c r="B5" s="348"/>
      <c r="C5" s="3433" t="s">
        <v>1673</v>
      </c>
      <c r="D5" s="3429"/>
      <c r="E5" s="3464" t="s">
        <v>1674</v>
      </c>
      <c r="F5" s="3437"/>
      <c r="G5" s="3433" t="s">
        <v>1675</v>
      </c>
      <c r="H5" s="3429"/>
      <c r="I5" s="3433" t="s">
        <v>1676</v>
      </c>
      <c r="J5" s="3429"/>
      <c r="K5" s="536"/>
      <c r="L5" s="2480"/>
      <c r="M5" s="2481"/>
      <c r="N5" s="2481"/>
      <c r="O5" s="2481"/>
      <c r="P5" s="3416"/>
      <c r="Q5" s="3417"/>
      <c r="R5" s="3422"/>
      <c r="S5" s="3423"/>
      <c r="T5" s="3422"/>
      <c r="U5" s="3423"/>
      <c r="V5" s="3393"/>
      <c r="W5" s="3393"/>
      <c r="X5" s="1262"/>
      <c r="Y5" s="3422"/>
      <c r="Z5" s="3423"/>
      <c r="AA5" s="3408"/>
      <c r="AB5" s="3408"/>
      <c r="AC5" s="3408"/>
    </row>
    <row r="6" spans="1:29" ht="15.75" thickBot="1">
      <c r="A6" s="349"/>
      <c r="B6" s="350"/>
      <c r="C6" s="3426" t="s">
        <v>1677</v>
      </c>
      <c r="D6" s="3427"/>
      <c r="E6" s="3434" t="s">
        <v>1677</v>
      </c>
      <c r="F6" s="3435"/>
      <c r="G6" s="3426" t="s">
        <v>1677</v>
      </c>
      <c r="H6" s="3427"/>
      <c r="I6" s="3426" t="s">
        <v>1677</v>
      </c>
      <c r="J6" s="3427"/>
      <c r="K6" s="536" t="s">
        <v>1678</v>
      </c>
      <c r="L6" s="2480"/>
      <c r="M6" s="2481"/>
      <c r="N6" s="2481"/>
      <c r="O6" s="2481"/>
      <c r="P6" s="3418"/>
      <c r="Q6" s="3419"/>
      <c r="R6" s="3422"/>
      <c r="S6" s="3423"/>
      <c r="T6" s="3424"/>
      <c r="U6" s="3425"/>
      <c r="V6" s="3393"/>
      <c r="W6" s="3393"/>
      <c r="X6" s="1262"/>
      <c r="Y6" s="3424"/>
      <c r="Z6" s="3425"/>
      <c r="AA6" s="3409"/>
      <c r="AB6" s="3409"/>
      <c r="AC6" s="3409"/>
    </row>
    <row r="7" spans="1:29" s="101" customFormat="1" ht="15.75" thickBot="1">
      <c r="A7" s="351" t="s">
        <v>1679</v>
      </c>
      <c r="B7" s="352"/>
      <c r="C7" s="353">
        <f>'数据-取费表'!B2</f>
        <v>45775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30" t="s">
        <v>1680</v>
      </c>
      <c r="Q7" s="3432"/>
      <c r="R7" s="662" t="s">
        <v>14</v>
      </c>
      <c r="S7" s="663">
        <f t="shared" ref="S7:S14" si="0">F7</f>
        <v>0</v>
      </c>
      <c r="T7" s="662" t="s">
        <v>14</v>
      </c>
      <c r="U7" s="663">
        <f t="shared" ref="U7:U14" si="1">H7</f>
        <v>0</v>
      </c>
      <c r="V7" s="662" t="s">
        <v>14</v>
      </c>
      <c r="W7" s="663">
        <f t="shared" ref="W7:W14" si="2">J7</f>
        <v>0</v>
      </c>
      <c r="X7" s="664"/>
      <c r="Y7" s="3430" t="s">
        <v>1680</v>
      </c>
      <c r="Z7" s="343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30" t="s">
        <v>1683</v>
      </c>
      <c r="Q8" s="3431"/>
      <c r="R8" s="662" t="s">
        <v>14</v>
      </c>
      <c r="S8" s="663">
        <f t="shared" si="0"/>
        <v>100</v>
      </c>
      <c r="T8" s="662" t="s">
        <v>14</v>
      </c>
      <c r="U8" s="663">
        <f t="shared" si="1"/>
        <v>100</v>
      </c>
      <c r="V8" s="662" t="s">
        <v>14</v>
      </c>
      <c r="W8" s="663">
        <f t="shared" si="2"/>
        <v>100</v>
      </c>
      <c r="X8" s="664"/>
      <c r="Y8" s="3430" t="s">
        <v>1683</v>
      </c>
      <c r="Z8" s="3431"/>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392" t="s">
        <v>1686</v>
      </c>
      <c r="Q9" s="529" t="str">
        <f t="shared" ref="Q9:Q14" si="6">B9</f>
        <v>用途</v>
      </c>
      <c r="R9" s="662" t="s">
        <v>14</v>
      </c>
      <c r="S9" s="663">
        <f t="shared" si="0"/>
        <v>100</v>
      </c>
      <c r="T9" s="662" t="s">
        <v>14</v>
      </c>
      <c r="U9" s="663">
        <f t="shared" si="1"/>
        <v>100</v>
      </c>
      <c r="V9" s="662" t="s">
        <v>14</v>
      </c>
      <c r="W9" s="663">
        <f t="shared" si="2"/>
        <v>100</v>
      </c>
      <c r="X9" s="664"/>
      <c r="Y9" s="3277" t="s">
        <v>1687</v>
      </c>
      <c r="Z9" s="50" t="str">
        <f t="shared" ref="Z9:Z14" si="7">Q9</f>
        <v>用途</v>
      </c>
      <c r="AA9" s="50">
        <f t="shared" si="3"/>
        <v>1</v>
      </c>
      <c r="AB9" s="50">
        <f t="shared" si="4"/>
        <v>1</v>
      </c>
      <c r="AC9" s="50">
        <f t="shared" si="5"/>
        <v>1</v>
      </c>
    </row>
    <row r="10" spans="1:29" s="365" customFormat="1" ht="27">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92"/>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92"/>
      <c r="Q11" s="529">
        <f t="shared" si="6"/>
        <v>111</v>
      </c>
      <c r="R11" s="662" t="s">
        <v>14</v>
      </c>
      <c r="S11" s="663">
        <f t="shared" si="0"/>
        <v>100</v>
      </c>
      <c r="T11" s="662" t="s">
        <v>14</v>
      </c>
      <c r="U11" s="663">
        <f t="shared" si="1"/>
        <v>100</v>
      </c>
      <c r="V11" s="662" t="s">
        <v>14</v>
      </c>
      <c r="W11" s="663">
        <f t="shared" si="2"/>
        <v>100</v>
      </c>
      <c r="X11" s="664"/>
      <c r="Y11" s="3277"/>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392"/>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92"/>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399" t="s">
        <v>1691</v>
      </c>
      <c r="Q14" s="1260" t="str">
        <f t="shared" si="6"/>
        <v>交通便捷度</v>
      </c>
      <c r="R14" s="665" t="s">
        <v>14</v>
      </c>
      <c r="S14" s="666">
        <f t="shared" si="0"/>
        <v>100</v>
      </c>
      <c r="T14" s="665" t="s">
        <v>14</v>
      </c>
      <c r="U14" s="666">
        <f t="shared" si="1"/>
        <v>100</v>
      </c>
      <c r="V14" s="665" t="s">
        <v>14</v>
      </c>
      <c r="W14" s="666">
        <f t="shared" si="2"/>
        <v>100</v>
      </c>
      <c r="X14" s="1262"/>
      <c r="Y14" s="3399"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00"/>
      <c r="Q15" s="1260"/>
      <c r="R15" s="665"/>
      <c r="S15" s="666"/>
      <c r="T15" s="665"/>
      <c r="U15" s="666"/>
      <c r="V15" s="665"/>
      <c r="W15" s="666"/>
      <c r="X15" s="1262"/>
      <c r="Y15" s="3400"/>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00"/>
      <c r="Q16" s="1260" t="str">
        <f>B16</f>
        <v>公共配套设施</v>
      </c>
      <c r="R16" s="665" t="s">
        <v>14</v>
      </c>
      <c r="S16" s="666">
        <f>F16</f>
        <v>100</v>
      </c>
      <c r="T16" s="665" t="s">
        <v>14</v>
      </c>
      <c r="U16" s="666">
        <f>H16</f>
        <v>100</v>
      </c>
      <c r="V16" s="665" t="s">
        <v>14</v>
      </c>
      <c r="W16" s="666">
        <f>J16</f>
        <v>100</v>
      </c>
      <c r="X16" s="1262"/>
      <c r="Y16" s="3400"/>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00"/>
      <c r="Q17" s="1260"/>
      <c r="R17" s="665"/>
      <c r="S17" s="666"/>
      <c r="T17" s="665"/>
      <c r="U17" s="666"/>
      <c r="V17" s="665"/>
      <c r="W17" s="666"/>
      <c r="X17" s="1262"/>
      <c r="Y17" s="3400"/>
      <c r="Z17" s="1261"/>
      <c r="AA17" s="1261">
        <v>1</v>
      </c>
      <c r="AB17" s="1261">
        <v>1</v>
      </c>
      <c r="AC17" s="1261">
        <v>1</v>
      </c>
    </row>
    <row r="18" spans="1:29" ht="42.75">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00"/>
      <c r="Q18" s="1260" t="str">
        <f>B18</f>
        <v>基础设施水平</v>
      </c>
      <c r="R18" s="665" t="s">
        <v>14</v>
      </c>
      <c r="S18" s="666">
        <f>F18</f>
        <v>100</v>
      </c>
      <c r="T18" s="665" t="s">
        <v>14</v>
      </c>
      <c r="U18" s="666">
        <f>H18</f>
        <v>100</v>
      </c>
      <c r="V18" s="665" t="s">
        <v>14</v>
      </c>
      <c r="W18" s="666">
        <f>J18</f>
        <v>100</v>
      </c>
      <c r="X18" s="1262"/>
      <c r="Y18" s="3400"/>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00"/>
      <c r="Q19" s="1260"/>
      <c r="R19" s="665"/>
      <c r="S19" s="666"/>
      <c r="T19" s="665"/>
      <c r="U19" s="666"/>
      <c r="V19" s="665"/>
      <c r="W19" s="666"/>
      <c r="X19" s="1262"/>
      <c r="Y19" s="3400"/>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00"/>
      <c r="Q20" s="1260" t="str">
        <f>B20</f>
        <v>自然及人文环境</v>
      </c>
      <c r="R20" s="665" t="s">
        <v>14</v>
      </c>
      <c r="S20" s="666">
        <f>F20</f>
        <v>100</v>
      </c>
      <c r="T20" s="665" t="s">
        <v>14</v>
      </c>
      <c r="U20" s="666">
        <f>H20</f>
        <v>100</v>
      </c>
      <c r="V20" s="665" t="s">
        <v>14</v>
      </c>
      <c r="W20" s="666">
        <f>J20</f>
        <v>100</v>
      </c>
      <c r="X20" s="1262"/>
      <c r="Y20" s="3400"/>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00"/>
      <c r="Q21" s="1260"/>
      <c r="R21" s="665"/>
      <c r="S21" s="666"/>
      <c r="T21" s="665"/>
      <c r="U21" s="666"/>
      <c r="V21" s="665"/>
      <c r="W21" s="666"/>
      <c r="X21" s="1262"/>
      <c r="Y21" s="3400"/>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00"/>
      <c r="Q22" s="1260" t="str">
        <f>B22</f>
        <v>楼层</v>
      </c>
      <c r="R22" s="665" t="s">
        <v>14</v>
      </c>
      <c r="S22" s="666">
        <f>F22</f>
        <v>100</v>
      </c>
      <c r="T22" s="665" t="s">
        <v>14</v>
      </c>
      <c r="U22" s="666">
        <f>H22</f>
        <v>100</v>
      </c>
      <c r="V22" s="665" t="s">
        <v>14</v>
      </c>
      <c r="W22" s="666">
        <f>J22</f>
        <v>100</v>
      </c>
      <c r="X22" s="1262"/>
      <c r="Y22" s="3400"/>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00"/>
      <c r="Q23" s="1260">
        <f>B23</f>
        <v>111</v>
      </c>
      <c r="R23" s="665" t="s">
        <v>14</v>
      </c>
      <c r="S23" s="666">
        <f>F23</f>
        <v>100</v>
      </c>
      <c r="T23" s="665" t="s">
        <v>14</v>
      </c>
      <c r="U23" s="666">
        <f>H23</f>
        <v>100</v>
      </c>
      <c r="V23" s="665" t="s">
        <v>14</v>
      </c>
      <c r="W23" s="666">
        <f>J23</f>
        <v>100</v>
      </c>
      <c r="X23" s="1262"/>
      <c r="Y23" s="3400"/>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00"/>
      <c r="Q24" s="1260">
        <f t="shared" ref="Q24:Q36" si="11">B24</f>
        <v>111</v>
      </c>
      <c r="R24" s="665" t="s">
        <v>14</v>
      </c>
      <c r="S24" s="666">
        <f>F24</f>
        <v>100</v>
      </c>
      <c r="T24" s="665" t="s">
        <v>14</v>
      </c>
      <c r="U24" s="666">
        <f>H24</f>
        <v>100</v>
      </c>
      <c r="V24" s="665" t="s">
        <v>14</v>
      </c>
      <c r="W24" s="666">
        <f>J24</f>
        <v>100</v>
      </c>
      <c r="X24" s="1262"/>
      <c r="Y24" s="3400"/>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00"/>
      <c r="Q25" s="529">
        <f t="shared" si="11"/>
        <v>111</v>
      </c>
      <c r="R25" s="662" t="s">
        <v>14</v>
      </c>
      <c r="S25" s="663">
        <f>F25</f>
        <v>100</v>
      </c>
      <c r="T25" s="662" t="s">
        <v>14</v>
      </c>
      <c r="U25" s="663">
        <f>H25</f>
        <v>100</v>
      </c>
      <c r="V25" s="662" t="s">
        <v>14</v>
      </c>
      <c r="W25" s="663">
        <f>J25</f>
        <v>100</v>
      </c>
      <c r="X25" s="664"/>
      <c r="Y25" s="3400"/>
      <c r="Z25" s="50">
        <f>Q25</f>
        <v>111</v>
      </c>
      <c r="AA25" s="1261">
        <f>D25/F25</f>
        <v>1</v>
      </c>
      <c r="AB25" s="1261">
        <f>D25/H25</f>
        <v>1</v>
      </c>
      <c r="AC25" s="1261">
        <f>D25/J25</f>
        <v>1</v>
      </c>
    </row>
    <row r="26" spans="1:29" ht="28.5">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4"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04"/>
      <c r="Q27" s="530" t="str">
        <f t="shared" si="11"/>
        <v>项目停车位配比</v>
      </c>
      <c r="R27" s="667" t="s">
        <v>14</v>
      </c>
      <c r="S27" s="668">
        <f t="shared" si="12"/>
        <v>100</v>
      </c>
      <c r="T27" s="667" t="s">
        <v>14</v>
      </c>
      <c r="U27" s="668">
        <f t="shared" si="13"/>
        <v>100</v>
      </c>
      <c r="V27" s="667" t="s">
        <v>14</v>
      </c>
      <c r="W27" s="668">
        <f t="shared" si="14"/>
        <v>100</v>
      </c>
      <c r="X27" s="669"/>
      <c r="Y27" s="3404"/>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4"/>
      <c r="Q28" s="1260" t="str">
        <f t="shared" si="11"/>
        <v>公共部分装修</v>
      </c>
      <c r="R28" s="665" t="s">
        <v>14</v>
      </c>
      <c r="S28" s="666">
        <f t="shared" si="12"/>
        <v>100</v>
      </c>
      <c r="T28" s="665" t="s">
        <v>14</v>
      </c>
      <c r="U28" s="666">
        <f t="shared" si="13"/>
        <v>100</v>
      </c>
      <c r="V28" s="665" t="s">
        <v>14</v>
      </c>
      <c r="W28" s="666">
        <f t="shared" si="14"/>
        <v>100</v>
      </c>
      <c r="X28" s="1262"/>
      <c r="Y28" s="3404"/>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4"/>
      <c r="Q29" s="1260" t="str">
        <f t="shared" si="11"/>
        <v>成新率</v>
      </c>
      <c r="R29" s="665" t="s">
        <v>14</v>
      </c>
      <c r="S29" s="666" t="e">
        <f t="shared" si="12"/>
        <v>#N/A</v>
      </c>
      <c r="T29" s="665" t="s">
        <v>14</v>
      </c>
      <c r="U29" s="666" t="e">
        <f t="shared" si="13"/>
        <v>#N/A</v>
      </c>
      <c r="V29" s="665" t="s">
        <v>14</v>
      </c>
      <c r="W29" s="666" t="e">
        <f t="shared" si="14"/>
        <v>#N/A</v>
      </c>
      <c r="X29" s="1262"/>
      <c r="Y29" s="3404"/>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04"/>
      <c r="Q30" s="1260" t="str">
        <f t="shared" si="11"/>
        <v>物业等级</v>
      </c>
      <c r="R30" s="665" t="s">
        <v>14</v>
      </c>
      <c r="S30" s="666">
        <f t="shared" si="12"/>
        <v>100</v>
      </c>
      <c r="T30" s="665" t="s">
        <v>14</v>
      </c>
      <c r="U30" s="666">
        <f t="shared" si="13"/>
        <v>100</v>
      </c>
      <c r="V30" s="665" t="s">
        <v>14</v>
      </c>
      <c r="W30" s="666">
        <f t="shared" si="14"/>
        <v>100</v>
      </c>
      <c r="X30" s="1262"/>
      <c r="Y30" s="3404"/>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04"/>
      <c r="Q31" s="529" t="str">
        <f t="shared" si="11"/>
        <v>停车位面积</v>
      </c>
      <c r="R31" s="662" t="s">
        <v>14</v>
      </c>
      <c r="S31" s="663" t="e">
        <f t="shared" si="12"/>
        <v>#N/A</v>
      </c>
      <c r="T31" s="662" t="s">
        <v>14</v>
      </c>
      <c r="U31" s="663" t="e">
        <f t="shared" si="13"/>
        <v>#N/A</v>
      </c>
      <c r="V31" s="662" t="s">
        <v>14</v>
      </c>
      <c r="W31" s="663" t="e">
        <f t="shared" si="14"/>
        <v>#N/A</v>
      </c>
      <c r="X31" s="664"/>
      <c r="Y31" s="340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4" t="s">
        <v>1696</v>
      </c>
      <c r="Q32" s="1260" t="str">
        <f t="shared" si="11"/>
        <v>车位类型</v>
      </c>
      <c r="R32" s="665" t="s">
        <v>14</v>
      </c>
      <c r="S32" s="666">
        <f t="shared" si="12"/>
        <v>100</v>
      </c>
      <c r="T32" s="665" t="s">
        <v>14</v>
      </c>
      <c r="U32" s="666">
        <f t="shared" si="13"/>
        <v>100</v>
      </c>
      <c r="V32" s="665" t="s">
        <v>14</v>
      </c>
      <c r="W32" s="666">
        <f t="shared" si="14"/>
        <v>100</v>
      </c>
      <c r="X32" s="1262"/>
      <c r="Y32" s="3404"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4"/>
      <c r="Q33" s="1260" t="str">
        <f t="shared" si="11"/>
        <v>是否直接入户</v>
      </c>
      <c r="R33" s="665" t="s">
        <v>14</v>
      </c>
      <c r="S33" s="666">
        <f t="shared" si="12"/>
        <v>100</v>
      </c>
      <c r="T33" s="665" t="s">
        <v>14</v>
      </c>
      <c r="U33" s="666">
        <f t="shared" si="13"/>
        <v>100</v>
      </c>
      <c r="V33" s="665" t="s">
        <v>14</v>
      </c>
      <c r="W33" s="666">
        <f t="shared" si="14"/>
        <v>100</v>
      </c>
      <c r="X33" s="1262"/>
      <c r="Y33" s="3404"/>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4"/>
      <c r="Q35" s="530">
        <f t="shared" si="11"/>
        <v>111</v>
      </c>
      <c r="R35" s="667" t="s">
        <v>14</v>
      </c>
      <c r="S35" s="668">
        <f t="shared" si="12"/>
        <v>100</v>
      </c>
      <c r="T35" s="667" t="s">
        <v>14</v>
      </c>
      <c r="U35" s="668">
        <f t="shared" si="13"/>
        <v>100</v>
      </c>
      <c r="V35" s="667" t="s">
        <v>14</v>
      </c>
      <c r="W35" s="668">
        <f t="shared" si="14"/>
        <v>100</v>
      </c>
      <c r="X35" s="669"/>
      <c r="Y35" s="3404"/>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4"/>
      <c r="Q36" s="1260">
        <f t="shared" si="11"/>
        <v>111</v>
      </c>
      <c r="R36" s="665" t="s">
        <v>14</v>
      </c>
      <c r="S36" s="666">
        <f t="shared" si="12"/>
        <v>100</v>
      </c>
      <c r="T36" s="665" t="s">
        <v>14</v>
      </c>
      <c r="U36" s="666">
        <f t="shared" si="13"/>
        <v>100</v>
      </c>
      <c r="V36" s="665" t="s">
        <v>14</v>
      </c>
      <c r="W36" s="666">
        <f t="shared" si="14"/>
        <v>100</v>
      </c>
      <c r="X36" s="1262"/>
      <c r="Y36" s="3404"/>
      <c r="Z36" s="1261">
        <f t="shared" si="15"/>
        <v>111</v>
      </c>
      <c r="AA36" s="1261">
        <f t="shared" si="3"/>
        <v>1</v>
      </c>
      <c r="AB36" s="1261">
        <f t="shared" si="4"/>
        <v>1</v>
      </c>
      <c r="AC36" s="1261">
        <f t="shared" si="5"/>
        <v>1</v>
      </c>
    </row>
    <row r="37" spans="1:29" ht="15">
      <c r="A37" s="415" t="s">
        <v>1844</v>
      </c>
      <c r="B37" s="1818" t="s">
        <v>3345</v>
      </c>
      <c r="C37" s="1078" t="s">
        <v>0</v>
      </c>
      <c r="D37" s="417"/>
      <c r="E37" s="418"/>
      <c r="F37" s="419"/>
      <c r="G37" s="420"/>
      <c r="H37" s="421"/>
      <c r="I37" s="418"/>
      <c r="J37" s="421"/>
      <c r="K37" s="543"/>
      <c r="L37" s="2488"/>
      <c r="M37" s="2481"/>
      <c r="N37" s="2481"/>
      <c r="O37" s="2481"/>
      <c r="P37" s="3392" t="str">
        <f>A37</f>
        <v>成交单价</v>
      </c>
      <c r="Q37" s="3392"/>
      <c r="R37" s="3393">
        <f>E37</f>
        <v>0</v>
      </c>
      <c r="S37" s="3393"/>
      <c r="T37" s="3393">
        <f>G37</f>
        <v>0</v>
      </c>
      <c r="U37" s="3393"/>
      <c r="V37" s="3393">
        <f>I37</f>
        <v>0</v>
      </c>
      <c r="W37" s="3393"/>
      <c r="X37" s="384"/>
      <c r="Y37" s="671"/>
      <c r="Z37" s="384"/>
      <c r="AA37" s="384"/>
      <c r="AB37" s="384"/>
      <c r="AC37" s="384"/>
    </row>
    <row r="38" spans="1:29" ht="15.7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8"/>
      <c r="M39" s="2481"/>
      <c r="N39" s="2481"/>
      <c r="O39" s="2481"/>
      <c r="P39" s="3394" t="str">
        <f>A39</f>
        <v>估价对象XX用房的比较价值（楼面单价，元/平方米）</v>
      </c>
      <c r="Q39" s="3395"/>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5">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1" customFormat="1" ht="15">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7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5">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5.75"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5.75"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5.75"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410" t="s">
        <v>1770</v>
      </c>
      <c r="D4" s="3411"/>
      <c r="E4" s="3412" t="s">
        <v>1771</v>
      </c>
      <c r="F4" s="3413"/>
      <c r="G4" s="3410" t="s">
        <v>1772</v>
      </c>
      <c r="H4" s="3411"/>
      <c r="I4" s="3410" t="s">
        <v>1773</v>
      </c>
      <c r="J4" s="3411"/>
      <c r="K4" s="536" t="s">
        <v>1774</v>
      </c>
      <c r="L4" s="2480"/>
      <c r="M4" s="2481"/>
      <c r="N4" s="2481"/>
      <c r="O4" s="2481"/>
      <c r="P4" s="3414" t="s">
        <v>1775</v>
      </c>
      <c r="Q4" s="3415"/>
      <c r="R4" s="3420" t="s">
        <v>1771</v>
      </c>
      <c r="S4" s="3421"/>
      <c r="T4" s="3420" t="s">
        <v>1772</v>
      </c>
      <c r="U4" s="3421"/>
      <c r="V4" s="3393" t="s">
        <v>1773</v>
      </c>
      <c r="W4" s="3393"/>
      <c r="X4" s="1262"/>
      <c r="Y4" s="3420" t="s">
        <v>1775</v>
      </c>
      <c r="Z4" s="3421"/>
      <c r="AA4" s="3407" t="s">
        <v>1771</v>
      </c>
      <c r="AB4" s="3408" t="s">
        <v>1772</v>
      </c>
      <c r="AC4" s="3407" t="s">
        <v>1773</v>
      </c>
    </row>
    <row r="5" spans="1:29" ht="15">
      <c r="A5" s="347"/>
      <c r="B5" s="348"/>
      <c r="C5" s="3433" t="s">
        <v>1673</v>
      </c>
      <c r="D5" s="3429"/>
      <c r="E5" s="3464" t="s">
        <v>1674</v>
      </c>
      <c r="F5" s="3437"/>
      <c r="G5" s="3433" t="s">
        <v>1675</v>
      </c>
      <c r="H5" s="3429"/>
      <c r="I5" s="3433" t="s">
        <v>1676</v>
      </c>
      <c r="J5" s="3429"/>
      <c r="K5" s="536"/>
      <c r="L5" s="2480"/>
      <c r="M5" s="2481"/>
      <c r="N5" s="2481"/>
      <c r="O5" s="2481"/>
      <c r="P5" s="3416"/>
      <c r="Q5" s="3417"/>
      <c r="R5" s="3422"/>
      <c r="S5" s="3423"/>
      <c r="T5" s="3422"/>
      <c r="U5" s="3423"/>
      <c r="V5" s="3393"/>
      <c r="W5" s="3393"/>
      <c r="X5" s="1262"/>
      <c r="Y5" s="3422"/>
      <c r="Z5" s="3423"/>
      <c r="AA5" s="3408"/>
      <c r="AB5" s="3408"/>
      <c r="AC5" s="3408"/>
    </row>
    <row r="6" spans="1:29" ht="15.75" thickBot="1">
      <c r="A6" s="349"/>
      <c r="B6" s="350"/>
      <c r="C6" s="3426" t="s">
        <v>1677</v>
      </c>
      <c r="D6" s="3427"/>
      <c r="E6" s="3434" t="s">
        <v>1677</v>
      </c>
      <c r="F6" s="3435"/>
      <c r="G6" s="3426" t="s">
        <v>1677</v>
      </c>
      <c r="H6" s="3427"/>
      <c r="I6" s="3426" t="s">
        <v>1677</v>
      </c>
      <c r="J6" s="3427"/>
      <c r="K6" s="536" t="s">
        <v>1678</v>
      </c>
      <c r="L6" s="2480"/>
      <c r="M6" s="2481"/>
      <c r="N6" s="2481"/>
      <c r="O6" s="2481"/>
      <c r="P6" s="3418"/>
      <c r="Q6" s="3419"/>
      <c r="R6" s="3422"/>
      <c r="S6" s="3423"/>
      <c r="T6" s="3424"/>
      <c r="U6" s="3425"/>
      <c r="V6" s="3393"/>
      <c r="W6" s="3393"/>
      <c r="X6" s="1262"/>
      <c r="Y6" s="3424"/>
      <c r="Z6" s="3425"/>
      <c r="AA6" s="3409"/>
      <c r="AB6" s="3409"/>
      <c r="AC6" s="3409"/>
    </row>
    <row r="7" spans="1:29" s="101" customFormat="1" ht="15.75" thickBot="1">
      <c r="A7" s="351" t="s">
        <v>1679</v>
      </c>
      <c r="B7" s="352"/>
      <c r="C7" s="353">
        <f>'数据-取费表'!B2</f>
        <v>45775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30" t="s">
        <v>1680</v>
      </c>
      <c r="Q7" s="3432"/>
      <c r="R7" s="662" t="s">
        <v>14</v>
      </c>
      <c r="S7" s="663">
        <f t="shared" ref="S7:S14" si="0">F7</f>
        <v>0</v>
      </c>
      <c r="T7" s="662" t="s">
        <v>14</v>
      </c>
      <c r="U7" s="663">
        <f t="shared" ref="U7:U14" si="1">H7</f>
        <v>0</v>
      </c>
      <c r="V7" s="662" t="s">
        <v>14</v>
      </c>
      <c r="W7" s="663">
        <f t="shared" ref="W7:W14" si="2">J7</f>
        <v>0</v>
      </c>
      <c r="X7" s="664"/>
      <c r="Y7" s="3430" t="s">
        <v>1680</v>
      </c>
      <c r="Z7" s="343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30" t="s">
        <v>1683</v>
      </c>
      <c r="Q8" s="3431"/>
      <c r="R8" s="662" t="s">
        <v>14</v>
      </c>
      <c r="S8" s="663">
        <f t="shared" si="0"/>
        <v>100</v>
      </c>
      <c r="T8" s="662" t="s">
        <v>14</v>
      </c>
      <c r="U8" s="663">
        <f t="shared" si="1"/>
        <v>100</v>
      </c>
      <c r="V8" s="662" t="s">
        <v>14</v>
      </c>
      <c r="W8" s="663">
        <f t="shared" si="2"/>
        <v>100</v>
      </c>
      <c r="X8" s="664"/>
      <c r="Y8" s="3430" t="s">
        <v>1683</v>
      </c>
      <c r="Z8" s="343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392" t="s">
        <v>1686</v>
      </c>
      <c r="Q9" s="529" t="str">
        <f t="shared" ref="Q9:Q14" si="6">B9</f>
        <v>用途</v>
      </c>
      <c r="R9" s="662" t="s">
        <v>14</v>
      </c>
      <c r="S9" s="663">
        <f t="shared" si="0"/>
        <v>100</v>
      </c>
      <c r="T9" s="662" t="s">
        <v>14</v>
      </c>
      <c r="U9" s="663">
        <f t="shared" si="1"/>
        <v>100</v>
      </c>
      <c r="V9" s="662" t="s">
        <v>14</v>
      </c>
      <c r="W9" s="663">
        <f t="shared" si="2"/>
        <v>100</v>
      </c>
      <c r="X9" s="664"/>
      <c r="Y9" s="3277"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92"/>
      <c r="Q10" s="529" t="str">
        <f t="shared" si="6"/>
        <v>土地使用年限（年）</v>
      </c>
      <c r="R10" s="662" t="s">
        <v>14</v>
      </c>
      <c r="S10" s="663">
        <f t="shared" si="0"/>
        <v>100</v>
      </c>
      <c r="T10" s="662" t="s">
        <v>14</v>
      </c>
      <c r="U10" s="663">
        <f t="shared" si="1"/>
        <v>100</v>
      </c>
      <c r="V10" s="662" t="s">
        <v>14</v>
      </c>
      <c r="W10" s="663">
        <f t="shared" si="2"/>
        <v>100</v>
      </c>
      <c r="X10" s="664"/>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92"/>
      <c r="Q11" s="529">
        <f t="shared" si="6"/>
        <v>111</v>
      </c>
      <c r="R11" s="662" t="s">
        <v>14</v>
      </c>
      <c r="S11" s="663">
        <f t="shared" si="0"/>
        <v>100</v>
      </c>
      <c r="T11" s="662" t="s">
        <v>14</v>
      </c>
      <c r="U11" s="663">
        <f t="shared" si="1"/>
        <v>100</v>
      </c>
      <c r="V11" s="662" t="s">
        <v>14</v>
      </c>
      <c r="W11" s="663">
        <f t="shared" si="2"/>
        <v>100</v>
      </c>
      <c r="X11" s="664"/>
      <c r="Y11" s="327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392"/>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92"/>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399" t="s">
        <v>1691</v>
      </c>
      <c r="Q14" s="1260" t="str">
        <f t="shared" si="6"/>
        <v>交通便捷度</v>
      </c>
      <c r="R14" s="665" t="s">
        <v>14</v>
      </c>
      <c r="S14" s="666">
        <f t="shared" si="0"/>
        <v>100</v>
      </c>
      <c r="T14" s="665" t="s">
        <v>14</v>
      </c>
      <c r="U14" s="666">
        <f t="shared" si="1"/>
        <v>100</v>
      </c>
      <c r="V14" s="665" t="s">
        <v>14</v>
      </c>
      <c r="W14" s="666">
        <f t="shared" si="2"/>
        <v>100</v>
      </c>
      <c r="X14" s="1262"/>
      <c r="Y14" s="3399"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00"/>
      <c r="Q15" s="1260"/>
      <c r="R15" s="665"/>
      <c r="S15" s="666"/>
      <c r="T15" s="665"/>
      <c r="U15" s="666"/>
      <c r="V15" s="665"/>
      <c r="W15" s="666"/>
      <c r="X15" s="1262"/>
      <c r="Y15" s="3400"/>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00"/>
      <c r="Q16" s="1260" t="str">
        <f>B16</f>
        <v>公共配套设施</v>
      </c>
      <c r="R16" s="665" t="s">
        <v>14</v>
      </c>
      <c r="S16" s="666">
        <f>F16</f>
        <v>100</v>
      </c>
      <c r="T16" s="665" t="s">
        <v>14</v>
      </c>
      <c r="U16" s="666">
        <f>H16</f>
        <v>100</v>
      </c>
      <c r="V16" s="665" t="s">
        <v>14</v>
      </c>
      <c r="W16" s="666">
        <f>J16</f>
        <v>100</v>
      </c>
      <c r="X16" s="1262"/>
      <c r="Y16" s="3400"/>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00"/>
      <c r="Q17" s="1260"/>
      <c r="R17" s="665"/>
      <c r="S17" s="666"/>
      <c r="T17" s="665"/>
      <c r="U17" s="666"/>
      <c r="V17" s="665"/>
      <c r="W17" s="666"/>
      <c r="X17" s="1262"/>
      <c r="Y17" s="3400"/>
      <c r="Z17" s="1261"/>
      <c r="AA17" s="1261">
        <v>1</v>
      </c>
      <c r="AB17" s="1261">
        <v>1</v>
      </c>
      <c r="AC17" s="1261">
        <v>1</v>
      </c>
    </row>
    <row r="18" spans="1:29" ht="42.75">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00"/>
      <c r="Q18" s="1260" t="str">
        <f>B18</f>
        <v>基础设施水平</v>
      </c>
      <c r="R18" s="665" t="s">
        <v>14</v>
      </c>
      <c r="S18" s="666">
        <f>F18</f>
        <v>100</v>
      </c>
      <c r="T18" s="665" t="s">
        <v>14</v>
      </c>
      <c r="U18" s="666">
        <f>H18</f>
        <v>100</v>
      </c>
      <c r="V18" s="665" t="s">
        <v>14</v>
      </c>
      <c r="W18" s="666">
        <f>J18</f>
        <v>100</v>
      </c>
      <c r="X18" s="1262"/>
      <c r="Y18" s="3400"/>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00"/>
      <c r="Q19" s="1260"/>
      <c r="R19" s="665"/>
      <c r="S19" s="666"/>
      <c r="T19" s="665"/>
      <c r="U19" s="666"/>
      <c r="V19" s="665"/>
      <c r="W19" s="666"/>
      <c r="X19" s="1262"/>
      <c r="Y19" s="3400"/>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00"/>
      <c r="Q20" s="1260" t="str">
        <f>B20</f>
        <v>自然及人文环境</v>
      </c>
      <c r="R20" s="665" t="s">
        <v>14</v>
      </c>
      <c r="S20" s="666">
        <f>F20</f>
        <v>100</v>
      </c>
      <c r="T20" s="665" t="s">
        <v>14</v>
      </c>
      <c r="U20" s="666">
        <f>H20</f>
        <v>100</v>
      </c>
      <c r="V20" s="665" t="s">
        <v>14</v>
      </c>
      <c r="W20" s="666">
        <f>J20</f>
        <v>100</v>
      </c>
      <c r="X20" s="1262"/>
      <c r="Y20" s="3400"/>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00"/>
      <c r="Q21" s="1260"/>
      <c r="R21" s="665"/>
      <c r="S21" s="666"/>
      <c r="T21" s="665"/>
      <c r="U21" s="666"/>
      <c r="V21" s="665"/>
      <c r="W21" s="666"/>
      <c r="X21" s="1262"/>
      <c r="Y21" s="3400"/>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00"/>
      <c r="Q22" s="1260" t="str">
        <f>B22</f>
        <v>楼层</v>
      </c>
      <c r="R22" s="665" t="s">
        <v>14</v>
      </c>
      <c r="S22" s="666">
        <f>F22</f>
        <v>100</v>
      </c>
      <c r="T22" s="665" t="s">
        <v>14</v>
      </c>
      <c r="U22" s="666">
        <f>H22</f>
        <v>100</v>
      </c>
      <c r="V22" s="665" t="s">
        <v>14</v>
      </c>
      <c r="W22" s="666">
        <f>J22</f>
        <v>100</v>
      </c>
      <c r="X22" s="1262"/>
      <c r="Y22" s="3400"/>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00"/>
      <c r="Q23" s="1260">
        <f>B23</f>
        <v>111</v>
      </c>
      <c r="R23" s="665" t="s">
        <v>14</v>
      </c>
      <c r="S23" s="666">
        <f>F23</f>
        <v>100</v>
      </c>
      <c r="T23" s="665" t="s">
        <v>14</v>
      </c>
      <c r="U23" s="666">
        <f>H23</f>
        <v>100</v>
      </c>
      <c r="V23" s="665" t="s">
        <v>14</v>
      </c>
      <c r="W23" s="666">
        <f>J23</f>
        <v>100</v>
      </c>
      <c r="X23" s="1262"/>
      <c r="Y23" s="3400"/>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00"/>
      <c r="Q24" s="1260">
        <f t="shared" ref="Q24:Q34" si="11">B24</f>
        <v>111</v>
      </c>
      <c r="R24" s="665" t="s">
        <v>14</v>
      </c>
      <c r="S24" s="666">
        <f>F24</f>
        <v>100</v>
      </c>
      <c r="T24" s="665" t="s">
        <v>14</v>
      </c>
      <c r="U24" s="666">
        <f>H24</f>
        <v>100</v>
      </c>
      <c r="V24" s="665" t="s">
        <v>14</v>
      </c>
      <c r="W24" s="666">
        <f>J24</f>
        <v>100</v>
      </c>
      <c r="X24" s="1262"/>
      <c r="Y24" s="3400"/>
      <c r="Z24" s="1261">
        <f>Q24</f>
        <v>111</v>
      </c>
      <c r="AA24" s="1261">
        <f t="shared" si="3"/>
        <v>1</v>
      </c>
      <c r="AB24" s="1261">
        <f t="shared" si="4"/>
        <v>1</v>
      </c>
      <c r="AC24" s="1261">
        <f t="shared" si="5"/>
        <v>1</v>
      </c>
    </row>
    <row r="25" spans="1:29" s="101" customFormat="1" ht="15.75"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00"/>
      <c r="Q25" s="529">
        <f t="shared" si="11"/>
        <v>111</v>
      </c>
      <c r="R25" s="662" t="s">
        <v>14</v>
      </c>
      <c r="S25" s="663">
        <f>F25</f>
        <v>100</v>
      </c>
      <c r="T25" s="662" t="s">
        <v>14</v>
      </c>
      <c r="U25" s="663">
        <f>H25</f>
        <v>100</v>
      </c>
      <c r="V25" s="662" t="s">
        <v>14</v>
      </c>
      <c r="W25" s="663">
        <f>J25</f>
        <v>100</v>
      </c>
      <c r="X25" s="664"/>
      <c r="Y25" s="3400"/>
      <c r="Z25" s="50">
        <f>Q25</f>
        <v>111</v>
      </c>
      <c r="AA25" s="1261">
        <f>D25/F25</f>
        <v>1</v>
      </c>
      <c r="AB25" s="1261">
        <f>D25/H25</f>
        <v>1</v>
      </c>
      <c r="AC25" s="1261">
        <f>D25/J25</f>
        <v>1</v>
      </c>
    </row>
    <row r="26" spans="1:29" ht="28.5">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4"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4"/>
      <c r="Q27" s="530" t="str">
        <f t="shared" si="11"/>
        <v>成新率</v>
      </c>
      <c r="R27" s="667" t="s">
        <v>14</v>
      </c>
      <c r="S27" s="668" t="e">
        <f t="shared" si="12"/>
        <v>#N/A</v>
      </c>
      <c r="T27" s="667" t="s">
        <v>14</v>
      </c>
      <c r="U27" s="668" t="e">
        <f t="shared" si="13"/>
        <v>#N/A</v>
      </c>
      <c r="V27" s="667" t="s">
        <v>14</v>
      </c>
      <c r="W27" s="668" t="e">
        <f t="shared" si="14"/>
        <v>#N/A</v>
      </c>
      <c r="X27" s="669"/>
      <c r="Y27" s="3404"/>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4"/>
      <c r="Q28" s="1260" t="str">
        <f t="shared" si="11"/>
        <v>物业等级</v>
      </c>
      <c r="R28" s="665" t="s">
        <v>14</v>
      </c>
      <c r="S28" s="666">
        <f t="shared" si="12"/>
        <v>100</v>
      </c>
      <c r="T28" s="665" t="s">
        <v>14</v>
      </c>
      <c r="U28" s="666">
        <f t="shared" si="13"/>
        <v>100</v>
      </c>
      <c r="V28" s="665" t="s">
        <v>14</v>
      </c>
      <c r="W28" s="666">
        <f t="shared" si="14"/>
        <v>100</v>
      </c>
      <c r="X28" s="1262"/>
      <c r="Y28" s="3404"/>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04"/>
      <c r="Q29" s="1260" t="str">
        <f t="shared" si="11"/>
        <v>有无电梯</v>
      </c>
      <c r="R29" s="665" t="s">
        <v>14</v>
      </c>
      <c r="S29" s="666">
        <f t="shared" si="12"/>
        <v>100</v>
      </c>
      <c r="T29" s="665" t="s">
        <v>14</v>
      </c>
      <c r="U29" s="666">
        <f t="shared" si="13"/>
        <v>100</v>
      </c>
      <c r="V29" s="665" t="s">
        <v>14</v>
      </c>
      <c r="W29" s="666">
        <f t="shared" si="14"/>
        <v>100</v>
      </c>
      <c r="X29" s="1262"/>
      <c r="Y29" s="3404"/>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4"/>
      <c r="Q30" s="1260" t="str">
        <f t="shared" si="11"/>
        <v>建筑面积</v>
      </c>
      <c r="R30" s="665" t="s">
        <v>14</v>
      </c>
      <c r="S30" s="666" t="e">
        <f t="shared" si="12"/>
        <v>#N/A</v>
      </c>
      <c r="T30" s="665" t="s">
        <v>14</v>
      </c>
      <c r="U30" s="666" t="e">
        <f t="shared" si="13"/>
        <v>#N/A</v>
      </c>
      <c r="V30" s="665" t="s">
        <v>14</v>
      </c>
      <c r="W30" s="666" t="e">
        <f t="shared" si="14"/>
        <v>#N/A</v>
      </c>
      <c r="X30" s="1262"/>
      <c r="Y30" s="3404"/>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04"/>
      <c r="Q31" s="529" t="str">
        <f t="shared" si="11"/>
        <v>是否封闭</v>
      </c>
      <c r="R31" s="662" t="s">
        <v>14</v>
      </c>
      <c r="S31" s="663">
        <f t="shared" si="12"/>
        <v>100</v>
      </c>
      <c r="T31" s="662" t="s">
        <v>14</v>
      </c>
      <c r="U31" s="663">
        <f t="shared" si="13"/>
        <v>100</v>
      </c>
      <c r="V31" s="662" t="s">
        <v>14</v>
      </c>
      <c r="W31" s="663">
        <f t="shared" si="14"/>
        <v>100</v>
      </c>
      <c r="X31" s="664"/>
      <c r="Y31" s="340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4" t="s">
        <v>1696</v>
      </c>
      <c r="Q32" s="1260">
        <f t="shared" si="11"/>
        <v>111</v>
      </c>
      <c r="R32" s="665" t="s">
        <v>14</v>
      </c>
      <c r="S32" s="666">
        <f t="shared" si="12"/>
        <v>100</v>
      </c>
      <c r="T32" s="665" t="s">
        <v>14</v>
      </c>
      <c r="U32" s="666">
        <f t="shared" si="13"/>
        <v>100</v>
      </c>
      <c r="V32" s="665" t="s">
        <v>14</v>
      </c>
      <c r="W32" s="666">
        <f t="shared" si="14"/>
        <v>100</v>
      </c>
      <c r="X32" s="1262"/>
      <c r="Y32" s="3404"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4"/>
      <c r="Q33" s="1260">
        <f t="shared" si="11"/>
        <v>111</v>
      </c>
      <c r="R33" s="665" t="s">
        <v>14</v>
      </c>
      <c r="S33" s="666">
        <f t="shared" si="12"/>
        <v>100</v>
      </c>
      <c r="T33" s="665" t="s">
        <v>14</v>
      </c>
      <c r="U33" s="666">
        <f t="shared" si="13"/>
        <v>100</v>
      </c>
      <c r="V33" s="665" t="s">
        <v>14</v>
      </c>
      <c r="W33" s="666">
        <f t="shared" si="14"/>
        <v>100</v>
      </c>
      <c r="X33" s="1262"/>
      <c r="Y33" s="3404"/>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2"/>
      <c r="L35" s="2488"/>
      <c r="M35" s="2481"/>
      <c r="N35" s="2481"/>
      <c r="O35" s="2481"/>
      <c r="P35" s="3392" t="str">
        <f>A35</f>
        <v>成交单价（元/平方米）</v>
      </c>
      <c r="Q35" s="3392"/>
      <c r="R35" s="3393">
        <f>E35</f>
        <v>0</v>
      </c>
      <c r="S35" s="3393"/>
      <c r="T35" s="3393">
        <f>G35</f>
        <v>0</v>
      </c>
      <c r="U35" s="3393"/>
      <c r="V35" s="3393">
        <f>I35</f>
        <v>0</v>
      </c>
      <c r="W35" s="3393"/>
      <c r="X35" s="384"/>
      <c r="Y35" s="671"/>
      <c r="Z35" s="384"/>
      <c r="AA35" s="384"/>
      <c r="AB35" s="384"/>
      <c r="AC35" s="384"/>
    </row>
    <row r="36" spans="1:30" ht="15.7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8"/>
      <c r="M37" s="2481"/>
      <c r="N37" s="2481"/>
      <c r="O37" s="2481"/>
      <c r="P37" s="3394" t="str">
        <f>A37</f>
        <v>估价对象XX用房的比较价值（楼面单价，元/平方米）</v>
      </c>
      <c r="Q37" s="3395"/>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7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5">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5.75"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5.75"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5.75"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410" t="s">
        <v>1770</v>
      </c>
      <c r="D4" s="3411"/>
      <c r="E4" s="3412" t="s">
        <v>1771</v>
      </c>
      <c r="F4" s="3413"/>
      <c r="G4" s="3410" t="s">
        <v>1772</v>
      </c>
      <c r="H4" s="3411"/>
      <c r="I4" s="3410" t="s">
        <v>1773</v>
      </c>
      <c r="J4" s="3411"/>
      <c r="K4" s="536" t="s">
        <v>1774</v>
      </c>
      <c r="L4" s="2480"/>
      <c r="M4" s="2481"/>
      <c r="N4" s="2481"/>
      <c r="O4" s="2481"/>
      <c r="P4" s="3414" t="s">
        <v>1775</v>
      </c>
      <c r="Q4" s="3415"/>
      <c r="R4" s="3420" t="s">
        <v>1771</v>
      </c>
      <c r="S4" s="3421"/>
      <c r="T4" s="3420" t="s">
        <v>1772</v>
      </c>
      <c r="U4" s="3421"/>
      <c r="V4" s="3393" t="s">
        <v>1773</v>
      </c>
      <c r="W4" s="3393"/>
      <c r="X4" s="1262"/>
      <c r="Y4" s="3420" t="s">
        <v>1775</v>
      </c>
      <c r="Z4" s="3421"/>
      <c r="AA4" s="3407" t="s">
        <v>1771</v>
      </c>
      <c r="AB4" s="3408" t="s">
        <v>1772</v>
      </c>
      <c r="AC4" s="3407" t="s">
        <v>1773</v>
      </c>
    </row>
    <row r="5" spans="1:29" ht="15">
      <c r="A5" s="347"/>
      <c r="B5" s="348"/>
      <c r="C5" s="3433" t="s">
        <v>1673</v>
      </c>
      <c r="D5" s="3429"/>
      <c r="E5" s="3464" t="s">
        <v>1674</v>
      </c>
      <c r="F5" s="3437"/>
      <c r="G5" s="3433" t="s">
        <v>1675</v>
      </c>
      <c r="H5" s="3429"/>
      <c r="I5" s="3433" t="s">
        <v>1676</v>
      </c>
      <c r="J5" s="3429"/>
      <c r="K5" s="536"/>
      <c r="L5" s="2480"/>
      <c r="M5" s="2481"/>
      <c r="N5" s="2481"/>
      <c r="O5" s="2481"/>
      <c r="P5" s="3416"/>
      <c r="Q5" s="3417"/>
      <c r="R5" s="3422"/>
      <c r="S5" s="3423"/>
      <c r="T5" s="3422"/>
      <c r="U5" s="3423"/>
      <c r="V5" s="3393"/>
      <c r="W5" s="3393"/>
      <c r="X5" s="1262"/>
      <c r="Y5" s="3422"/>
      <c r="Z5" s="3423"/>
      <c r="AA5" s="3408"/>
      <c r="AB5" s="3408"/>
      <c r="AC5" s="3408"/>
    </row>
    <row r="6" spans="1:29" ht="15.75" thickBot="1">
      <c r="A6" s="349"/>
      <c r="B6" s="350"/>
      <c r="C6" s="3426" t="s">
        <v>1677</v>
      </c>
      <c r="D6" s="3427"/>
      <c r="E6" s="3434" t="s">
        <v>1677</v>
      </c>
      <c r="F6" s="3435"/>
      <c r="G6" s="3426" t="s">
        <v>1677</v>
      </c>
      <c r="H6" s="3427"/>
      <c r="I6" s="3426" t="s">
        <v>1677</v>
      </c>
      <c r="J6" s="3427"/>
      <c r="K6" s="536" t="s">
        <v>1678</v>
      </c>
      <c r="L6" s="2480"/>
      <c r="M6" s="2481"/>
      <c r="N6" s="2481"/>
      <c r="O6" s="2481"/>
      <c r="P6" s="3418"/>
      <c r="Q6" s="3419"/>
      <c r="R6" s="3422"/>
      <c r="S6" s="3423"/>
      <c r="T6" s="3424"/>
      <c r="U6" s="3425"/>
      <c r="V6" s="3393"/>
      <c r="W6" s="3393"/>
      <c r="X6" s="1262"/>
      <c r="Y6" s="3424"/>
      <c r="Z6" s="3425"/>
      <c r="AA6" s="3409"/>
      <c r="AB6" s="3409"/>
      <c r="AC6" s="3409"/>
    </row>
    <row r="7" spans="1:29" s="101" customFormat="1" ht="15.75" thickBot="1">
      <c r="A7" s="351" t="s">
        <v>1679</v>
      </c>
      <c r="B7" s="352"/>
      <c r="C7" s="353">
        <f>'数据-取费表'!B2</f>
        <v>45775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30" t="s">
        <v>1680</v>
      </c>
      <c r="Q7" s="3432"/>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30" t="s">
        <v>1683</v>
      </c>
      <c r="Q8" s="3431"/>
      <c r="R8" s="662" t="s">
        <v>14</v>
      </c>
      <c r="S8" s="663">
        <f t="shared" si="0"/>
        <v>0</v>
      </c>
      <c r="T8" s="662" t="s">
        <v>14</v>
      </c>
      <c r="U8" s="663">
        <f t="shared" si="1"/>
        <v>0</v>
      </c>
      <c r="V8" s="662" t="s">
        <v>14</v>
      </c>
      <c r="W8" s="663">
        <f t="shared" si="2"/>
        <v>0</v>
      </c>
      <c r="X8" s="664"/>
      <c r="Y8" s="3430" t="s">
        <v>1683</v>
      </c>
      <c r="Z8" s="3431"/>
      <c r="AA8" s="50" t="e">
        <f t="shared" ref="AA8:AA45" si="3">D8/F8</f>
        <v>#DIV/0!</v>
      </c>
      <c r="AB8" s="50" t="e">
        <f t="shared" ref="AB8:AB45" si="4">D8/H8</f>
        <v>#DIV/0!</v>
      </c>
      <c r="AC8" s="50" t="e">
        <f t="shared" ref="AC8:AC45" si="5">D8/J8</f>
        <v>#DIV/0!</v>
      </c>
    </row>
    <row r="9" spans="1:29" s="101"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92"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193</v>
      </c>
      <c r="G10" s="401"/>
      <c r="H10" s="118">
        <f>ROUND(100/'数据-取费表'!G16,0)</f>
        <v>193</v>
      </c>
      <c r="I10" s="401"/>
      <c r="J10" s="118">
        <f>ROUND(100/'数据-取费表'!G16,0)</f>
        <v>193</v>
      </c>
      <c r="K10" s="590"/>
      <c r="L10" s="2483"/>
      <c r="M10" s="2484"/>
      <c r="N10" s="2484"/>
      <c r="O10" s="2535"/>
      <c r="P10" s="3392"/>
      <c r="Q10" s="529" t="str">
        <f t="shared" si="6"/>
        <v>土地使用年限（年）</v>
      </c>
      <c r="R10" s="662" t="s">
        <v>14</v>
      </c>
      <c r="S10" s="663">
        <f t="shared" si="0"/>
        <v>193</v>
      </c>
      <c r="T10" s="662" t="s">
        <v>14</v>
      </c>
      <c r="U10" s="663">
        <f t="shared" si="1"/>
        <v>193</v>
      </c>
      <c r="V10" s="662" t="s">
        <v>14</v>
      </c>
      <c r="W10" s="663">
        <f t="shared" si="2"/>
        <v>193</v>
      </c>
      <c r="X10" s="664"/>
      <c r="Y10" s="3277"/>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92"/>
      <c r="Q11" s="529" t="str">
        <f t="shared" si="6"/>
        <v>容积率</v>
      </c>
      <c r="R11" s="662" t="s">
        <v>14</v>
      </c>
      <c r="S11" s="663" t="e">
        <f t="shared" si="0"/>
        <v>#N/A</v>
      </c>
      <c r="T11" s="662" t="s">
        <v>14</v>
      </c>
      <c r="U11" s="663" t="e">
        <f t="shared" si="1"/>
        <v>#N/A</v>
      </c>
      <c r="V11" s="662" t="s">
        <v>14</v>
      </c>
      <c r="W11" s="663" t="e">
        <f t="shared" si="2"/>
        <v>#N/A</v>
      </c>
      <c r="X11" s="664"/>
      <c r="Y11" s="327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392"/>
      <c r="Q12" s="529" t="str">
        <f t="shared" si="6"/>
        <v>配建</v>
      </c>
      <c r="R12" s="662" t="s">
        <v>14</v>
      </c>
      <c r="S12" s="663">
        <f t="shared" si="0"/>
        <v>100</v>
      </c>
      <c r="T12" s="662" t="s">
        <v>14</v>
      </c>
      <c r="U12" s="663">
        <f t="shared" si="1"/>
        <v>100</v>
      </c>
      <c r="V12" s="662" t="s">
        <v>14</v>
      </c>
      <c r="W12" s="663">
        <f t="shared" si="2"/>
        <v>100</v>
      </c>
      <c r="X12" s="664"/>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92"/>
      <c r="Q13" s="529">
        <f t="shared" si="6"/>
        <v>111</v>
      </c>
      <c r="R13" s="662" t="s">
        <v>14</v>
      </c>
      <c r="S13" s="663">
        <f t="shared" si="0"/>
        <v>100</v>
      </c>
      <c r="T13" s="662" t="s">
        <v>14</v>
      </c>
      <c r="U13" s="663">
        <f t="shared" si="1"/>
        <v>100</v>
      </c>
      <c r="V13" s="662" t="s">
        <v>14</v>
      </c>
      <c r="W13" s="663">
        <f t="shared" si="2"/>
        <v>100</v>
      </c>
      <c r="X13" s="664"/>
      <c r="Y13" s="3277"/>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92"/>
      <c r="Q14" s="529">
        <f t="shared" si="6"/>
        <v>111</v>
      </c>
      <c r="R14" s="662" t="s">
        <v>14</v>
      </c>
      <c r="S14" s="663">
        <f t="shared" si="0"/>
        <v>100</v>
      </c>
      <c r="T14" s="662" t="s">
        <v>14</v>
      </c>
      <c r="U14" s="663">
        <f t="shared" si="1"/>
        <v>100</v>
      </c>
      <c r="V14" s="662" t="s">
        <v>14</v>
      </c>
      <c r="W14" s="663">
        <f t="shared" si="2"/>
        <v>100</v>
      </c>
      <c r="X14" s="664"/>
      <c r="Y14" s="3277"/>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399" t="s">
        <v>1691</v>
      </c>
      <c r="Q15" s="1260" t="str">
        <f t="shared" si="6"/>
        <v>居住社区成熟度</v>
      </c>
      <c r="R15" s="665" t="s">
        <v>14</v>
      </c>
      <c r="S15" s="666">
        <f t="shared" si="0"/>
        <v>100</v>
      </c>
      <c r="T15" s="665" t="s">
        <v>14</v>
      </c>
      <c r="U15" s="666">
        <f t="shared" si="1"/>
        <v>100</v>
      </c>
      <c r="V15" s="665" t="s">
        <v>14</v>
      </c>
      <c r="W15" s="666">
        <f t="shared" si="2"/>
        <v>100</v>
      </c>
      <c r="X15" s="1262"/>
      <c r="Y15" s="3399"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00"/>
      <c r="Q16" s="1260"/>
      <c r="R16" s="665"/>
      <c r="S16" s="666"/>
      <c r="T16" s="665"/>
      <c r="U16" s="666"/>
      <c r="V16" s="665"/>
      <c r="W16" s="666"/>
      <c r="X16" s="1262"/>
      <c r="Y16" s="3400"/>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00"/>
      <c r="Q17" s="1260" t="str">
        <f>B17</f>
        <v>商业繁华度</v>
      </c>
      <c r="R17" s="665" t="s">
        <v>14</v>
      </c>
      <c r="S17" s="666">
        <f>F17</f>
        <v>100</v>
      </c>
      <c r="T17" s="665" t="s">
        <v>14</v>
      </c>
      <c r="U17" s="666">
        <f>H17</f>
        <v>100</v>
      </c>
      <c r="V17" s="665" t="s">
        <v>14</v>
      </c>
      <c r="W17" s="666">
        <f>J17</f>
        <v>100</v>
      </c>
      <c r="X17" s="1262"/>
      <c r="Y17" s="3400"/>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00"/>
      <c r="Q18" s="1260"/>
      <c r="R18" s="665"/>
      <c r="S18" s="666"/>
      <c r="T18" s="665"/>
      <c r="U18" s="666"/>
      <c r="V18" s="665"/>
      <c r="W18" s="666"/>
      <c r="X18" s="1262"/>
      <c r="Y18" s="3400"/>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00"/>
      <c r="Q19" s="1260" t="str">
        <f>B19</f>
        <v>办公集聚程度</v>
      </c>
      <c r="R19" s="665" t="s">
        <v>14</v>
      </c>
      <c r="S19" s="666">
        <f>F19</f>
        <v>100</v>
      </c>
      <c r="T19" s="665" t="s">
        <v>14</v>
      </c>
      <c r="U19" s="666">
        <f>H19</f>
        <v>100</v>
      </c>
      <c r="V19" s="665" t="s">
        <v>14</v>
      </c>
      <c r="W19" s="666">
        <f>J19</f>
        <v>100</v>
      </c>
      <c r="X19" s="1262"/>
      <c r="Y19" s="3400"/>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00"/>
      <c r="Q20" s="1260"/>
      <c r="R20" s="665"/>
      <c r="S20" s="666"/>
      <c r="T20" s="665"/>
      <c r="U20" s="666"/>
      <c r="V20" s="665"/>
      <c r="W20" s="666"/>
      <c r="X20" s="1262"/>
      <c r="Y20" s="3400"/>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00"/>
      <c r="Q21" s="1260" t="str">
        <f>B21</f>
        <v>交通便捷度</v>
      </c>
      <c r="R21" s="665" t="s">
        <v>14</v>
      </c>
      <c r="S21" s="666">
        <f>F21</f>
        <v>100</v>
      </c>
      <c r="T21" s="665" t="s">
        <v>14</v>
      </c>
      <c r="U21" s="666">
        <f>H21</f>
        <v>100</v>
      </c>
      <c r="V21" s="665" t="s">
        <v>14</v>
      </c>
      <c r="W21" s="666">
        <f>J21</f>
        <v>100</v>
      </c>
      <c r="X21" s="1262"/>
      <c r="Y21" s="3400"/>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00"/>
      <c r="Q22" s="1260"/>
      <c r="R22" s="665"/>
      <c r="S22" s="666"/>
      <c r="T22" s="665"/>
      <c r="U22" s="666"/>
      <c r="V22" s="665"/>
      <c r="W22" s="666"/>
      <c r="X22" s="1262"/>
      <c r="Y22" s="3400"/>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00"/>
      <c r="Q23" s="1260" t="str">
        <f t="shared" ref="Q23:Q37" si="8">B23</f>
        <v>区域土地利用方向</v>
      </c>
      <c r="R23" s="665" t="s">
        <v>14</v>
      </c>
      <c r="S23" s="666">
        <f>F23</f>
        <v>100</v>
      </c>
      <c r="T23" s="665" t="s">
        <v>14</v>
      </c>
      <c r="U23" s="666">
        <f>H23</f>
        <v>100</v>
      </c>
      <c r="V23" s="665" t="s">
        <v>14</v>
      </c>
      <c r="W23" s="666">
        <f>J23</f>
        <v>100</v>
      </c>
      <c r="X23" s="1262"/>
      <c r="Y23" s="3400"/>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00"/>
      <c r="Q24" s="1260"/>
      <c r="R24" s="665"/>
      <c r="S24" s="666"/>
      <c r="T24" s="665"/>
      <c r="U24" s="666"/>
      <c r="V24" s="665"/>
      <c r="W24" s="666"/>
      <c r="X24" s="1262"/>
      <c r="Y24" s="3400"/>
      <c r="Z24" s="1261"/>
      <c r="AA24" s="1261"/>
      <c r="AB24" s="1261"/>
      <c r="AC24" s="1261"/>
    </row>
    <row r="25" spans="1:29" ht="27">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00"/>
      <c r="Q25" s="1260" t="str">
        <f t="shared" si="8"/>
        <v>自然及人文环境状况</v>
      </c>
      <c r="R25" s="665" t="s">
        <v>14</v>
      </c>
      <c r="S25" s="666">
        <f>F25</f>
        <v>100</v>
      </c>
      <c r="T25" s="665" t="s">
        <v>14</v>
      </c>
      <c r="U25" s="666">
        <f>H25</f>
        <v>100</v>
      </c>
      <c r="V25" s="665" t="s">
        <v>14</v>
      </c>
      <c r="W25" s="666">
        <f>J25</f>
        <v>100</v>
      </c>
      <c r="X25" s="1262"/>
      <c r="Y25" s="3400"/>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00"/>
      <c r="Q26" s="1260"/>
      <c r="R26" s="665"/>
      <c r="S26" s="666"/>
      <c r="T26" s="665"/>
      <c r="U26" s="666"/>
      <c r="V26" s="665"/>
      <c r="W26" s="666"/>
      <c r="X26" s="1262"/>
      <c r="Y26" s="3400"/>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00"/>
      <c r="Q27" s="529" t="str">
        <f t="shared" si="8"/>
        <v>公共配套设施</v>
      </c>
      <c r="R27" s="662" t="s">
        <v>14</v>
      </c>
      <c r="S27" s="663">
        <f>F27</f>
        <v>100</v>
      </c>
      <c r="T27" s="662" t="s">
        <v>14</v>
      </c>
      <c r="U27" s="663">
        <f>H27</f>
        <v>100</v>
      </c>
      <c r="V27" s="662" t="s">
        <v>14</v>
      </c>
      <c r="W27" s="663">
        <f>J27</f>
        <v>100</v>
      </c>
      <c r="X27" s="664"/>
      <c r="Y27" s="3400"/>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00"/>
      <c r="Q28" s="529"/>
      <c r="R28" s="662"/>
      <c r="S28" s="663"/>
      <c r="T28" s="662"/>
      <c r="U28" s="663"/>
      <c r="V28" s="662"/>
      <c r="W28" s="663"/>
      <c r="X28" s="664"/>
      <c r="Y28" s="3400"/>
      <c r="Z28" s="50"/>
      <c r="AA28" s="1261">
        <v>1</v>
      </c>
      <c r="AB28" s="1261">
        <v>1</v>
      </c>
      <c r="AC28" s="1261">
        <v>1</v>
      </c>
    </row>
    <row r="29" spans="1:29" s="101" customFormat="1" ht="42.75">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00"/>
      <c r="Q29" s="529" t="str">
        <f t="shared" ref="Q29" si="9">B29</f>
        <v>基础设施水平</v>
      </c>
      <c r="R29" s="662" t="s">
        <v>14</v>
      </c>
      <c r="S29" s="663">
        <f>F29</f>
        <v>100</v>
      </c>
      <c r="T29" s="662" t="s">
        <v>14</v>
      </c>
      <c r="U29" s="663">
        <f>H29</f>
        <v>100</v>
      </c>
      <c r="V29" s="662" t="s">
        <v>14</v>
      </c>
      <c r="W29" s="663">
        <f>J29</f>
        <v>100</v>
      </c>
      <c r="X29" s="664"/>
      <c r="Y29" s="3400"/>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00"/>
      <c r="Q30" s="529"/>
      <c r="R30" s="662"/>
      <c r="S30" s="663"/>
      <c r="T30" s="662"/>
      <c r="U30" s="663"/>
      <c r="V30" s="662"/>
      <c r="W30" s="663"/>
      <c r="X30" s="664"/>
      <c r="Y30" s="3400"/>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00"/>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0"/>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00"/>
      <c r="Q32" s="1260" t="str">
        <f t="shared" si="8"/>
        <v>毗邻道路的类型与等级</v>
      </c>
      <c r="R32" s="665" t="s">
        <v>14</v>
      </c>
      <c r="S32" s="666">
        <f t="shared" si="10"/>
        <v>100</v>
      </c>
      <c r="T32" s="665" t="s">
        <v>14</v>
      </c>
      <c r="U32" s="666">
        <f t="shared" si="11"/>
        <v>100</v>
      </c>
      <c r="V32" s="665" t="s">
        <v>14</v>
      </c>
      <c r="W32" s="666">
        <f t="shared" si="12"/>
        <v>100</v>
      </c>
      <c r="X32" s="1262"/>
      <c r="Y32" s="3400"/>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00"/>
      <c r="Q33" s="1260"/>
      <c r="R33" s="665"/>
      <c r="S33" s="666"/>
      <c r="T33" s="665"/>
      <c r="U33" s="666"/>
      <c r="V33" s="665"/>
      <c r="W33" s="666"/>
      <c r="X33" s="1262"/>
      <c r="Y33" s="3400"/>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00"/>
      <c r="Q34" s="1260" t="str">
        <f t="shared" si="8"/>
        <v>土地级别</v>
      </c>
      <c r="R34" s="665" t="s">
        <v>14</v>
      </c>
      <c r="S34" s="666">
        <f t="shared" si="10"/>
        <v>100</v>
      </c>
      <c r="T34" s="665" t="s">
        <v>14</v>
      </c>
      <c r="U34" s="666">
        <f t="shared" si="11"/>
        <v>100</v>
      </c>
      <c r="V34" s="665" t="s">
        <v>14</v>
      </c>
      <c r="W34" s="666">
        <f t="shared" si="12"/>
        <v>100</v>
      </c>
      <c r="X34" s="1262"/>
      <c r="Y34" s="3400"/>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00"/>
      <c r="Q35" s="1260">
        <f t="shared" si="8"/>
        <v>111</v>
      </c>
      <c r="R35" s="665" t="s">
        <v>14</v>
      </c>
      <c r="S35" s="666">
        <f t="shared" si="10"/>
        <v>100</v>
      </c>
      <c r="T35" s="665" t="s">
        <v>14</v>
      </c>
      <c r="U35" s="666">
        <f t="shared" si="11"/>
        <v>100</v>
      </c>
      <c r="V35" s="665" t="s">
        <v>14</v>
      </c>
      <c r="W35" s="666">
        <f t="shared" si="12"/>
        <v>100</v>
      </c>
      <c r="X35" s="1262"/>
      <c r="Y35" s="3400"/>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0" t="s">
        <v>1696</v>
      </c>
      <c r="Q36" s="1260">
        <f t="shared" si="8"/>
        <v>111</v>
      </c>
      <c r="R36" s="665" t="s">
        <v>14</v>
      </c>
      <c r="S36" s="666">
        <f t="shared" si="10"/>
        <v>100</v>
      </c>
      <c r="T36" s="665" t="s">
        <v>14</v>
      </c>
      <c r="U36" s="666">
        <f t="shared" si="11"/>
        <v>100</v>
      </c>
      <c r="V36" s="665" t="s">
        <v>14</v>
      </c>
      <c r="W36" s="666">
        <f t="shared" si="12"/>
        <v>100</v>
      </c>
      <c r="X36" s="1262"/>
      <c r="Y36" s="3404" t="s">
        <v>1696</v>
      </c>
      <c r="Z36" s="1261">
        <f t="shared" si="13"/>
        <v>111</v>
      </c>
      <c r="AA36" s="1261">
        <f t="shared" si="3"/>
        <v>1</v>
      </c>
      <c r="AB36" s="1261">
        <f t="shared" si="4"/>
        <v>1</v>
      </c>
      <c r="AC36" s="1261">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04"/>
      <c r="Q37" s="1260">
        <f t="shared" si="8"/>
        <v>111</v>
      </c>
      <c r="R37" s="667" t="s">
        <v>14</v>
      </c>
      <c r="S37" s="668">
        <f t="shared" si="10"/>
        <v>100</v>
      </c>
      <c r="T37" s="667" t="s">
        <v>14</v>
      </c>
      <c r="U37" s="668">
        <f t="shared" si="11"/>
        <v>100</v>
      </c>
      <c r="V37" s="667" t="s">
        <v>14</v>
      </c>
      <c r="W37" s="668">
        <f t="shared" si="12"/>
        <v>100</v>
      </c>
      <c r="X37" s="669"/>
      <c r="Y37" s="3404"/>
      <c r="Z37" s="670">
        <f t="shared" si="13"/>
        <v>111</v>
      </c>
      <c r="AA37" s="1261">
        <f t="shared" si="3"/>
        <v>1</v>
      </c>
      <c r="AB37" s="1261">
        <f t="shared" si="4"/>
        <v>1</v>
      </c>
      <c r="AC37" s="1261">
        <f t="shared" si="5"/>
        <v>1</v>
      </c>
    </row>
    <row r="38" spans="1:29" ht="15">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04"/>
      <c r="Q38" s="1260" t="str">
        <f>B38</f>
        <v>宗地面积</v>
      </c>
      <c r="R38" s="665" t="s">
        <v>14</v>
      </c>
      <c r="S38" s="666" t="e">
        <f t="shared" si="10"/>
        <v>#N/A</v>
      </c>
      <c r="T38" s="665" t="s">
        <v>14</v>
      </c>
      <c r="U38" s="666" t="e">
        <f t="shared" si="11"/>
        <v>#N/A</v>
      </c>
      <c r="V38" s="665" t="s">
        <v>14</v>
      </c>
      <c r="W38" s="666" t="e">
        <f t="shared" si="12"/>
        <v>#N/A</v>
      </c>
      <c r="X38" s="1262"/>
      <c r="Y38" s="3404"/>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04"/>
      <c r="Q39" s="1260" t="str">
        <f t="shared" ref="Q39:Q45" si="14">B39</f>
        <v>宗地形状</v>
      </c>
      <c r="R39" s="665" t="s">
        <v>14</v>
      </c>
      <c r="S39" s="666">
        <f t="shared" si="10"/>
        <v>100</v>
      </c>
      <c r="T39" s="665" t="s">
        <v>14</v>
      </c>
      <c r="U39" s="666">
        <f t="shared" si="11"/>
        <v>100</v>
      </c>
      <c r="V39" s="665" t="s">
        <v>14</v>
      </c>
      <c r="W39" s="666">
        <f t="shared" si="12"/>
        <v>100</v>
      </c>
      <c r="X39" s="1262"/>
      <c r="Y39" s="3404"/>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04"/>
      <c r="Q40" s="1260" t="str">
        <f t="shared" si="14"/>
        <v>临街宽度及深度</v>
      </c>
      <c r="R40" s="665" t="s">
        <v>14</v>
      </c>
      <c r="S40" s="666">
        <f t="shared" si="10"/>
        <v>100</v>
      </c>
      <c r="T40" s="665" t="s">
        <v>14</v>
      </c>
      <c r="U40" s="666">
        <f t="shared" si="11"/>
        <v>100</v>
      </c>
      <c r="V40" s="665" t="s">
        <v>14</v>
      </c>
      <c r="W40" s="666">
        <f t="shared" si="12"/>
        <v>100</v>
      </c>
      <c r="X40" s="1262"/>
      <c r="Y40" s="3404"/>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04"/>
      <c r="Q41" s="1260" t="str">
        <f t="shared" si="14"/>
        <v>宗地开发程度</v>
      </c>
      <c r="R41" s="662" t="s">
        <v>14</v>
      </c>
      <c r="S41" s="663">
        <f t="shared" si="10"/>
        <v>100</v>
      </c>
      <c r="T41" s="662" t="s">
        <v>14</v>
      </c>
      <c r="U41" s="663">
        <f t="shared" si="11"/>
        <v>100</v>
      </c>
      <c r="V41" s="662" t="s">
        <v>14</v>
      </c>
      <c r="W41" s="663">
        <f t="shared" si="12"/>
        <v>100</v>
      </c>
      <c r="X41" s="664"/>
      <c r="Y41" s="3404"/>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04" t="s">
        <v>1696</v>
      </c>
      <c r="Q42" s="1260" t="str">
        <f t="shared" si="14"/>
        <v>工程地质条件</v>
      </c>
      <c r="R42" s="665" t="s">
        <v>14</v>
      </c>
      <c r="S42" s="666">
        <f t="shared" si="10"/>
        <v>100</v>
      </c>
      <c r="T42" s="665" t="s">
        <v>14</v>
      </c>
      <c r="U42" s="666">
        <f t="shared" si="11"/>
        <v>100</v>
      </c>
      <c r="V42" s="665" t="s">
        <v>14</v>
      </c>
      <c r="W42" s="666">
        <f t="shared" si="12"/>
        <v>100</v>
      </c>
      <c r="X42" s="1262"/>
      <c r="Y42" s="3404"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04"/>
      <c r="Q43" s="1260">
        <f t="shared" si="14"/>
        <v>111</v>
      </c>
      <c r="R43" s="665" t="s">
        <v>14</v>
      </c>
      <c r="S43" s="666">
        <f t="shared" si="10"/>
        <v>100</v>
      </c>
      <c r="T43" s="665" t="s">
        <v>14</v>
      </c>
      <c r="U43" s="666">
        <f t="shared" si="11"/>
        <v>100</v>
      </c>
      <c r="V43" s="665" t="s">
        <v>14</v>
      </c>
      <c r="W43" s="666">
        <f t="shared" si="12"/>
        <v>100</v>
      </c>
      <c r="X43" s="1262"/>
      <c r="Y43" s="3404"/>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04"/>
      <c r="Q44" s="1260">
        <f t="shared" si="14"/>
        <v>111</v>
      </c>
      <c r="R44" s="665" t="s">
        <v>14</v>
      </c>
      <c r="S44" s="666">
        <f t="shared" si="10"/>
        <v>100</v>
      </c>
      <c r="T44" s="665" t="s">
        <v>14</v>
      </c>
      <c r="U44" s="666">
        <f t="shared" si="11"/>
        <v>100</v>
      </c>
      <c r="V44" s="665" t="s">
        <v>14</v>
      </c>
      <c r="W44" s="666">
        <f t="shared" si="12"/>
        <v>100</v>
      </c>
      <c r="X44" s="1262"/>
      <c r="Y44" s="3404"/>
      <c r="Z44" s="1261">
        <f t="shared" si="13"/>
        <v>111</v>
      </c>
      <c r="AA44" s="1261">
        <f t="shared" si="3"/>
        <v>1</v>
      </c>
      <c r="AB44" s="1261">
        <f t="shared" si="4"/>
        <v>1</v>
      </c>
      <c r="AC44" s="1261">
        <f t="shared" si="5"/>
        <v>1</v>
      </c>
    </row>
    <row r="45" spans="1:29" s="407" customFormat="1" ht="15.75"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04"/>
      <c r="Q45" s="1260">
        <f t="shared" si="14"/>
        <v>111</v>
      </c>
      <c r="R45" s="667" t="s">
        <v>14</v>
      </c>
      <c r="S45" s="668">
        <f t="shared" si="10"/>
        <v>100</v>
      </c>
      <c r="T45" s="667" t="s">
        <v>14</v>
      </c>
      <c r="U45" s="668">
        <f t="shared" si="11"/>
        <v>100</v>
      </c>
      <c r="V45" s="667" t="s">
        <v>14</v>
      </c>
      <c r="W45" s="668">
        <f t="shared" si="12"/>
        <v>100</v>
      </c>
      <c r="X45" s="669"/>
      <c r="Y45" s="3404"/>
      <c r="Z45" s="670">
        <f t="shared" si="13"/>
        <v>111</v>
      </c>
      <c r="AA45" s="1261">
        <f t="shared" si="3"/>
        <v>1</v>
      </c>
      <c r="AB45" s="1261">
        <f t="shared" si="4"/>
        <v>1</v>
      </c>
      <c r="AC45" s="1261">
        <f t="shared" si="5"/>
        <v>1</v>
      </c>
    </row>
    <row r="46" spans="1:29" ht="15">
      <c r="A46" s="415" t="s">
        <v>1844</v>
      </c>
      <c r="B46" s="1827" t="s">
        <v>1879</v>
      </c>
      <c r="C46" s="600" t="s">
        <v>0</v>
      </c>
      <c r="D46" s="417"/>
      <c r="E46" s="418"/>
      <c r="F46" s="419"/>
      <c r="G46" s="420"/>
      <c r="H46" s="421"/>
      <c r="I46" s="418"/>
      <c r="J46" s="421"/>
      <c r="K46" s="672"/>
      <c r="L46" s="2488"/>
      <c r="M46" s="2481"/>
      <c r="N46" s="2481"/>
      <c r="O46" s="2481"/>
      <c r="P46" s="3392" t="str">
        <f>A46</f>
        <v>成交单价</v>
      </c>
      <c r="Q46" s="3392"/>
      <c r="R46" s="3393">
        <f>E46</f>
        <v>0</v>
      </c>
      <c r="S46" s="3393"/>
      <c r="T46" s="3393">
        <f>G46</f>
        <v>0</v>
      </c>
      <c r="U46" s="3393"/>
      <c r="V46" s="3393">
        <f>I46</f>
        <v>0</v>
      </c>
      <c r="W46" s="3393"/>
      <c r="X46" s="384"/>
      <c r="Y46" s="671"/>
      <c r="Z46" s="384"/>
      <c r="AA46" s="384"/>
      <c r="AB46" s="384"/>
      <c r="AC46" s="384"/>
    </row>
    <row r="47" spans="1:29" ht="15.7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392" t="str">
        <f>A47</f>
        <v>比较价值（元/平方米）</v>
      </c>
      <c r="Q47" s="3392"/>
      <c r="R47" s="3482" t="e">
        <f>ROUND(PRODUCT(R46,AA7:AA45),0)</f>
        <v>#DIV/0!</v>
      </c>
      <c r="S47" s="3482"/>
      <c r="T47" s="3482" t="e">
        <f>ROUND(PRODUCT(T46,AB7:AB45),0)</f>
        <v>#DIV/0!</v>
      </c>
      <c r="U47" s="3482"/>
      <c r="V47" s="3482" t="e">
        <f>ROUND(PRODUCT(V46,AC7:AC45),0)</f>
        <v>#DIV/0!</v>
      </c>
      <c r="W47" s="3482"/>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88"/>
      <c r="M48" s="2481"/>
      <c r="N48" s="2481"/>
      <c r="O48" s="2481"/>
      <c r="P48" s="3394" t="str">
        <f>A48</f>
        <v>估价对象XX用房的比较价值（楼面单价，元/平方米）</v>
      </c>
      <c r="Q48" s="3395"/>
      <c r="R48" s="3483" t="e">
        <f>ROUND(IF(D47="简单平均",AVERAGE(R47:W47),R47*F47+T47*H47+V47*J47),0)</f>
        <v>#DIV/0!</v>
      </c>
      <c r="S48" s="3483"/>
      <c r="T48" s="3483"/>
      <c r="U48" s="3483"/>
      <c r="V48" s="3483"/>
      <c r="W48" s="3483"/>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0" t="s">
        <v>1887</v>
      </c>
      <c r="H55" s="3484"/>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1382.5</v>
      </c>
      <c r="F56" s="831" t="e">
        <f t="shared" ref="F56:F64" si="15">ROUND(B56*E56/10000,0)</f>
        <v>#DIV/0!</v>
      </c>
      <c r="G56" s="3406"/>
      <c r="H56" s="3392"/>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1903</v>
      </c>
      <c r="B65" s="614" t="s">
        <v>22</v>
      </c>
      <c r="C65" s="614" t="s">
        <v>23</v>
      </c>
      <c r="D65" s="614" t="s">
        <v>392</v>
      </c>
      <c r="E65" s="614">
        <f>IF(B46="楼面地价",SUM(E56:E64),'数据-汇总表'!D3)</f>
        <v>1382.5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1"/>
      <c r="Q67" s="2481"/>
      <c r="R67" s="2481"/>
      <c r="S67" s="2481"/>
      <c r="T67" s="2481"/>
      <c r="U67" s="2481"/>
      <c r="V67" s="2481"/>
      <c r="W67" s="2481"/>
      <c r="X67" s="2481"/>
      <c r="Y67" s="2481"/>
      <c r="Z67" s="2481"/>
      <c r="AA67" s="2481"/>
      <c r="AB67" s="2481"/>
      <c r="AC67" s="2481"/>
    </row>
    <row r="68" spans="1:29" ht="21.75"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5">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7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5">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5.75"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410" t="s">
        <v>1770</v>
      </c>
      <c r="D4" s="3411"/>
      <c r="E4" s="3412" t="s">
        <v>1771</v>
      </c>
      <c r="F4" s="3413"/>
      <c r="G4" s="3410" t="s">
        <v>1772</v>
      </c>
      <c r="H4" s="3411"/>
      <c r="I4" s="3410" t="s">
        <v>1773</v>
      </c>
      <c r="J4" s="3411"/>
      <c r="K4" s="536" t="s">
        <v>1774</v>
      </c>
      <c r="L4" s="2480"/>
      <c r="M4" s="2481"/>
      <c r="N4" s="2481"/>
      <c r="O4" s="2481"/>
      <c r="P4" s="3414" t="s">
        <v>1775</v>
      </c>
      <c r="Q4" s="3415"/>
      <c r="R4" s="3420" t="s">
        <v>1771</v>
      </c>
      <c r="S4" s="3421"/>
      <c r="T4" s="3420" t="s">
        <v>1772</v>
      </c>
      <c r="U4" s="3421"/>
      <c r="V4" s="3393" t="s">
        <v>1773</v>
      </c>
      <c r="W4" s="3393"/>
      <c r="X4" s="1262"/>
      <c r="Y4" s="3420" t="s">
        <v>1775</v>
      </c>
      <c r="Z4" s="3421"/>
      <c r="AA4" s="3407" t="s">
        <v>1771</v>
      </c>
      <c r="AB4" s="3408" t="s">
        <v>1772</v>
      </c>
      <c r="AC4" s="3407" t="s">
        <v>1773</v>
      </c>
    </row>
    <row r="5" spans="1:29" ht="15">
      <c r="A5" s="347"/>
      <c r="B5" s="348"/>
      <c r="C5" s="3433" t="s">
        <v>1673</v>
      </c>
      <c r="D5" s="3429"/>
      <c r="E5" s="3464" t="s">
        <v>1674</v>
      </c>
      <c r="F5" s="3437"/>
      <c r="G5" s="3433" t="s">
        <v>1675</v>
      </c>
      <c r="H5" s="3429"/>
      <c r="I5" s="3433" t="s">
        <v>1676</v>
      </c>
      <c r="J5" s="3429"/>
      <c r="K5" s="536"/>
      <c r="L5" s="2480"/>
      <c r="M5" s="2481"/>
      <c r="N5" s="2481"/>
      <c r="O5" s="2481"/>
      <c r="P5" s="3416"/>
      <c r="Q5" s="3417"/>
      <c r="R5" s="3422"/>
      <c r="S5" s="3423"/>
      <c r="T5" s="3422"/>
      <c r="U5" s="3423"/>
      <c r="V5" s="3393"/>
      <c r="W5" s="3393"/>
      <c r="X5" s="1262"/>
      <c r="Y5" s="3422"/>
      <c r="Z5" s="3423"/>
      <c r="AA5" s="3408"/>
      <c r="AB5" s="3408"/>
      <c r="AC5" s="3408"/>
    </row>
    <row r="6" spans="1:29" ht="15.75" thickBot="1">
      <c r="A6" s="349"/>
      <c r="B6" s="350"/>
      <c r="C6" s="3485" t="s">
        <v>1919</v>
      </c>
      <c r="D6" s="3486"/>
      <c r="E6" s="3487" t="s">
        <v>1919</v>
      </c>
      <c r="F6" s="3488"/>
      <c r="G6" s="3485" t="s">
        <v>1919</v>
      </c>
      <c r="H6" s="3486"/>
      <c r="I6" s="3485" t="s">
        <v>1919</v>
      </c>
      <c r="J6" s="3486"/>
      <c r="K6" s="536" t="s">
        <v>1678</v>
      </c>
      <c r="L6" s="2480"/>
      <c r="M6" s="2481"/>
      <c r="N6" s="2481"/>
      <c r="O6" s="2481"/>
      <c r="P6" s="3418"/>
      <c r="Q6" s="3419"/>
      <c r="R6" s="3422"/>
      <c r="S6" s="3423"/>
      <c r="T6" s="3424"/>
      <c r="U6" s="3425"/>
      <c r="V6" s="3393"/>
      <c r="W6" s="3393"/>
      <c r="X6" s="1262"/>
      <c r="Y6" s="3424"/>
      <c r="Z6" s="3425"/>
      <c r="AA6" s="3409"/>
      <c r="AB6" s="3409"/>
      <c r="AC6" s="3409"/>
    </row>
    <row r="7" spans="1:29" s="101" customFormat="1" ht="15.75" thickBot="1">
      <c r="A7" s="351" t="s">
        <v>1679</v>
      </c>
      <c r="B7" s="352"/>
      <c r="C7" s="353">
        <f>'数据-取费表'!B2</f>
        <v>45775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30" t="s">
        <v>1680</v>
      </c>
      <c r="Q7" s="3432"/>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30" t="s">
        <v>1683</v>
      </c>
      <c r="Q8" s="3431"/>
      <c r="R8" s="662" t="s">
        <v>14</v>
      </c>
      <c r="S8" s="663">
        <f t="shared" si="0"/>
        <v>0</v>
      </c>
      <c r="T8" s="662" t="s">
        <v>14</v>
      </c>
      <c r="U8" s="663">
        <f t="shared" si="1"/>
        <v>0</v>
      </c>
      <c r="V8" s="662" t="s">
        <v>14</v>
      </c>
      <c r="W8" s="663">
        <f t="shared" si="2"/>
        <v>0</v>
      </c>
      <c r="X8" s="664"/>
      <c r="Y8" s="3430" t="s">
        <v>1683</v>
      </c>
      <c r="Z8" s="3431"/>
      <c r="AA8" s="50" t="e">
        <f t="shared" ref="AA8:AA40" si="3">D8/F8</f>
        <v>#DIV/0!</v>
      </c>
      <c r="AB8" s="50" t="e">
        <f t="shared" ref="AB8:AB40" si="4">D8/H8</f>
        <v>#DIV/0!</v>
      </c>
      <c r="AC8" s="50" t="e">
        <f t="shared" ref="AC8:AC40" si="5">D8/J8</f>
        <v>#DIV/0!</v>
      </c>
    </row>
    <row r="9" spans="1:29" s="101"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92" t="s">
        <v>1686</v>
      </c>
      <c r="Q9" s="529" t="str">
        <f t="shared" ref="Q9:Q15" si="6">B9</f>
        <v>用途</v>
      </c>
      <c r="R9" s="662" t="s">
        <v>14</v>
      </c>
      <c r="S9" s="663">
        <f t="shared" si="0"/>
        <v>100</v>
      </c>
      <c r="T9" s="662" t="s">
        <v>14</v>
      </c>
      <c r="U9" s="663">
        <f t="shared" si="1"/>
        <v>100</v>
      </c>
      <c r="V9" s="662" t="s">
        <v>14</v>
      </c>
      <c r="W9" s="663">
        <f t="shared" si="2"/>
        <v>100</v>
      </c>
      <c r="X9" s="664"/>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193</v>
      </c>
      <c r="G10" s="370"/>
      <c r="H10" s="118">
        <f>ROUND(100/'数据-取费表'!G16,0)</f>
        <v>193</v>
      </c>
      <c r="I10" s="370"/>
      <c r="J10" s="118">
        <f>ROUND(100/'数据-取费表'!G16,0)</f>
        <v>193</v>
      </c>
      <c r="K10" s="590"/>
      <c r="L10" s="2483"/>
      <c r="M10" s="2484"/>
      <c r="N10" s="2484"/>
      <c r="O10" s="2535"/>
      <c r="P10" s="3392"/>
      <c r="Q10" s="529" t="str">
        <f t="shared" si="6"/>
        <v>土地使用年限（年）</v>
      </c>
      <c r="R10" s="662" t="s">
        <v>14</v>
      </c>
      <c r="S10" s="663">
        <f t="shared" si="0"/>
        <v>193</v>
      </c>
      <c r="T10" s="662" t="s">
        <v>14</v>
      </c>
      <c r="U10" s="663">
        <f t="shared" si="1"/>
        <v>193</v>
      </c>
      <c r="V10" s="662" t="s">
        <v>14</v>
      </c>
      <c r="W10" s="663">
        <f t="shared" si="2"/>
        <v>193</v>
      </c>
      <c r="X10" s="664"/>
      <c r="Y10" s="3277"/>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92"/>
      <c r="Q11" s="529" t="str">
        <f t="shared" si="6"/>
        <v>容积率</v>
      </c>
      <c r="R11" s="662" t="s">
        <v>14</v>
      </c>
      <c r="S11" s="663" t="e">
        <f t="shared" si="0"/>
        <v>#N/A</v>
      </c>
      <c r="T11" s="662" t="s">
        <v>14</v>
      </c>
      <c r="U11" s="663" t="e">
        <f t="shared" si="1"/>
        <v>#N/A</v>
      </c>
      <c r="V11" s="662" t="s">
        <v>14</v>
      </c>
      <c r="W11" s="663" t="e">
        <f t="shared" si="2"/>
        <v>#N/A</v>
      </c>
      <c r="X11" s="664"/>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392"/>
      <c r="Q12" s="529">
        <f t="shared" si="6"/>
        <v>111</v>
      </c>
      <c r="R12" s="662" t="s">
        <v>14</v>
      </c>
      <c r="S12" s="663">
        <f t="shared" si="0"/>
        <v>100</v>
      </c>
      <c r="T12" s="662" t="s">
        <v>14</v>
      </c>
      <c r="U12" s="663">
        <f t="shared" si="1"/>
        <v>100</v>
      </c>
      <c r="V12" s="662" t="s">
        <v>14</v>
      </c>
      <c r="W12" s="663">
        <f t="shared" si="2"/>
        <v>100</v>
      </c>
      <c r="X12" s="664"/>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92"/>
      <c r="Q13" s="529">
        <f t="shared" si="6"/>
        <v>111</v>
      </c>
      <c r="R13" s="662" t="s">
        <v>14</v>
      </c>
      <c r="S13" s="663">
        <f t="shared" si="0"/>
        <v>100</v>
      </c>
      <c r="T13" s="662" t="s">
        <v>14</v>
      </c>
      <c r="U13" s="663">
        <f t="shared" si="1"/>
        <v>100</v>
      </c>
      <c r="V13" s="662" t="s">
        <v>14</v>
      </c>
      <c r="W13" s="663">
        <f t="shared" si="2"/>
        <v>100</v>
      </c>
      <c r="X13" s="664"/>
      <c r="Y13" s="3277"/>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92"/>
      <c r="Q14" s="529">
        <f t="shared" si="6"/>
        <v>111</v>
      </c>
      <c r="R14" s="662" t="s">
        <v>14</v>
      </c>
      <c r="S14" s="663">
        <f t="shared" si="0"/>
        <v>100</v>
      </c>
      <c r="T14" s="662" t="s">
        <v>14</v>
      </c>
      <c r="U14" s="663">
        <f t="shared" si="1"/>
        <v>100</v>
      </c>
      <c r="V14" s="662" t="s">
        <v>14</v>
      </c>
      <c r="W14" s="663">
        <f t="shared" si="2"/>
        <v>100</v>
      </c>
      <c r="X14" s="664"/>
      <c r="Y14" s="3277"/>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399" t="s">
        <v>1691</v>
      </c>
      <c r="Q15" s="1260" t="str">
        <f t="shared" si="6"/>
        <v>产业集聚程度</v>
      </c>
      <c r="R15" s="665" t="s">
        <v>14</v>
      </c>
      <c r="S15" s="666">
        <f t="shared" si="0"/>
        <v>100</v>
      </c>
      <c r="T15" s="665" t="s">
        <v>14</v>
      </c>
      <c r="U15" s="666">
        <f t="shared" si="1"/>
        <v>100</v>
      </c>
      <c r="V15" s="665" t="s">
        <v>14</v>
      </c>
      <c r="W15" s="666">
        <f t="shared" si="2"/>
        <v>100</v>
      </c>
      <c r="X15" s="1262"/>
      <c r="Y15" s="3399"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00"/>
      <c r="Q16" s="1260"/>
      <c r="R16" s="665"/>
      <c r="S16" s="666"/>
      <c r="T16" s="665"/>
      <c r="U16" s="666"/>
      <c r="V16" s="665"/>
      <c r="W16" s="666"/>
      <c r="X16" s="1262"/>
      <c r="Y16" s="3400"/>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00"/>
      <c r="Q17" s="1260" t="str">
        <f>B17</f>
        <v>交通便捷度</v>
      </c>
      <c r="R17" s="665" t="s">
        <v>14</v>
      </c>
      <c r="S17" s="666">
        <f>F17</f>
        <v>100</v>
      </c>
      <c r="T17" s="665" t="s">
        <v>14</v>
      </c>
      <c r="U17" s="666">
        <f>H17</f>
        <v>100</v>
      </c>
      <c r="V17" s="665" t="s">
        <v>14</v>
      </c>
      <c r="W17" s="666">
        <f>J17</f>
        <v>100</v>
      </c>
      <c r="X17" s="1262"/>
      <c r="Y17" s="3400"/>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00"/>
      <c r="Q18" s="1260"/>
      <c r="R18" s="665"/>
      <c r="S18" s="666"/>
      <c r="T18" s="665"/>
      <c r="U18" s="666"/>
      <c r="V18" s="665"/>
      <c r="W18" s="666"/>
      <c r="X18" s="1262"/>
      <c r="Y18" s="3400"/>
      <c r="Z18" s="1261"/>
      <c r="AA18" s="1261">
        <v>1</v>
      </c>
      <c r="AB18" s="1261">
        <v>1</v>
      </c>
      <c r="AC18" s="1261">
        <v>1</v>
      </c>
    </row>
    <row r="19" spans="1:29" ht="15">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00"/>
      <c r="Q19" s="1260" t="str">
        <f t="shared" ref="Q19:Q33" si="8">B19</f>
        <v>区域土地利用方向</v>
      </c>
      <c r="R19" s="665" t="s">
        <v>14</v>
      </c>
      <c r="S19" s="666">
        <f>F19</f>
        <v>100</v>
      </c>
      <c r="T19" s="665" t="s">
        <v>14</v>
      </c>
      <c r="U19" s="666">
        <f>H19</f>
        <v>100</v>
      </c>
      <c r="V19" s="665" t="s">
        <v>14</v>
      </c>
      <c r="W19" s="666">
        <f>J19</f>
        <v>100</v>
      </c>
      <c r="X19" s="1262"/>
      <c r="Y19" s="3400"/>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00"/>
      <c r="Q20" s="1260"/>
      <c r="R20" s="665"/>
      <c r="S20" s="666"/>
      <c r="T20" s="665"/>
      <c r="U20" s="666"/>
      <c r="V20" s="665"/>
      <c r="W20" s="666"/>
      <c r="X20" s="1262"/>
      <c r="Y20" s="3400"/>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00"/>
      <c r="Q21" s="1260" t="str">
        <f t="shared" si="8"/>
        <v>环境状况</v>
      </c>
      <c r="R21" s="665" t="s">
        <v>14</v>
      </c>
      <c r="S21" s="666">
        <f>F21</f>
        <v>100</v>
      </c>
      <c r="T21" s="665" t="s">
        <v>14</v>
      </c>
      <c r="U21" s="666">
        <f>H21</f>
        <v>100</v>
      </c>
      <c r="V21" s="665" t="s">
        <v>14</v>
      </c>
      <c r="W21" s="666">
        <f>J21</f>
        <v>100</v>
      </c>
      <c r="X21" s="1262"/>
      <c r="Y21" s="3400"/>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00"/>
      <c r="Q22" s="1260"/>
      <c r="R22" s="665"/>
      <c r="S22" s="666"/>
      <c r="T22" s="665"/>
      <c r="U22" s="666"/>
      <c r="V22" s="665"/>
      <c r="W22" s="666"/>
      <c r="X22" s="1262"/>
      <c r="Y22" s="3400"/>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00"/>
      <c r="Q23" s="529" t="str">
        <f t="shared" si="8"/>
        <v>公共配套设施</v>
      </c>
      <c r="R23" s="662" t="s">
        <v>14</v>
      </c>
      <c r="S23" s="663">
        <f>F23</f>
        <v>100</v>
      </c>
      <c r="T23" s="662" t="s">
        <v>14</v>
      </c>
      <c r="U23" s="663">
        <f>H23</f>
        <v>100</v>
      </c>
      <c r="V23" s="662" t="s">
        <v>14</v>
      </c>
      <c r="W23" s="663">
        <f>J23</f>
        <v>100</v>
      </c>
      <c r="X23" s="664"/>
      <c r="Y23" s="3400"/>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00"/>
      <c r="Q24" s="529"/>
      <c r="R24" s="662"/>
      <c r="S24" s="663"/>
      <c r="T24" s="662"/>
      <c r="U24" s="663"/>
      <c r="V24" s="662"/>
      <c r="W24" s="663"/>
      <c r="X24" s="664"/>
      <c r="Y24" s="3400"/>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00"/>
      <c r="Q25" s="529" t="str">
        <f t="shared" ref="Q25" si="9">B25</f>
        <v>基础设施水平</v>
      </c>
      <c r="R25" s="662" t="s">
        <v>14</v>
      </c>
      <c r="S25" s="663">
        <f>F25</f>
        <v>100</v>
      </c>
      <c r="T25" s="662" t="s">
        <v>14</v>
      </c>
      <c r="U25" s="663">
        <f>H25</f>
        <v>100</v>
      </c>
      <c r="V25" s="662" t="s">
        <v>14</v>
      </c>
      <c r="W25" s="663">
        <f>J25</f>
        <v>100</v>
      </c>
      <c r="X25" s="664"/>
      <c r="Y25" s="3400"/>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00"/>
      <c r="Q26" s="529"/>
      <c r="R26" s="662"/>
      <c r="S26" s="663"/>
      <c r="T26" s="662"/>
      <c r="U26" s="663"/>
      <c r="V26" s="662"/>
      <c r="W26" s="663"/>
      <c r="X26" s="664"/>
      <c r="Y26" s="3400"/>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00"/>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0"/>
      <c r="Z27" s="1261" t="str">
        <f t="shared" ref="Z27:Z40" si="13">Q27</f>
        <v>临街状况</v>
      </c>
      <c r="AA27" s="1261">
        <f t="shared" si="3"/>
        <v>1</v>
      </c>
      <c r="AB27" s="1261">
        <f t="shared" si="4"/>
        <v>1</v>
      </c>
      <c r="AC27" s="1261">
        <f t="shared" si="5"/>
        <v>1</v>
      </c>
    </row>
    <row r="28" spans="1:29" ht="27">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00"/>
      <c r="Q28" s="1260" t="str">
        <f t="shared" si="8"/>
        <v>毗邻道路的类型与等级</v>
      </c>
      <c r="R28" s="665" t="s">
        <v>14</v>
      </c>
      <c r="S28" s="666">
        <f t="shared" si="10"/>
        <v>100</v>
      </c>
      <c r="T28" s="665" t="s">
        <v>14</v>
      </c>
      <c r="U28" s="666">
        <f t="shared" si="11"/>
        <v>100</v>
      </c>
      <c r="V28" s="665" t="s">
        <v>14</v>
      </c>
      <c r="W28" s="666">
        <f t="shared" si="12"/>
        <v>100</v>
      </c>
      <c r="X28" s="1262"/>
      <c r="Y28" s="3400"/>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00"/>
      <c r="Q29" s="1260"/>
      <c r="R29" s="665"/>
      <c r="S29" s="666"/>
      <c r="T29" s="665"/>
      <c r="U29" s="666"/>
      <c r="V29" s="665"/>
      <c r="W29" s="666"/>
      <c r="X29" s="1262"/>
      <c r="Y29" s="3400"/>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00"/>
      <c r="Q30" s="1260" t="str">
        <f t="shared" si="8"/>
        <v>土地级别</v>
      </c>
      <c r="R30" s="665" t="s">
        <v>14</v>
      </c>
      <c r="S30" s="666">
        <f t="shared" si="10"/>
        <v>100</v>
      </c>
      <c r="T30" s="665" t="s">
        <v>14</v>
      </c>
      <c r="U30" s="666">
        <f t="shared" si="11"/>
        <v>100</v>
      </c>
      <c r="V30" s="665" t="s">
        <v>14</v>
      </c>
      <c r="W30" s="666">
        <f t="shared" si="12"/>
        <v>100</v>
      </c>
      <c r="X30" s="1262"/>
      <c r="Y30" s="3400"/>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00"/>
      <c r="Q31" s="1260">
        <f t="shared" si="8"/>
        <v>111</v>
      </c>
      <c r="R31" s="665" t="s">
        <v>14</v>
      </c>
      <c r="S31" s="666">
        <f t="shared" si="10"/>
        <v>100</v>
      </c>
      <c r="T31" s="665" t="s">
        <v>14</v>
      </c>
      <c r="U31" s="666">
        <f t="shared" si="11"/>
        <v>100</v>
      </c>
      <c r="V31" s="665" t="s">
        <v>14</v>
      </c>
      <c r="W31" s="666">
        <f t="shared" si="12"/>
        <v>100</v>
      </c>
      <c r="X31" s="1262"/>
      <c r="Y31" s="3400"/>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0" t="s">
        <v>1696</v>
      </c>
      <c r="Q32" s="1260">
        <f t="shared" si="8"/>
        <v>111</v>
      </c>
      <c r="R32" s="665" t="s">
        <v>14</v>
      </c>
      <c r="S32" s="666">
        <f t="shared" si="10"/>
        <v>100</v>
      </c>
      <c r="T32" s="665" t="s">
        <v>14</v>
      </c>
      <c r="U32" s="666">
        <f t="shared" si="11"/>
        <v>100</v>
      </c>
      <c r="V32" s="665" t="s">
        <v>14</v>
      </c>
      <c r="W32" s="666">
        <f t="shared" si="12"/>
        <v>100</v>
      </c>
      <c r="X32" s="1262"/>
      <c r="Y32" s="3404" t="s">
        <v>1696</v>
      </c>
      <c r="Z32" s="1261">
        <f t="shared" si="13"/>
        <v>111</v>
      </c>
      <c r="AA32" s="1261">
        <f t="shared" si="3"/>
        <v>1</v>
      </c>
      <c r="AB32" s="1261">
        <f t="shared" si="4"/>
        <v>1</v>
      </c>
      <c r="AC32" s="1261">
        <f t="shared" si="5"/>
        <v>1</v>
      </c>
    </row>
    <row r="33" spans="1:31" s="407" customFormat="1" ht="15.75"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04"/>
      <c r="Q33" s="1260">
        <f t="shared" si="8"/>
        <v>111</v>
      </c>
      <c r="R33" s="667" t="s">
        <v>14</v>
      </c>
      <c r="S33" s="668">
        <f t="shared" si="10"/>
        <v>100</v>
      </c>
      <c r="T33" s="667" t="s">
        <v>14</v>
      </c>
      <c r="U33" s="668">
        <f t="shared" si="11"/>
        <v>100</v>
      </c>
      <c r="V33" s="667" t="s">
        <v>14</v>
      </c>
      <c r="W33" s="668">
        <f t="shared" si="12"/>
        <v>100</v>
      </c>
      <c r="X33" s="669"/>
      <c r="Y33" s="3404"/>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04"/>
      <c r="Q34" s="1260" t="str">
        <f>B34</f>
        <v>宗地面积</v>
      </c>
      <c r="R34" s="665" t="s">
        <v>14</v>
      </c>
      <c r="S34" s="666" t="e">
        <f t="shared" si="10"/>
        <v>#N/A</v>
      </c>
      <c r="T34" s="665" t="s">
        <v>14</v>
      </c>
      <c r="U34" s="666" t="e">
        <f t="shared" si="11"/>
        <v>#N/A</v>
      </c>
      <c r="V34" s="665" t="s">
        <v>14</v>
      </c>
      <c r="W34" s="666" t="e">
        <f t="shared" si="12"/>
        <v>#N/A</v>
      </c>
      <c r="X34" s="1262"/>
      <c r="Y34" s="3404"/>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04"/>
      <c r="Q35" s="1260" t="str">
        <f t="shared" ref="Q35:Q40" si="14">B35</f>
        <v>宗地形状</v>
      </c>
      <c r="R35" s="665" t="s">
        <v>14</v>
      </c>
      <c r="S35" s="666">
        <f t="shared" si="10"/>
        <v>100</v>
      </c>
      <c r="T35" s="665" t="s">
        <v>14</v>
      </c>
      <c r="U35" s="666">
        <f t="shared" si="11"/>
        <v>100</v>
      </c>
      <c r="V35" s="665" t="s">
        <v>14</v>
      </c>
      <c r="W35" s="666">
        <f t="shared" si="12"/>
        <v>100</v>
      </c>
      <c r="X35" s="1262"/>
      <c r="Y35" s="3404"/>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04"/>
      <c r="Q36" s="1260" t="str">
        <f t="shared" si="14"/>
        <v>宗地开发程度</v>
      </c>
      <c r="R36" s="662" t="s">
        <v>14</v>
      </c>
      <c r="S36" s="663">
        <f t="shared" si="10"/>
        <v>100</v>
      </c>
      <c r="T36" s="662" t="s">
        <v>14</v>
      </c>
      <c r="U36" s="663">
        <f t="shared" si="11"/>
        <v>100</v>
      </c>
      <c r="V36" s="662" t="s">
        <v>14</v>
      </c>
      <c r="W36" s="663">
        <f t="shared" si="12"/>
        <v>100</v>
      </c>
      <c r="X36" s="664"/>
      <c r="Y36" s="3404"/>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04" t="s">
        <v>1696</v>
      </c>
      <c r="Q37" s="1260" t="str">
        <f t="shared" si="14"/>
        <v>工程地质条件</v>
      </c>
      <c r="R37" s="665" t="s">
        <v>14</v>
      </c>
      <c r="S37" s="666">
        <f t="shared" si="10"/>
        <v>100</v>
      </c>
      <c r="T37" s="665" t="s">
        <v>14</v>
      </c>
      <c r="U37" s="666">
        <f t="shared" si="11"/>
        <v>100</v>
      </c>
      <c r="V37" s="665" t="s">
        <v>14</v>
      </c>
      <c r="W37" s="666">
        <f t="shared" si="12"/>
        <v>100</v>
      </c>
      <c r="X37" s="1262"/>
      <c r="Y37" s="3404"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04"/>
      <c r="Q38" s="1260">
        <f t="shared" si="14"/>
        <v>111</v>
      </c>
      <c r="R38" s="665" t="s">
        <v>14</v>
      </c>
      <c r="S38" s="666">
        <f t="shared" si="10"/>
        <v>100</v>
      </c>
      <c r="T38" s="665" t="s">
        <v>14</v>
      </c>
      <c r="U38" s="666">
        <f t="shared" si="11"/>
        <v>100</v>
      </c>
      <c r="V38" s="665" t="s">
        <v>14</v>
      </c>
      <c r="W38" s="666">
        <f t="shared" si="12"/>
        <v>100</v>
      </c>
      <c r="X38" s="1262"/>
      <c r="Y38" s="3404"/>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04"/>
      <c r="Q39" s="1260">
        <f t="shared" si="14"/>
        <v>111</v>
      </c>
      <c r="R39" s="665" t="s">
        <v>14</v>
      </c>
      <c r="S39" s="666">
        <f t="shared" si="10"/>
        <v>100</v>
      </c>
      <c r="T39" s="665" t="s">
        <v>14</v>
      </c>
      <c r="U39" s="666">
        <f t="shared" si="11"/>
        <v>100</v>
      </c>
      <c r="V39" s="665" t="s">
        <v>14</v>
      </c>
      <c r="W39" s="666">
        <f t="shared" si="12"/>
        <v>100</v>
      </c>
      <c r="X39" s="1262"/>
      <c r="Y39" s="3404"/>
      <c r="Z39" s="1261">
        <f t="shared" si="13"/>
        <v>111</v>
      </c>
      <c r="AA39" s="1261">
        <f t="shared" si="3"/>
        <v>1</v>
      </c>
      <c r="AB39" s="1261">
        <f t="shared" si="4"/>
        <v>1</v>
      </c>
      <c r="AC39" s="1261">
        <f t="shared" si="5"/>
        <v>1</v>
      </c>
    </row>
    <row r="40" spans="1:31" s="407" customFormat="1" ht="15.75"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04"/>
      <c r="Q40" s="1260">
        <f t="shared" si="14"/>
        <v>111</v>
      </c>
      <c r="R40" s="667" t="s">
        <v>14</v>
      </c>
      <c r="S40" s="668">
        <f t="shared" si="10"/>
        <v>100</v>
      </c>
      <c r="T40" s="667" t="s">
        <v>14</v>
      </c>
      <c r="U40" s="668">
        <f t="shared" si="11"/>
        <v>100</v>
      </c>
      <c r="V40" s="667" t="s">
        <v>14</v>
      </c>
      <c r="W40" s="668">
        <f t="shared" si="12"/>
        <v>100</v>
      </c>
      <c r="X40" s="669"/>
      <c r="Y40" s="3404"/>
      <c r="Z40" s="670">
        <f t="shared" si="13"/>
        <v>111</v>
      </c>
      <c r="AA40" s="1261">
        <f t="shared" si="3"/>
        <v>1</v>
      </c>
      <c r="AB40" s="1261">
        <f t="shared" si="4"/>
        <v>1</v>
      </c>
      <c r="AC40" s="1261">
        <f t="shared" si="5"/>
        <v>1</v>
      </c>
    </row>
    <row r="41" spans="1:31" ht="15">
      <c r="A41" s="415" t="s">
        <v>1844</v>
      </c>
      <c r="B41" s="1827" t="s">
        <v>1922</v>
      </c>
      <c r="C41" s="600" t="s">
        <v>0</v>
      </c>
      <c r="D41" s="417"/>
      <c r="E41" s="418"/>
      <c r="F41" s="419"/>
      <c r="G41" s="420"/>
      <c r="H41" s="421"/>
      <c r="I41" s="418"/>
      <c r="J41" s="421"/>
      <c r="K41" s="672"/>
      <c r="L41" s="2488"/>
      <c r="M41" s="2481"/>
      <c r="N41" s="2481"/>
      <c r="O41" s="2481"/>
      <c r="P41" s="3392" t="str">
        <f>A41</f>
        <v>成交单价</v>
      </c>
      <c r="Q41" s="3392"/>
      <c r="R41" s="3393">
        <f>E41</f>
        <v>0</v>
      </c>
      <c r="S41" s="3393"/>
      <c r="T41" s="3393">
        <f>G41</f>
        <v>0</v>
      </c>
      <c r="U41" s="3393"/>
      <c r="V41" s="3393">
        <f>I41</f>
        <v>0</v>
      </c>
      <c r="W41" s="3393"/>
      <c r="X41" s="384"/>
      <c r="Y41" s="671"/>
      <c r="Z41" s="384"/>
      <c r="AA41" s="384"/>
      <c r="AB41" s="384"/>
      <c r="AC41" s="384"/>
    </row>
    <row r="42" spans="1:31" ht="15.7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392" t="str">
        <f>A42</f>
        <v>比较价值（元/平方米）</v>
      </c>
      <c r="Q42" s="3392"/>
      <c r="R42" s="3482" t="e">
        <f>ROUND(PRODUCT(R41,AA7:AA40),0)</f>
        <v>#DIV/0!</v>
      </c>
      <c r="S42" s="3482"/>
      <c r="T42" s="3482" t="e">
        <f>ROUND(PRODUCT(T41,AB7:AB40),0)</f>
        <v>#DIV/0!</v>
      </c>
      <c r="U42" s="3482"/>
      <c r="V42" s="3482" t="e">
        <f>ROUND(PRODUCT(V41,AC7:AC40),0)</f>
        <v>#DIV/0!</v>
      </c>
      <c r="W42" s="3482"/>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8"/>
      <c r="M43" s="2481"/>
      <c r="N43" s="2481"/>
      <c r="O43" s="2481"/>
      <c r="P43" s="3394" t="str">
        <f>A43</f>
        <v>估价对象XX用房的比较价值（楼面单价，元/平方米）</v>
      </c>
      <c r="Q43" s="3395"/>
      <c r="R43" s="3483" t="e">
        <f>ROUND(IF(D42="简单平均",AVERAGE(R42:W42),R42*F42+T42*H42+V42*J42),0)</f>
        <v>#DIV/0!</v>
      </c>
      <c r="S43" s="3483"/>
      <c r="T43" s="3483"/>
      <c r="U43" s="3483"/>
      <c r="V43" s="3483"/>
      <c r="W43" s="3483"/>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1881</v>
      </c>
      <c r="B50" s="603" t="s">
        <v>1882</v>
      </c>
      <c r="C50" s="1828" t="s">
        <v>1883</v>
      </c>
      <c r="D50" s="1829" t="s">
        <v>1884</v>
      </c>
      <c r="E50" s="604" t="s">
        <v>1885</v>
      </c>
      <c r="F50" s="605" t="s">
        <v>1886</v>
      </c>
      <c r="G50" s="3410" t="s">
        <v>1887</v>
      </c>
      <c r="H50" s="3484"/>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1382.5</v>
      </c>
      <c r="F51" s="609" t="e">
        <f t="shared" ref="F51:F60" si="15">ROUND(B51*E51/10000,0)</f>
        <v>#DIV/0!</v>
      </c>
      <c r="G51" s="3406"/>
      <c r="H51" s="3392"/>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1"/>
      <c r="Q63" s="2481"/>
      <c r="R63" s="2481"/>
      <c r="S63" s="2481"/>
      <c r="T63" s="2481"/>
      <c r="U63" s="2481"/>
      <c r="V63" s="2481"/>
      <c r="W63" s="2481"/>
      <c r="X63" s="2481"/>
      <c r="Y63" s="2481"/>
      <c r="Z63" s="2481"/>
      <c r="AA63" s="2481"/>
      <c r="AB63" s="2481"/>
      <c r="AC63" s="2481"/>
      <c r="AD63" s="2481"/>
      <c r="AE63" s="2481"/>
    </row>
    <row r="64" spans="1:31" ht="21.75"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5">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7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5">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5.75"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2" t="s">
        <v>2084</v>
      </c>
      <c r="D1" s="3493"/>
      <c r="E1" s="3493"/>
      <c r="F1" s="3493"/>
      <c r="G1" s="3493"/>
      <c r="H1" s="3493"/>
      <c r="I1" s="3493"/>
      <c r="J1" s="3493"/>
      <c r="K1" s="3493"/>
      <c r="L1" s="3493"/>
      <c r="M1" s="3493"/>
      <c r="N1" s="3493"/>
      <c r="O1" s="3493"/>
      <c r="P1" s="3493"/>
      <c r="Q1" s="3493"/>
      <c r="R1" s="3493"/>
      <c r="S1" s="3494"/>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5"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75">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3">
        <f ca="1">SUMIF(B6:B13,"&lt;&gt;#ref!",B6:B13)</f>
        <v>692</v>
      </c>
      <c r="C2" s="1981" t="s">
        <v>2074</v>
      </c>
      <c r="D2" s="1981" t="s">
        <v>2075</v>
      </c>
      <c r="E2" s="2393">
        <f ca="1">SUMIF(E6:E13,"&lt;&gt;#ref!",E6:E13)</f>
        <v>1382.5</v>
      </c>
      <c r="F2" s="2538"/>
      <c r="G2" s="2538"/>
      <c r="H2" s="2538"/>
      <c r="I2" s="2538"/>
      <c r="J2" s="2538"/>
      <c r="K2" s="2538"/>
      <c r="L2" s="2538"/>
      <c r="M2" s="2538"/>
      <c r="N2" s="2538"/>
      <c r="O2" s="2538"/>
      <c r="P2" s="2538"/>
    </row>
    <row r="3" spans="1:16" ht="15.75">
      <c r="A3" s="1981" t="s">
        <v>2076</v>
      </c>
      <c r="B3" s="2383">
        <f ca="1">ROUND(B2*10000/E2,0)</f>
        <v>5005</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9" t="s">
        <v>2077</v>
      </c>
      <c r="B5" s="2391" t="s">
        <v>2078</v>
      </c>
      <c r="C5" s="1982"/>
      <c r="D5" s="2538"/>
      <c r="E5" s="2392" t="s">
        <v>2079</v>
      </c>
      <c r="F5" s="2538"/>
      <c r="G5" s="2538"/>
      <c r="H5" s="2538"/>
      <c r="I5" s="2538"/>
      <c r="J5" s="2538"/>
      <c r="K5" s="2538"/>
      <c r="L5" s="2538"/>
      <c r="M5" s="2538"/>
      <c r="N5" s="2538"/>
      <c r="O5" s="2538"/>
      <c r="P5" s="2538"/>
    </row>
    <row r="6" spans="1:16" ht="15.75">
      <c r="A6" s="2390" t="s">
        <v>2080</v>
      </c>
      <c r="B6" s="2383">
        <f ca="1">SUMIF(INDIRECT("'"&amp;A6&amp;"'"&amp;"!A:A"),"总价",INDIRECT("'"&amp;A6&amp;"'"&amp;"!B:B"))</f>
        <v>692</v>
      </c>
      <c r="C6" s="1981" t="s">
        <v>2074</v>
      </c>
      <c r="D6" s="2538"/>
      <c r="E6" s="2393">
        <f ca="1">SUMIF(INDIRECT("'"&amp;A6&amp;"'"&amp;"!C:C"),"建筑面积",INDIRECT("'"&amp;A6&amp;"'"&amp;"!D:D"))</f>
        <v>1382.5</v>
      </c>
      <c r="F6" s="2538"/>
      <c r="G6" s="2538"/>
      <c r="H6" s="2538"/>
      <c r="I6" s="2538"/>
      <c r="J6" s="2538"/>
      <c r="K6" s="2538"/>
      <c r="L6" s="2538"/>
      <c r="M6" s="2538"/>
      <c r="N6" s="2538"/>
      <c r="O6" s="2538"/>
      <c r="P6" s="2538"/>
    </row>
    <row r="7" spans="1:16" ht="15.75">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75">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75">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75">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75">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75">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75">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4" t="s">
        <v>2598</v>
      </c>
      <c r="B20" s="3499" t="s">
        <v>2619</v>
      </c>
      <c r="C20" s="2836" t="s">
        <v>2430</v>
      </c>
      <c r="D20" s="2837"/>
      <c r="E20" s="2838">
        <v>1</v>
      </c>
      <c r="F20" s="2839" t="s">
        <v>2431</v>
      </c>
      <c r="G20" s="2839"/>
    </row>
    <row r="21" spans="1:13" ht="19.5" customHeight="1">
      <c r="A21" s="3505"/>
      <c r="B21" s="3498"/>
      <c r="C21" s="2840" t="s">
        <v>2432</v>
      </c>
      <c r="D21" s="2841"/>
      <c r="E21" s="2842">
        <v>1</v>
      </c>
      <c r="F21" s="2839" t="s">
        <v>2433</v>
      </c>
      <c r="G21" s="2839"/>
    </row>
    <row r="22" spans="1:13" ht="19.5" customHeight="1">
      <c r="A22" s="3505"/>
      <c r="B22" s="3498"/>
      <c r="C22" s="2840" t="s">
        <v>2434</v>
      </c>
      <c r="D22" s="2841"/>
      <c r="E22" s="2842">
        <v>0.9</v>
      </c>
      <c r="F22" s="2839" t="s">
        <v>2435</v>
      </c>
      <c r="G22" s="2839"/>
    </row>
    <row r="23" spans="1:13" ht="19.5" customHeight="1">
      <c r="A23" s="3505"/>
      <c r="B23" s="3498"/>
      <c r="C23" s="2840" t="s">
        <v>2436</v>
      </c>
      <c r="D23" s="2841"/>
      <c r="E23" s="2842">
        <v>0.9</v>
      </c>
      <c r="F23" s="2839" t="s">
        <v>2437</v>
      </c>
      <c r="G23" s="2839"/>
    </row>
    <row r="24" spans="1:13" ht="19.5" customHeight="1">
      <c r="A24" s="3505"/>
      <c r="B24" s="3498"/>
      <c r="C24" s="2840" t="s">
        <v>2438</v>
      </c>
      <c r="D24" s="2841"/>
      <c r="E24" s="2842">
        <v>0.8</v>
      </c>
      <c r="F24" s="2839" t="s">
        <v>2439</v>
      </c>
      <c r="G24" s="2839"/>
    </row>
    <row r="25" spans="1:13" ht="19.5" customHeight="1" thickBot="1">
      <c r="A25" s="3506"/>
      <c r="B25" s="3500"/>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501" t="s">
        <v>2622</v>
      </c>
      <c r="B27" s="3499" t="s">
        <v>2603</v>
      </c>
      <c r="C27" s="2836" t="s">
        <v>2443</v>
      </c>
      <c r="D27" s="2837"/>
      <c r="E27" s="2838">
        <v>1</v>
      </c>
      <c r="F27" s="2839" t="s">
        <v>2444</v>
      </c>
      <c r="G27" s="2839"/>
    </row>
    <row r="28" spans="1:13" ht="19.5" customHeight="1">
      <c r="A28" s="3502"/>
      <c r="B28" s="3498"/>
      <c r="C28" s="2840" t="s">
        <v>2445</v>
      </c>
      <c r="D28" s="2841"/>
      <c r="E28" s="2842">
        <v>1</v>
      </c>
      <c r="F28" s="2839" t="s">
        <v>2446</v>
      </c>
      <c r="G28" s="2839"/>
    </row>
    <row r="29" spans="1:13" ht="19.5" customHeight="1">
      <c r="A29" s="3502"/>
      <c r="B29" s="3498"/>
      <c r="C29" s="2840" t="s">
        <v>2447</v>
      </c>
      <c r="D29" s="2841"/>
      <c r="E29" s="2842">
        <v>0.8</v>
      </c>
      <c r="F29" s="2839" t="s">
        <v>2448</v>
      </c>
      <c r="G29" s="2839"/>
    </row>
    <row r="30" spans="1:13" ht="19.5" customHeight="1">
      <c r="A30" s="3502"/>
      <c r="B30" s="3498"/>
      <c r="C30" s="2840" t="s">
        <v>2449</v>
      </c>
      <c r="D30" s="2841"/>
      <c r="E30" s="2842">
        <v>0.8</v>
      </c>
      <c r="F30" s="2839" t="s">
        <v>2450</v>
      </c>
      <c r="G30" s="2839"/>
    </row>
    <row r="31" spans="1:13" ht="19.5" customHeight="1">
      <c r="A31" s="3502"/>
      <c r="B31" s="3498"/>
      <c r="C31" s="2840" t="s">
        <v>2451</v>
      </c>
      <c r="D31" s="2841"/>
      <c r="E31" s="2842">
        <v>0.8</v>
      </c>
      <c r="F31" s="2839" t="s">
        <v>2452</v>
      </c>
      <c r="G31" s="2839"/>
    </row>
    <row r="32" spans="1:13" ht="19.5" customHeight="1">
      <c r="A32" s="3502"/>
      <c r="B32" s="3498"/>
      <c r="C32" s="2840" t="s">
        <v>2453</v>
      </c>
      <c r="D32" s="2841"/>
      <c r="E32" s="2842">
        <v>0.7</v>
      </c>
      <c r="F32" s="2839" t="s">
        <v>2454</v>
      </c>
      <c r="G32" s="2839"/>
    </row>
    <row r="33" spans="1:7" ht="19.5" customHeight="1">
      <c r="A33" s="3502"/>
      <c r="B33" s="3498"/>
      <c r="C33" s="2840" t="s">
        <v>2455</v>
      </c>
      <c r="D33" s="2841"/>
      <c r="E33" s="2842">
        <v>0.8</v>
      </c>
      <c r="F33" s="2839" t="s">
        <v>2456</v>
      </c>
      <c r="G33" s="2839"/>
    </row>
    <row r="34" spans="1:7" ht="19.5" customHeight="1">
      <c r="A34" s="3502"/>
      <c r="B34" s="3498"/>
      <c r="C34" s="2840" t="s">
        <v>2457</v>
      </c>
      <c r="D34" s="2841"/>
      <c r="E34" s="2842">
        <v>0.6</v>
      </c>
      <c r="F34" s="2839" t="s">
        <v>2458</v>
      </c>
      <c r="G34" s="2839"/>
    </row>
    <row r="35" spans="1:7" ht="19.5" customHeight="1">
      <c r="A35" s="3502"/>
      <c r="B35" s="3498"/>
      <c r="C35" s="2840" t="s">
        <v>2459</v>
      </c>
      <c r="D35" s="2841"/>
      <c r="E35" s="2842">
        <v>0.2</v>
      </c>
      <c r="F35" s="2839" t="s">
        <v>2460</v>
      </c>
      <c r="G35" s="2839"/>
    </row>
    <row r="36" spans="1:7" ht="19.5" customHeight="1">
      <c r="A36" s="3502"/>
      <c r="B36" s="3498"/>
      <c r="C36" s="2840" t="s">
        <v>2461</v>
      </c>
      <c r="D36" s="2841"/>
      <c r="E36" s="2842">
        <v>0.2</v>
      </c>
      <c r="F36" s="2839" t="s">
        <v>2462</v>
      </c>
      <c r="G36" s="2839"/>
    </row>
    <row r="37" spans="1:7" ht="19.5" customHeight="1">
      <c r="A37" s="3502"/>
      <c r="B37" s="3496" t="s">
        <v>2623</v>
      </c>
      <c r="C37" s="2840" t="s">
        <v>2463</v>
      </c>
      <c r="D37" s="2841"/>
      <c r="E37" s="2842">
        <v>0.6</v>
      </c>
      <c r="F37" s="2839" t="s">
        <v>2464</v>
      </c>
      <c r="G37" s="2839"/>
    </row>
    <row r="38" spans="1:7" ht="19.5" customHeight="1">
      <c r="A38" s="3502"/>
      <c r="B38" s="3498"/>
      <c r="C38" s="2840" t="s">
        <v>2465</v>
      </c>
      <c r="D38" s="2841"/>
      <c r="E38" s="2842">
        <v>0.6</v>
      </c>
      <c r="F38" s="2839" t="s">
        <v>2466</v>
      </c>
      <c r="G38" s="2839"/>
    </row>
    <row r="39" spans="1:7" ht="19.5" customHeight="1" thickBot="1">
      <c r="A39" s="3503"/>
      <c r="B39" s="3500"/>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4" t="s">
        <v>2601</v>
      </c>
      <c r="B41" s="3499" t="s">
        <v>2625</v>
      </c>
      <c r="C41" s="2836" t="s">
        <v>2470</v>
      </c>
      <c r="D41" s="2837"/>
      <c r="E41" s="2838">
        <v>1</v>
      </c>
      <c r="F41" s="2839" t="s">
        <v>2471</v>
      </c>
      <c r="G41" s="2839"/>
    </row>
    <row r="42" spans="1:7" ht="19.5" customHeight="1">
      <c r="A42" s="3505"/>
      <c r="B42" s="3498"/>
      <c r="C42" s="2840" t="s">
        <v>2472</v>
      </c>
      <c r="D42" s="2841"/>
      <c r="E42" s="2842">
        <v>1</v>
      </c>
      <c r="F42" s="2839" t="s">
        <v>2473</v>
      </c>
      <c r="G42" s="2839"/>
    </row>
    <row r="43" spans="1:7" ht="19.5" customHeight="1">
      <c r="A43" s="3505"/>
      <c r="B43" s="3497"/>
      <c r="C43" s="2840" t="s">
        <v>2474</v>
      </c>
      <c r="D43" s="2841"/>
      <c r="E43" s="2842">
        <v>1.5</v>
      </c>
      <c r="F43" s="2839" t="s">
        <v>2475</v>
      </c>
      <c r="G43" s="2839"/>
    </row>
    <row r="44" spans="1:7" ht="19.5" customHeight="1">
      <c r="A44" s="3505"/>
      <c r="B44" s="2851" t="s">
        <v>2626</v>
      </c>
      <c r="C44" s="2840" t="s">
        <v>2627</v>
      </c>
      <c r="D44" s="2841"/>
      <c r="E44" s="2842">
        <v>2</v>
      </c>
      <c r="F44" s="2839" t="s">
        <v>2476</v>
      </c>
      <c r="G44" s="2839"/>
    </row>
    <row r="45" spans="1:7" ht="19.5" customHeight="1">
      <c r="A45" s="3505"/>
      <c r="B45" s="3496" t="s">
        <v>2628</v>
      </c>
      <c r="C45" s="2840" t="s">
        <v>2477</v>
      </c>
      <c r="D45" s="2841"/>
      <c r="E45" s="2842">
        <v>1</v>
      </c>
      <c r="F45" s="2839" t="s">
        <v>2478</v>
      </c>
      <c r="G45" s="2839"/>
    </row>
    <row r="46" spans="1:7" ht="19.5" customHeight="1">
      <c r="A46" s="3505"/>
      <c r="B46" s="3498"/>
      <c r="C46" s="2840" t="s">
        <v>2479</v>
      </c>
      <c r="D46" s="2841"/>
      <c r="E46" s="2842">
        <v>1</v>
      </c>
      <c r="F46" s="2839" t="s">
        <v>2480</v>
      </c>
      <c r="G46" s="2839"/>
    </row>
    <row r="47" spans="1:7" ht="19.5" customHeight="1">
      <c r="A47" s="3505"/>
      <c r="B47" s="3498"/>
      <c r="C47" s="2840" t="s">
        <v>2481</v>
      </c>
      <c r="D47" s="2841"/>
      <c r="E47" s="2842">
        <v>1</v>
      </c>
      <c r="F47" s="2839" t="s">
        <v>2482</v>
      </c>
      <c r="G47" s="2839"/>
    </row>
    <row r="48" spans="1:7" ht="19.5" customHeight="1">
      <c r="A48" s="3505"/>
      <c r="B48" s="3498"/>
      <c r="C48" s="2840" t="s">
        <v>2483</v>
      </c>
      <c r="D48" s="2841"/>
      <c r="E48" s="2842">
        <v>1</v>
      </c>
      <c r="F48" s="2839" t="s">
        <v>2484</v>
      </c>
      <c r="G48" s="2839"/>
    </row>
    <row r="49" spans="1:7" ht="19.5" customHeight="1">
      <c r="A49" s="3505"/>
      <c r="B49" s="3498"/>
      <c r="C49" s="2840" t="s">
        <v>2485</v>
      </c>
      <c r="D49" s="2841"/>
      <c r="E49" s="2842">
        <v>1</v>
      </c>
      <c r="F49" s="2839" t="s">
        <v>2486</v>
      </c>
      <c r="G49" s="2839"/>
    </row>
    <row r="50" spans="1:7" ht="19.5" customHeight="1">
      <c r="A50" s="3505"/>
      <c r="B50" s="3498"/>
      <c r="C50" s="2840" t="s">
        <v>2487</v>
      </c>
      <c r="D50" s="2841"/>
      <c r="E50" s="2842">
        <v>1</v>
      </c>
      <c r="F50" s="2839" t="s">
        <v>2488</v>
      </c>
      <c r="G50" s="2839"/>
    </row>
    <row r="51" spans="1:7" ht="19.5" customHeight="1" thickBot="1">
      <c r="A51" s="3506"/>
      <c r="B51" s="3500"/>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3.5">
      <c r="A72" s="2851"/>
      <c r="B72" s="2851"/>
      <c r="C72" s="2851" t="s">
        <v>2641</v>
      </c>
      <c r="D72" s="2851"/>
      <c r="E72" s="2851" t="s">
        <v>2612</v>
      </c>
      <c r="F72" s="2851" t="s">
        <v>2612</v>
      </c>
    </row>
    <row r="73" spans="1:7" ht="13.5">
      <c r="A73" s="2851">
        <v>1</v>
      </c>
      <c r="B73" s="3496" t="s">
        <v>2642</v>
      </c>
      <c r="C73" s="2825" t="s">
        <v>2643</v>
      </c>
      <c r="D73" s="2825" t="s">
        <v>2644</v>
      </c>
      <c r="E73" s="2851">
        <v>0.2</v>
      </c>
      <c r="F73" s="2851">
        <v>25</v>
      </c>
    </row>
    <row r="74" spans="1:7" ht="24">
      <c r="A74" s="2851">
        <v>2</v>
      </c>
      <c r="B74" s="3498"/>
      <c r="C74" s="2825" t="s">
        <v>2645</v>
      </c>
      <c r="D74" s="2825" t="s">
        <v>2646</v>
      </c>
      <c r="E74" s="2851">
        <v>0.2</v>
      </c>
      <c r="F74" s="2851">
        <v>25</v>
      </c>
    </row>
    <row r="75" spans="1:7" ht="24">
      <c r="A75" s="2851">
        <v>3</v>
      </c>
      <c r="B75" s="3498"/>
      <c r="C75" s="2825" t="s">
        <v>2647</v>
      </c>
      <c r="D75" s="2825" t="s">
        <v>2648</v>
      </c>
      <c r="E75" s="2851">
        <v>0.2</v>
      </c>
      <c r="F75" s="2851">
        <v>25</v>
      </c>
    </row>
    <row r="76" spans="1:7" ht="13.5">
      <c r="A76" s="2851">
        <v>4</v>
      </c>
      <c r="B76" s="3498"/>
      <c r="C76" s="2825" t="s">
        <v>2649</v>
      </c>
      <c r="D76" s="2825" t="s">
        <v>2650</v>
      </c>
      <c r="E76" s="2851">
        <v>0.15</v>
      </c>
      <c r="F76" s="2851">
        <v>20</v>
      </c>
    </row>
    <row r="77" spans="1:7" ht="24">
      <c r="A77" s="2851">
        <v>5</v>
      </c>
      <c r="B77" s="3498"/>
      <c r="C77" s="2825" t="s">
        <v>2651</v>
      </c>
      <c r="D77" s="2825" t="s">
        <v>2652</v>
      </c>
      <c r="E77" s="2851">
        <v>0.15</v>
      </c>
      <c r="F77" s="2851">
        <v>20</v>
      </c>
    </row>
    <row r="78" spans="1:7" ht="24">
      <c r="A78" s="2851">
        <v>6</v>
      </c>
      <c r="B78" s="3498"/>
      <c r="C78" s="2825" t="s">
        <v>2653</v>
      </c>
      <c r="D78" s="2825" t="s">
        <v>2654</v>
      </c>
      <c r="E78" s="2851">
        <v>0.15</v>
      </c>
      <c r="F78" s="2851">
        <v>20</v>
      </c>
    </row>
    <row r="79" spans="1:7" ht="24">
      <c r="A79" s="2851">
        <v>7</v>
      </c>
      <c r="B79" s="3498"/>
      <c r="C79" s="2825" t="s">
        <v>2655</v>
      </c>
      <c r="D79" s="2825" t="s">
        <v>2656</v>
      </c>
      <c r="E79" s="2851">
        <v>0.15</v>
      </c>
      <c r="F79" s="2851">
        <v>20</v>
      </c>
    </row>
    <row r="80" spans="1:7" ht="24">
      <c r="A80" s="2851">
        <v>8</v>
      </c>
      <c r="B80" s="3498"/>
      <c r="C80" s="2825" t="s">
        <v>2657</v>
      </c>
      <c r="D80" s="2825" t="s">
        <v>2658</v>
      </c>
      <c r="E80" s="2851">
        <v>0.1</v>
      </c>
      <c r="F80" s="2851">
        <v>15</v>
      </c>
    </row>
    <row r="81" spans="1:6" ht="24">
      <c r="A81" s="2851">
        <v>9</v>
      </c>
      <c r="B81" s="3498"/>
      <c r="C81" s="2825" t="s">
        <v>2659</v>
      </c>
      <c r="D81" s="2825" t="s">
        <v>2660</v>
      </c>
      <c r="E81" s="2851">
        <v>0.1</v>
      </c>
      <c r="F81" s="2851">
        <v>15</v>
      </c>
    </row>
    <row r="82" spans="1:6" ht="24">
      <c r="A82" s="2851">
        <v>10</v>
      </c>
      <c r="B82" s="3498"/>
      <c r="C82" s="2825" t="s">
        <v>2661</v>
      </c>
      <c r="D82" s="2825" t="s">
        <v>2662</v>
      </c>
      <c r="E82" s="2851">
        <v>0.1</v>
      </c>
      <c r="F82" s="2851">
        <v>15</v>
      </c>
    </row>
    <row r="83" spans="1:6" ht="24">
      <c r="A83" s="2851">
        <v>11</v>
      </c>
      <c r="B83" s="3498"/>
      <c r="C83" s="2825" t="s">
        <v>2663</v>
      </c>
      <c r="D83" s="2825" t="s">
        <v>2664</v>
      </c>
      <c r="E83" s="2851">
        <v>0.1</v>
      </c>
      <c r="F83" s="2851">
        <v>15</v>
      </c>
    </row>
    <row r="84" spans="1:6" ht="24">
      <c r="A84" s="2851">
        <v>12</v>
      </c>
      <c r="B84" s="3498"/>
      <c r="C84" s="2825" t="s">
        <v>2665</v>
      </c>
      <c r="D84" s="2825" t="s">
        <v>2666</v>
      </c>
      <c r="E84" s="2851">
        <v>0.1</v>
      </c>
      <c r="F84" s="2851">
        <v>15</v>
      </c>
    </row>
    <row r="85" spans="1:6" ht="13.5">
      <c r="A85" s="2851">
        <v>13</v>
      </c>
      <c r="B85" s="3498"/>
      <c r="C85" s="2825" t="s">
        <v>2667</v>
      </c>
      <c r="D85" s="2825" t="s">
        <v>2668</v>
      </c>
      <c r="E85" s="2851">
        <v>0.1</v>
      </c>
      <c r="F85" s="2851">
        <v>15</v>
      </c>
    </row>
    <row r="86" spans="1:6" ht="13.5">
      <c r="A86" s="2851">
        <v>14</v>
      </c>
      <c r="B86" s="3498"/>
      <c r="C86" s="2825" t="s">
        <v>2669</v>
      </c>
      <c r="D86" s="2825" t="s">
        <v>2670</v>
      </c>
      <c r="E86" s="2851">
        <v>0.1</v>
      </c>
      <c r="F86" s="2851">
        <v>15</v>
      </c>
    </row>
    <row r="87" spans="1:6" ht="13.5">
      <c r="A87" s="2851">
        <v>15</v>
      </c>
      <c r="B87" s="3498"/>
      <c r="C87" s="2825" t="s">
        <v>2671</v>
      </c>
      <c r="D87" s="2825" t="s">
        <v>2672</v>
      </c>
      <c r="E87" s="2851">
        <v>0.1</v>
      </c>
      <c r="F87" s="2851">
        <v>15</v>
      </c>
    </row>
    <row r="88" spans="1:6" ht="24">
      <c r="A88" s="2851">
        <v>16</v>
      </c>
      <c r="B88" s="3498"/>
      <c r="C88" s="2825" t="s">
        <v>2673</v>
      </c>
      <c r="D88" s="2825" t="s">
        <v>2674</v>
      </c>
      <c r="E88" s="2851">
        <v>0.1</v>
      </c>
      <c r="F88" s="2851">
        <v>15</v>
      </c>
    </row>
    <row r="89" spans="1:6" ht="24">
      <c r="A89" s="2851">
        <v>17</v>
      </c>
      <c r="B89" s="3497"/>
      <c r="C89" s="2825" t="s">
        <v>2675</v>
      </c>
      <c r="D89" s="2825" t="s">
        <v>2676</v>
      </c>
      <c r="E89" s="2851">
        <v>0.1</v>
      </c>
      <c r="F89" s="2851">
        <v>15</v>
      </c>
    </row>
    <row r="90" spans="1:6" ht="13.5">
      <c r="A90" s="2851">
        <v>18</v>
      </c>
      <c r="B90" s="3496" t="s">
        <v>2677</v>
      </c>
      <c r="C90" s="2825" t="s">
        <v>2678</v>
      </c>
      <c r="D90" s="2825" t="s">
        <v>2679</v>
      </c>
      <c r="E90" s="2851">
        <v>0.2</v>
      </c>
      <c r="F90" s="2851">
        <v>25</v>
      </c>
    </row>
    <row r="91" spans="1:6" ht="24">
      <c r="A91" s="2851">
        <v>19</v>
      </c>
      <c r="B91" s="3498"/>
      <c r="C91" s="2825" t="s">
        <v>2680</v>
      </c>
      <c r="D91" s="2825" t="s">
        <v>2681</v>
      </c>
      <c r="E91" s="2851">
        <v>0.2</v>
      </c>
      <c r="F91" s="2851">
        <v>25</v>
      </c>
    </row>
    <row r="92" spans="1:6" ht="13.5">
      <c r="A92" s="2851">
        <v>20</v>
      </c>
      <c r="B92" s="3498"/>
      <c r="C92" s="2825" t="s">
        <v>2682</v>
      </c>
      <c r="D92" s="2825" t="s">
        <v>2683</v>
      </c>
      <c r="E92" s="2851">
        <v>0.15</v>
      </c>
      <c r="F92" s="2851">
        <v>20</v>
      </c>
    </row>
    <row r="93" spans="1:6" ht="13.5">
      <c r="A93" s="2851">
        <v>21</v>
      </c>
      <c r="B93" s="3498"/>
      <c r="C93" s="2825" t="s">
        <v>2684</v>
      </c>
      <c r="D93" s="2825" t="s">
        <v>2685</v>
      </c>
      <c r="E93" s="2851">
        <v>0.15</v>
      </c>
      <c r="F93" s="2851">
        <v>20</v>
      </c>
    </row>
    <row r="94" spans="1:6" ht="13.5">
      <c r="A94" s="2851">
        <v>22</v>
      </c>
      <c r="B94" s="3498"/>
      <c r="C94" s="2825" t="s">
        <v>2686</v>
      </c>
      <c r="D94" s="2825" t="s">
        <v>2687</v>
      </c>
      <c r="E94" s="2851">
        <v>0.15</v>
      </c>
      <c r="F94" s="2851">
        <v>20</v>
      </c>
    </row>
    <row r="95" spans="1:6" ht="36">
      <c r="A95" s="2851">
        <v>23</v>
      </c>
      <c r="B95" s="3498"/>
      <c r="C95" s="2825" t="s">
        <v>2688</v>
      </c>
      <c r="D95" s="2825" t="s">
        <v>2689</v>
      </c>
      <c r="E95" s="2851">
        <v>0.15</v>
      </c>
      <c r="F95" s="2851">
        <v>20</v>
      </c>
    </row>
    <row r="96" spans="1:6" ht="13.5">
      <c r="A96" s="2851">
        <v>24</v>
      </c>
      <c r="B96" s="3498"/>
      <c r="C96" s="2825" t="s">
        <v>2690</v>
      </c>
      <c r="D96" s="2825" t="s">
        <v>2691</v>
      </c>
      <c r="E96" s="2851">
        <v>0.1</v>
      </c>
      <c r="F96" s="2851">
        <v>15</v>
      </c>
    </row>
    <row r="97" spans="1:6" ht="13.5">
      <c r="A97" s="2851">
        <v>25</v>
      </c>
      <c r="B97" s="3498"/>
      <c r="C97" s="2825" t="s">
        <v>2692</v>
      </c>
      <c r="D97" s="2825" t="s">
        <v>2693</v>
      </c>
      <c r="E97" s="2851">
        <v>0.1</v>
      </c>
      <c r="F97" s="2851">
        <v>15</v>
      </c>
    </row>
    <row r="98" spans="1:6" ht="24">
      <c r="A98" s="2851">
        <v>26</v>
      </c>
      <c r="B98" s="3498"/>
      <c r="C98" s="2825" t="s">
        <v>2694</v>
      </c>
      <c r="D98" s="2825" t="s">
        <v>2695</v>
      </c>
      <c r="E98" s="2851">
        <v>0.1</v>
      </c>
      <c r="F98" s="2851">
        <v>15</v>
      </c>
    </row>
    <row r="99" spans="1:6" ht="24">
      <c r="A99" s="2851">
        <v>27</v>
      </c>
      <c r="B99" s="3498"/>
      <c r="C99" s="2825" t="s">
        <v>2696</v>
      </c>
      <c r="D99" s="2825" t="s">
        <v>2697</v>
      </c>
      <c r="E99" s="2851">
        <v>0.1</v>
      </c>
      <c r="F99" s="2851">
        <v>15</v>
      </c>
    </row>
    <row r="100" spans="1:6" ht="13.5">
      <c r="A100" s="2851">
        <v>28</v>
      </c>
      <c r="B100" s="3498"/>
      <c r="C100" s="2825" t="s">
        <v>2698</v>
      </c>
      <c r="D100" s="2825" t="s">
        <v>2699</v>
      </c>
      <c r="E100" s="2851">
        <v>0.1</v>
      </c>
      <c r="F100" s="2851">
        <v>15</v>
      </c>
    </row>
    <row r="101" spans="1:6" ht="13.5">
      <c r="A101" s="2851">
        <v>29</v>
      </c>
      <c r="B101" s="3498"/>
      <c r="C101" s="2825" t="s">
        <v>2700</v>
      </c>
      <c r="D101" s="2825" t="s">
        <v>2701</v>
      </c>
      <c r="E101" s="2851">
        <v>0.1</v>
      </c>
      <c r="F101" s="2851">
        <v>15</v>
      </c>
    </row>
    <row r="102" spans="1:6" ht="13.5">
      <c r="A102" s="2851">
        <v>30</v>
      </c>
      <c r="B102" s="3498"/>
      <c r="C102" s="2825" t="s">
        <v>2702</v>
      </c>
      <c r="D102" s="2825" t="s">
        <v>2703</v>
      </c>
      <c r="E102" s="2851">
        <v>0.1</v>
      </c>
      <c r="F102" s="2851">
        <v>15</v>
      </c>
    </row>
    <row r="103" spans="1:6" ht="24">
      <c r="A103" s="2851">
        <v>31</v>
      </c>
      <c r="B103" s="3498"/>
      <c r="C103" s="2825" t="s">
        <v>2704</v>
      </c>
      <c r="D103" s="2825" t="s">
        <v>2705</v>
      </c>
      <c r="E103" s="2851">
        <v>0.1</v>
      </c>
      <c r="F103" s="2851">
        <v>15</v>
      </c>
    </row>
    <row r="104" spans="1:6" ht="24">
      <c r="A104" s="2851">
        <v>32</v>
      </c>
      <c r="B104" s="3498"/>
      <c r="C104" s="2825" t="s">
        <v>2706</v>
      </c>
      <c r="D104" s="2825" t="s">
        <v>2707</v>
      </c>
      <c r="E104" s="2851">
        <v>0.1</v>
      </c>
      <c r="F104" s="2851">
        <v>15</v>
      </c>
    </row>
    <row r="105" spans="1:6" ht="24">
      <c r="A105" s="2851">
        <v>33</v>
      </c>
      <c r="B105" s="3498"/>
      <c r="C105" s="2825" t="s">
        <v>2708</v>
      </c>
      <c r="D105" s="2825" t="s">
        <v>2709</v>
      </c>
      <c r="E105" s="2851">
        <v>0.1</v>
      </c>
      <c r="F105" s="2851">
        <v>15</v>
      </c>
    </row>
    <row r="106" spans="1:6" ht="24">
      <c r="A106" s="2851">
        <v>34</v>
      </c>
      <c r="B106" s="3497"/>
      <c r="C106" s="2825" t="s">
        <v>2710</v>
      </c>
      <c r="D106" s="2825" t="s">
        <v>2711</v>
      </c>
      <c r="E106" s="2851">
        <v>0.1</v>
      </c>
      <c r="F106" s="2851">
        <v>15</v>
      </c>
    </row>
    <row r="107" spans="1:6" ht="24">
      <c r="A107" s="2851">
        <v>35</v>
      </c>
      <c r="B107" s="3496" t="s">
        <v>2712</v>
      </c>
      <c r="C107" s="2851" t="s">
        <v>2713</v>
      </c>
      <c r="D107" s="2825" t="s">
        <v>2714</v>
      </c>
      <c r="E107" s="2851">
        <v>0.15</v>
      </c>
      <c r="F107" s="2851">
        <v>20</v>
      </c>
    </row>
    <row r="108" spans="1:6" ht="13.5">
      <c r="A108" s="2851">
        <v>36</v>
      </c>
      <c r="B108" s="3498"/>
      <c r="C108" s="2851" t="s">
        <v>2715</v>
      </c>
      <c r="D108" s="2825" t="s">
        <v>2716</v>
      </c>
      <c r="E108" s="2851">
        <v>0.15</v>
      </c>
      <c r="F108" s="2851">
        <v>20</v>
      </c>
    </row>
    <row r="109" spans="1:6" ht="13.5">
      <c r="A109" s="2851">
        <v>37</v>
      </c>
      <c r="B109" s="3498"/>
      <c r="C109" s="2851" t="s">
        <v>2717</v>
      </c>
      <c r="D109" s="2825" t="s">
        <v>2718</v>
      </c>
      <c r="E109" s="2851">
        <v>0.15</v>
      </c>
      <c r="F109" s="2851">
        <v>20</v>
      </c>
    </row>
    <row r="110" spans="1:6" ht="13.5">
      <c r="A110" s="2851">
        <v>38</v>
      </c>
      <c r="B110" s="3498"/>
      <c r="C110" s="2851" t="s">
        <v>2719</v>
      </c>
      <c r="D110" s="2825" t="s">
        <v>2720</v>
      </c>
      <c r="E110" s="2851">
        <v>0.1</v>
      </c>
      <c r="F110" s="2851">
        <v>15</v>
      </c>
    </row>
    <row r="111" spans="1:6" ht="24">
      <c r="A111" s="2851">
        <v>39</v>
      </c>
      <c r="B111" s="3498"/>
      <c r="C111" s="2851" t="s">
        <v>2721</v>
      </c>
      <c r="D111" s="2825" t="s">
        <v>2722</v>
      </c>
      <c r="E111" s="2851">
        <v>0.1</v>
      </c>
      <c r="F111" s="2851">
        <v>15</v>
      </c>
    </row>
    <row r="112" spans="1:6" ht="24">
      <c r="A112" s="2851">
        <v>40</v>
      </c>
      <c r="B112" s="3497"/>
      <c r="C112" s="2851" t="s">
        <v>2723</v>
      </c>
      <c r="D112" s="2825" t="s">
        <v>2724</v>
      </c>
      <c r="E112" s="2851">
        <v>0.1</v>
      </c>
      <c r="F112" s="2851">
        <v>15</v>
      </c>
    </row>
    <row r="113" spans="1:6" ht="13.5">
      <c r="A113" s="2851">
        <v>41</v>
      </c>
      <c r="B113" s="3495" t="s">
        <v>2725</v>
      </c>
      <c r="C113" s="2851" t="s">
        <v>2726</v>
      </c>
      <c r="D113" s="2825" t="s">
        <v>2727</v>
      </c>
      <c r="E113" s="2851">
        <v>0.1</v>
      </c>
      <c r="F113" s="2851">
        <v>15</v>
      </c>
    </row>
    <row r="114" spans="1:6" ht="13.5">
      <c r="A114" s="2851">
        <v>42</v>
      </c>
      <c r="B114" s="3495"/>
      <c r="C114" s="2851" t="s">
        <v>2728</v>
      </c>
      <c r="D114" s="2825" t="s">
        <v>2729</v>
      </c>
      <c r="E114" s="2851">
        <v>0.1</v>
      </c>
      <c r="F114" s="2851">
        <v>15</v>
      </c>
    </row>
    <row r="115" spans="1:6" ht="24">
      <c r="A115" s="2851">
        <v>43</v>
      </c>
      <c r="B115" s="3495"/>
      <c r="C115" s="2851" t="s">
        <v>2730</v>
      </c>
      <c r="D115" s="2825" t="s">
        <v>2731</v>
      </c>
      <c r="E115" s="2851">
        <v>0.1</v>
      </c>
      <c r="F115" s="2851">
        <v>15</v>
      </c>
    </row>
    <row r="116" spans="1:6" ht="13.5">
      <c r="A116" s="2851">
        <v>44</v>
      </c>
      <c r="B116" s="3496" t="s">
        <v>2732</v>
      </c>
      <c r="C116" s="2851" t="s">
        <v>2733</v>
      </c>
      <c r="D116" s="2825" t="s">
        <v>2734</v>
      </c>
      <c r="E116" s="2851">
        <v>0.1</v>
      </c>
      <c r="F116" s="2851">
        <v>15</v>
      </c>
    </row>
    <row r="117" spans="1:6" ht="24">
      <c r="A117" s="2851">
        <v>45</v>
      </c>
      <c r="B117" s="3497"/>
      <c r="C117" s="2825" t="s">
        <v>2735</v>
      </c>
      <c r="D117" s="2825" t="s">
        <v>2736</v>
      </c>
      <c r="E117" s="2851">
        <v>0.1</v>
      </c>
      <c r="F117" s="2851">
        <v>15</v>
      </c>
    </row>
    <row r="118" spans="1:6" ht="24">
      <c r="A118" s="2851">
        <v>46</v>
      </c>
      <c r="B118" s="3496" t="s">
        <v>2737</v>
      </c>
      <c r="C118" s="2851" t="s">
        <v>2738</v>
      </c>
      <c r="D118" s="2825" t="s">
        <v>2739</v>
      </c>
      <c r="E118" s="2851">
        <v>0.1</v>
      </c>
      <c r="F118" s="2851">
        <v>15</v>
      </c>
    </row>
    <row r="119" spans="1:6" ht="24">
      <c r="A119" s="2851">
        <v>47</v>
      </c>
      <c r="B119" s="3497"/>
      <c r="C119" s="2851" t="s">
        <v>2740</v>
      </c>
      <c r="D119" s="2825" t="s">
        <v>2741</v>
      </c>
      <c r="E119" s="2851">
        <v>0.1</v>
      </c>
      <c r="F119" s="2851">
        <v>15</v>
      </c>
    </row>
    <row r="120" spans="1:6" ht="13.5">
      <c r="A120" s="2851">
        <v>48</v>
      </c>
      <c r="B120" s="3496" t="s">
        <v>2742</v>
      </c>
      <c r="C120" s="2851" t="s">
        <v>2743</v>
      </c>
      <c r="D120" s="2825" t="s">
        <v>2744</v>
      </c>
      <c r="E120" s="2851">
        <v>0.1</v>
      </c>
      <c r="F120" s="2851">
        <v>15</v>
      </c>
    </row>
    <row r="121" spans="1:6" ht="13.5">
      <c r="A121" s="2851">
        <v>49</v>
      </c>
      <c r="B121" s="3497"/>
      <c r="C121" s="2851" t="s">
        <v>2745</v>
      </c>
      <c r="D121" s="2825" t="s">
        <v>2746</v>
      </c>
      <c r="E121" s="2851">
        <v>0.1</v>
      </c>
      <c r="F121" s="2851">
        <v>15</v>
      </c>
    </row>
    <row r="122" spans="1:6" ht="24">
      <c r="A122" s="2851">
        <v>50</v>
      </c>
      <c r="B122" s="3495" t="s">
        <v>2747</v>
      </c>
      <c r="C122" s="2851" t="s">
        <v>2748</v>
      </c>
      <c r="D122" s="2825" t="s">
        <v>2749</v>
      </c>
      <c r="E122" s="2851">
        <v>0.1</v>
      </c>
      <c r="F122" s="2851">
        <v>15</v>
      </c>
    </row>
    <row r="123" spans="1:6" ht="24">
      <c r="A123" s="2851">
        <v>51</v>
      </c>
      <c r="B123" s="3495"/>
      <c r="C123" s="2851" t="s">
        <v>2750</v>
      </c>
      <c r="D123" s="2825" t="s">
        <v>2751</v>
      </c>
      <c r="E123" s="2851">
        <v>0.1</v>
      </c>
      <c r="F123" s="2851">
        <v>15</v>
      </c>
    </row>
    <row r="124" spans="1:6" ht="24">
      <c r="A124" s="2851">
        <v>52</v>
      </c>
      <c r="B124" s="3495" t="s">
        <v>2752</v>
      </c>
      <c r="C124" s="2851" t="s">
        <v>2753</v>
      </c>
      <c r="D124" s="2825" t="s">
        <v>2754</v>
      </c>
      <c r="E124" s="2851">
        <v>0.1</v>
      </c>
      <c r="F124" s="2851">
        <v>15</v>
      </c>
    </row>
    <row r="125" spans="1:6" ht="24">
      <c r="A125" s="2851">
        <v>53</v>
      </c>
      <c r="B125" s="3495"/>
      <c r="C125" s="2851" t="s">
        <v>2755</v>
      </c>
      <c r="D125" s="2825" t="s">
        <v>2756</v>
      </c>
      <c r="E125" s="2851">
        <v>0.1</v>
      </c>
      <c r="F125" s="2851">
        <v>15</v>
      </c>
    </row>
    <row r="126" spans="1:6" ht="13.5">
      <c r="A126" s="2851">
        <v>54</v>
      </c>
      <c r="B126" s="2851" t="s">
        <v>2757</v>
      </c>
      <c r="C126" s="2851" t="s">
        <v>2758</v>
      </c>
      <c r="D126" s="2825" t="s">
        <v>2759</v>
      </c>
      <c r="E126" s="2851">
        <v>0.1</v>
      </c>
      <c r="F126" s="2851">
        <v>15</v>
      </c>
    </row>
    <row r="127" spans="1:6" ht="13.5">
      <c r="A127" s="2851">
        <v>55</v>
      </c>
      <c r="B127" s="3495" t="s">
        <v>2760</v>
      </c>
      <c r="C127" s="2851" t="s">
        <v>2761</v>
      </c>
      <c r="D127" s="2825" t="s">
        <v>2762</v>
      </c>
      <c r="E127" s="2851">
        <v>0.1</v>
      </c>
      <c r="F127" s="2851">
        <v>15</v>
      </c>
    </row>
    <row r="128" spans="1:6" ht="13.5">
      <c r="A128" s="2851">
        <v>56</v>
      </c>
      <c r="B128" s="3495"/>
      <c r="C128" s="2851" t="s">
        <v>2763</v>
      </c>
      <c r="D128" s="2825" t="s">
        <v>2764</v>
      </c>
      <c r="E128" s="2851">
        <v>0.1</v>
      </c>
      <c r="F128" s="2851">
        <v>15</v>
      </c>
    </row>
    <row r="129" spans="1:6" ht="24">
      <c r="A129" s="2851">
        <v>57</v>
      </c>
      <c r="B129" s="3495"/>
      <c r="C129" s="2851" t="s">
        <v>2765</v>
      </c>
      <c r="D129" s="2825" t="s">
        <v>2766</v>
      </c>
      <c r="E129" s="2851">
        <v>0.1</v>
      </c>
      <c r="F129" s="2851">
        <v>15</v>
      </c>
    </row>
    <row r="130" spans="1:6" ht="24">
      <c r="A130" s="2851">
        <v>58</v>
      </c>
      <c r="B130" s="3495" t="s">
        <v>2767</v>
      </c>
      <c r="C130" s="2851" t="s">
        <v>2768</v>
      </c>
      <c r="D130" s="2825" t="s">
        <v>2769</v>
      </c>
      <c r="E130" s="2851">
        <v>0.1</v>
      </c>
      <c r="F130" s="2851">
        <v>15</v>
      </c>
    </row>
    <row r="131" spans="1:6" ht="13.5">
      <c r="A131" s="2851">
        <v>59</v>
      </c>
      <c r="B131" s="3495"/>
      <c r="C131" s="2851" t="s">
        <v>2770</v>
      </c>
      <c r="D131" s="2825" t="s">
        <v>2771</v>
      </c>
      <c r="E131" s="2851">
        <v>0.1</v>
      </c>
      <c r="F131" s="2851">
        <v>15</v>
      </c>
    </row>
    <row r="132" spans="1:6" ht="13.5">
      <c r="A132" s="2851">
        <v>60</v>
      </c>
      <c r="B132" s="3496" t="s">
        <v>2772</v>
      </c>
      <c r="C132" s="2851" t="s">
        <v>2773</v>
      </c>
      <c r="D132" s="2825" t="s">
        <v>2774</v>
      </c>
      <c r="E132" s="2851">
        <v>0.1</v>
      </c>
      <c r="F132" s="2851">
        <v>15</v>
      </c>
    </row>
    <row r="133" spans="1:6" ht="13.5">
      <c r="A133" s="2851">
        <v>61</v>
      </c>
      <c r="B133" s="3497"/>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13.5">
      <c r="A135" s="2851">
        <v>63</v>
      </c>
      <c r="B135" s="3495" t="s">
        <v>2780</v>
      </c>
      <c r="C135" s="2851" t="s">
        <v>2781</v>
      </c>
      <c r="D135" s="2825" t="s">
        <v>2782</v>
      </c>
      <c r="E135" s="2851">
        <v>0.1</v>
      </c>
      <c r="F135" s="2851">
        <v>15</v>
      </c>
    </row>
    <row r="136" spans="1:6" ht="13.5">
      <c r="A136" s="2851">
        <v>64</v>
      </c>
      <c r="B136" s="3495"/>
      <c r="C136" s="2851" t="s">
        <v>2783</v>
      </c>
      <c r="D136" s="2825" t="s">
        <v>2784</v>
      </c>
      <c r="E136" s="2851">
        <v>0.1</v>
      </c>
      <c r="F136" s="2851">
        <v>15</v>
      </c>
    </row>
    <row r="137" spans="1:6" ht="13.5">
      <c r="A137" s="2851">
        <v>65</v>
      </c>
      <c r="B137" s="2851" t="s">
        <v>2785</v>
      </c>
      <c r="C137" s="2851" t="s">
        <v>2786</v>
      </c>
      <c r="D137" s="2825" t="s">
        <v>2787</v>
      </c>
      <c r="E137" s="2851">
        <v>0.1</v>
      </c>
      <c r="F137" s="2851">
        <v>15</v>
      </c>
    </row>
    <row r="138" spans="1:6" ht="13.5">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88"/>
      <c r="B4" s="3190" t="s">
        <v>917</v>
      </c>
      <c r="C4" s="3190"/>
      <c r="D4" s="3190"/>
      <c r="E4" s="1388"/>
    </row>
    <row r="5" spans="1:5" ht="16.5" thickTop="1">
      <c r="B5" s="3188" t="s">
        <v>909</v>
      </c>
      <c r="C5" s="1389" t="s">
        <v>910</v>
      </c>
      <c r="D5" s="795">
        <f ca="1">结果表!H101</f>
        <v>1683</v>
      </c>
    </row>
    <row r="6" spans="1:5" ht="15.75">
      <c r="B6" s="3188"/>
      <c r="C6" s="1389" t="s">
        <v>911</v>
      </c>
      <c r="D6" s="795" t="str">
        <f ca="1">NUMBERSTRING(INT(D5*10000),2)&amp;"元整"</f>
        <v>壹仟陆佰捌拾叁万元整</v>
      </c>
    </row>
    <row r="7" spans="1:5" ht="15.75">
      <c r="B7" s="3193"/>
      <c r="C7" s="1390" t="s">
        <v>912</v>
      </c>
      <c r="D7" s="796">
        <f ca="1">结果表!H102</f>
        <v>12170</v>
      </c>
    </row>
    <row r="8" spans="1:5" ht="15.75">
      <c r="B8" s="3194" t="str">
        <f>结果表!E103</f>
        <v>2.估价师知悉的法定优先受偿款</v>
      </c>
      <c r="C8" s="1391" t="s">
        <v>913</v>
      </c>
      <c r="D8" s="796">
        <f>结果表!H103</f>
        <v>0</v>
      </c>
    </row>
    <row r="9" spans="1:5" ht="15.75">
      <c r="B9" s="3196"/>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7" t="str">
        <f>结果表!E107</f>
        <v>3.房地产抵押价值</v>
      </c>
      <c r="C13" s="1394" t="s">
        <v>910</v>
      </c>
      <c r="D13" s="798">
        <f ca="1">结果表!H107</f>
        <v>1683</v>
      </c>
    </row>
    <row r="14" spans="1:5" ht="15.75">
      <c r="B14" s="3188"/>
      <c r="C14" s="1389" t="s">
        <v>911</v>
      </c>
      <c r="D14" s="795" t="str">
        <f ca="1">NUMBERSTRING(INT(D13*10000),2)&amp;"元整"</f>
        <v>壹仟陆佰捌拾叁万元整</v>
      </c>
    </row>
    <row r="15" spans="1:5" ht="15">
      <c r="B15" s="3193"/>
      <c r="C15" s="1390" t="s">
        <v>921</v>
      </c>
      <c r="D15" s="804">
        <f ca="1">结果表!H108</f>
        <v>12170</v>
      </c>
    </row>
    <row r="16" spans="1:5" ht="15">
      <c r="B16" s="3194" t="str">
        <f>结果表!E109</f>
        <v>——</v>
      </c>
      <c r="C16" s="1394" t="s">
        <v>922</v>
      </c>
      <c r="D16" s="1395" t="str">
        <f>结果表!H109</f>
        <v>——</v>
      </c>
    </row>
    <row r="17" spans="1:5" ht="15.75">
      <c r="B17" s="3195"/>
      <c r="C17" s="1389" t="s">
        <v>923</v>
      </c>
      <c r="D17" s="795" t="e">
        <f>NUMBERSTRING(INT(D16*10000),2)&amp;"元整"</f>
        <v>#VALUE!</v>
      </c>
    </row>
    <row r="18" spans="1:5" ht="15">
      <c r="B18" s="3196"/>
      <c r="C18" s="1390" t="s">
        <v>912</v>
      </c>
      <c r="D18" s="804" t="str">
        <f>结果表!H110</f>
        <v>——</v>
      </c>
    </row>
    <row r="19" spans="1:5" ht="15.75">
      <c r="B19" s="3187" t="str">
        <f>结果表!E111</f>
        <v>4.抵押净值</v>
      </c>
      <c r="C19" s="1394" t="s">
        <v>910</v>
      </c>
      <c r="D19" s="796">
        <f ca="1">结果表!H111</f>
        <v>640</v>
      </c>
    </row>
    <row r="20" spans="1:5" ht="15.75">
      <c r="B20" s="3188"/>
      <c r="C20" s="1389" t="s">
        <v>923</v>
      </c>
      <c r="D20" s="795" t="str">
        <f ca="1">NUMBERSTRING(INT(D19*10000),2)&amp;"元整"</f>
        <v>陆佰肆拾万元整</v>
      </c>
    </row>
    <row r="21" spans="1:5" ht="15.75" thickBot="1">
      <c r="B21" s="3189"/>
      <c r="C21" s="1396" t="s">
        <v>921</v>
      </c>
      <c r="D21" s="805">
        <f ca="1">结果表!H112</f>
        <v>4629</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27501</v>
      </c>
      <c r="C2" s="2" t="s">
        <v>106</v>
      </c>
      <c r="D2" s="190"/>
      <c r="E2" s="190"/>
      <c r="F2" s="190"/>
      <c r="G2" s="190"/>
    </row>
    <row r="3" spans="1:7" s="191" customFormat="1" ht="18" customHeight="1" thickBot="1">
      <c r="A3" s="194" t="s">
        <v>58</v>
      </c>
      <c r="B3" s="195">
        <f ca="1">ROUND(B2*10000/'数据-汇总表'!E3,0)</f>
        <v>198922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1382.5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28</v>
      </c>
      <c r="D19" s="203">
        <f>'数据-汇总表'!E3</f>
        <v>1382.5</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646</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3158</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3158</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26918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620</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553</v>
      </c>
      <c r="D34" s="208"/>
      <c r="E34" s="211"/>
      <c r="F34" s="248">
        <f>IF('数据-取费表'!B24=0,1,'数据-取费表'!N16)</f>
        <v>1</v>
      </c>
      <c r="G34" s="210" t="s">
        <v>89</v>
      </c>
    </row>
    <row r="35" spans="1:7" ht="13.5" customHeight="1">
      <c r="A35" s="732" t="s">
        <v>351</v>
      </c>
      <c r="B35" s="206" t="s">
        <v>33</v>
      </c>
      <c r="C35" s="211">
        <f>ROUND(C34*F35,0)</f>
        <v>28</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28</v>
      </c>
      <c r="D37" s="208">
        <f>'数据-汇总表'!E3</f>
        <v>1382.5</v>
      </c>
      <c r="E37" s="240">
        <f>'数据-取费表'!B35</f>
        <v>200</v>
      </c>
      <c r="F37" s="250"/>
      <c r="G37" s="252" t="s">
        <v>92</v>
      </c>
    </row>
    <row r="38" spans="1:7" ht="13.5" customHeight="1">
      <c r="A38" s="732" t="s">
        <v>354</v>
      </c>
      <c r="B38" s="206" t="s">
        <v>36</v>
      </c>
      <c r="C38" s="211">
        <f>ROUND(C34*F38,0)</f>
        <v>11</v>
      </c>
      <c r="D38" s="211"/>
      <c r="E38" s="211"/>
      <c r="F38" s="250">
        <f>'数据-取费表'!B36</f>
        <v>0.02</v>
      </c>
      <c r="G38" s="210" t="s">
        <v>90</v>
      </c>
    </row>
    <row r="39" spans="1:7" s="205" customFormat="1" ht="13.5" customHeight="1">
      <c r="A39" s="729" t="s">
        <v>338</v>
      </c>
      <c r="B39" s="201" t="s">
        <v>77</v>
      </c>
      <c r="C39" s="223">
        <f>ROUND(C33*F20,0)</f>
        <v>12</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389" t="s">
        <v>94</v>
      </c>
    </row>
    <row r="43" spans="1:7" ht="13.5" customHeight="1">
      <c r="A43" s="732" t="s">
        <v>347</v>
      </c>
      <c r="B43" s="206" t="s">
        <v>426</v>
      </c>
      <c r="C43" s="229">
        <f ca="1">ROUND(IF('数据-取费表'!B22&lt;=1,C39*F22*'数据-取费表'!B21/2,C39*(POWER((1+F22),'数据-取费表'!B21/2)-1)),0)</f>
        <v>0</v>
      </c>
      <c r="D43" s="229"/>
      <c r="E43" s="229"/>
      <c r="F43" s="230"/>
      <c r="G43" s="3390"/>
    </row>
    <row r="44" spans="1:7" ht="13.5" customHeight="1">
      <c r="A44" s="732" t="s">
        <v>348</v>
      </c>
      <c r="B44" s="206" t="s">
        <v>428</v>
      </c>
      <c r="C44" s="229">
        <f ca="1">ROUND(IF('数据-取费表'!B22&lt;=1,C40*F22*'数据-取费表'!B21/2,C40*(POWER((1+F22),'数据-取费表'!B21/2)-1)),4)</f>
        <v>2.9999999999999997E-4</v>
      </c>
      <c r="D44" s="229"/>
      <c r="E44" s="229"/>
      <c r="F44" s="230"/>
      <c r="G44" s="3391"/>
    </row>
    <row r="45" spans="1:7" s="205" customFormat="1" ht="13.5" customHeight="1">
      <c r="A45" s="729" t="s">
        <v>341</v>
      </c>
      <c r="B45" s="235" t="s">
        <v>85</v>
      </c>
      <c r="C45" s="236">
        <f>C46</f>
        <v>95</v>
      </c>
      <c r="D45" s="226">
        <f>C47</f>
        <v>3.0000000000000001E-3</v>
      </c>
      <c r="E45" s="227" t="s">
        <v>102</v>
      </c>
      <c r="F45" s="237"/>
      <c r="G45" s="238" t="s">
        <v>434</v>
      </c>
    </row>
    <row r="46" spans="1:7" s="205" customFormat="1" ht="13.5" customHeight="1">
      <c r="A46" s="732" t="s">
        <v>349</v>
      </c>
      <c r="B46" s="239" t="s">
        <v>427</v>
      </c>
      <c r="C46" s="240">
        <f>ROUND((C33+C39)*F27,0)</f>
        <v>95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798</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583</v>
      </c>
      <c r="D51" s="223"/>
      <c r="E51" s="223"/>
      <c r="F51" s="255"/>
      <c r="G51" s="225" t="s">
        <v>37</v>
      </c>
    </row>
    <row r="52" spans="1:7" s="199" customFormat="1" ht="16.5" thickBot="1">
      <c r="A52" s="256" t="s">
        <v>38</v>
      </c>
      <c r="B52" s="257"/>
      <c r="C52" s="258">
        <f ca="1">C31+C51</f>
        <v>27501</v>
      </c>
      <c r="D52" s="257"/>
      <c r="E52" s="257"/>
      <c r="F52" s="257"/>
      <c r="G52" s="259"/>
    </row>
    <row r="55" spans="1:7" ht="15">
      <c r="B55" s="261" t="s">
        <v>39</v>
      </c>
      <c r="C55" s="262"/>
    </row>
    <row r="56" spans="1:7">
      <c r="B56" s="264" t="s">
        <v>40</v>
      </c>
      <c r="C56" s="265">
        <f ca="1">ROUND(C51/C52,3)</f>
        <v>2.1000000000000001E-2</v>
      </c>
    </row>
    <row r="57" spans="1:7">
      <c r="B57" s="264" t="s">
        <v>41</v>
      </c>
      <c r="C57" s="266">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07" t="s">
        <v>3172</v>
      </c>
      <c r="B1" s="3507"/>
    </row>
    <row r="2" spans="1:7" ht="14.25" thickBot="1">
      <c r="A2" s="2962"/>
      <c r="B2" s="2962"/>
    </row>
    <row r="3" spans="1:7" ht="14.25" thickBot="1">
      <c r="A3" s="2962"/>
      <c r="B3" s="2962"/>
      <c r="C3" s="2963" t="s">
        <v>2802</v>
      </c>
      <c r="D3" s="2963" t="s">
        <v>2858</v>
      </c>
      <c r="E3" s="2963" t="s">
        <v>2804</v>
      </c>
      <c r="F3" s="2963" t="s">
        <v>2859</v>
      </c>
      <c r="G3" s="2963" t="s">
        <v>2622</v>
      </c>
    </row>
    <row r="4" spans="1:7" ht="14.2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4.2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4.2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4.2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4.2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4.2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4.2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4.2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4.2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4.2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4.2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08" t="s">
        <v>3223</v>
      </c>
      <c r="B1" s="3508"/>
      <c r="C1" s="3508"/>
      <c r="D1" s="3508"/>
      <c r="E1" s="3508"/>
      <c r="F1" s="3509"/>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1">
        <f>基准地价修正!G23</f>
        <v>45775</v>
      </c>
      <c r="B1" s="2923" t="s">
        <v>3369</v>
      </c>
      <c r="C1" s="2924"/>
      <c r="D1" s="2924"/>
      <c r="E1" s="2924"/>
      <c r="F1" s="2924"/>
      <c r="G1" s="2924"/>
      <c r="H1" s="2924"/>
      <c r="I1" s="2924"/>
      <c r="J1" s="2890"/>
      <c r="K1" s="2924" t="s">
        <v>454</v>
      </c>
      <c r="L1" s="2924"/>
      <c r="M1" s="2924"/>
      <c r="N1" s="2924"/>
      <c r="O1" s="2924"/>
      <c r="P1" s="2924"/>
      <c r="Q1" s="2890"/>
      <c r="R1" s="3510" t="s">
        <v>456</v>
      </c>
      <c r="S1" s="3511"/>
      <c r="T1" s="3511"/>
      <c r="U1" s="3511"/>
      <c r="V1" s="3511"/>
      <c r="W1" s="3511"/>
      <c r="X1" s="2890"/>
      <c r="Y1" s="3510" t="s">
        <v>457</v>
      </c>
      <c r="Z1" s="3511"/>
      <c r="AA1" s="3511"/>
      <c r="AB1" s="3511"/>
      <c r="AC1" s="3511"/>
      <c r="AD1" s="3511"/>
    </row>
    <row r="2" spans="1:44" s="2007" customFormat="1" ht="14.2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2.75">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2.75">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2.75">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2.75">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2.75">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2.75">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2.75">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2.75">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2.75">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2.75">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2.75">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2.75">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2.75">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2.75">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2.75">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2.75">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2.75">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2.75">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2.75">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2.75">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4.2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4.25" thickTop="1"/>
    <row r="26" spans="1:44">
      <c r="A26" s="3137" t="s">
        <v>3372</v>
      </c>
    </row>
    <row r="27" spans="1:44">
      <c r="I27" s="1402" t="s">
        <v>2816</v>
      </c>
    </row>
    <row r="29" spans="1:44" s="2006" customFormat="1" ht="12.75">
      <c r="B29" s="2923" t="s">
        <v>3370</v>
      </c>
      <c r="C29" s="2924"/>
      <c r="D29" s="2924"/>
      <c r="E29" s="2924"/>
      <c r="F29" s="2924"/>
      <c r="G29" s="2924"/>
      <c r="H29" s="2924"/>
      <c r="I29" s="2924"/>
      <c r="J29" s="2890"/>
      <c r="K29" s="2924" t="s">
        <v>2817</v>
      </c>
      <c r="L29" s="2924"/>
      <c r="M29" s="2924"/>
      <c r="N29" s="2924"/>
      <c r="O29" s="2924"/>
      <c r="P29" s="2924"/>
      <c r="Q29" s="2890"/>
      <c r="R29" s="3510" t="s">
        <v>2818</v>
      </c>
      <c r="S29" s="3511"/>
      <c r="T29" s="3511"/>
      <c r="U29" s="3511"/>
      <c r="V29" s="3511"/>
      <c r="W29" s="3511"/>
      <c r="X29" s="2890"/>
      <c r="Y29" s="3510" t="s">
        <v>2819</v>
      </c>
      <c r="Z29" s="3511"/>
      <c r="AA29" s="3511"/>
      <c r="AB29" s="3511"/>
      <c r="AC29" s="3511"/>
      <c r="AD29" s="3511"/>
    </row>
    <row r="30" spans="1:44" s="2007" customFormat="1" ht="14.2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2.75">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2.75">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2.75">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2.75">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2.75">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2.75">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2.75">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2.75">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2.75">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2.75">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2.75">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2.75">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2.75">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2.75">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2.75">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2.75">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2.75">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2.75">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2.75">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2.75">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4.2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4.2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1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1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1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1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1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1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1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1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1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1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1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1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1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23" t="s">
        <v>2830</v>
      </c>
      <c r="B1" s="3523"/>
      <c r="C1" s="3523"/>
      <c r="D1" s="3523"/>
      <c r="E1" s="3523"/>
      <c r="F1" s="3523"/>
      <c r="G1" s="3524"/>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2"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1"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2" thickBot="1">
      <c r="A4" s="3522"/>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2"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2"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2"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2"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45775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31" sqref="G31"/>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75">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75">
      <c r="A4" s="3377"/>
      <c r="B4" s="3378"/>
      <c r="C4" s="3378"/>
      <c r="D4" s="3379"/>
      <c r="E4" s="3379"/>
      <c r="F4" s="3379"/>
      <c r="G4" s="3379"/>
      <c r="H4" s="3379"/>
      <c r="I4" s="3379"/>
      <c r="J4" s="3380"/>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75"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15">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4" t="s">
        <v>1960</v>
      </c>
      <c r="X8" s="337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6"/>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5"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15.75"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4.25">
      <c r="A20" s="3381" t="s">
        <v>3245</v>
      </c>
      <c r="B20" s="158" t="s">
        <v>1994</v>
      </c>
      <c r="C20" s="3025" t="e">
        <f>ROUND(IF(F21="与级别开发程度一致",0,(G21-E21)/C21),0)</f>
        <v>#DIV/0!</v>
      </c>
      <c r="D20" s="3040" t="s">
        <v>1998</v>
      </c>
      <c r="E20" s="3041"/>
      <c r="F20" s="3387" t="s">
        <v>1995</v>
      </c>
      <c r="G20" s="3388"/>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382"/>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45775</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t="e">
        <f>ROUND(C5*C22*C23*C24*C25*C28,0)</f>
        <v>#DIV/0!</v>
      </c>
      <c r="D33" s="1937">
        <f>'数据-汇总表'!F19</f>
        <v>1382.5</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85"/>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6"/>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86"/>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14.25">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36">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6.75">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24">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24.75"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5">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36">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6.75">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24">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5">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7"/>
      <c r="D81" s="697"/>
      <c r="E81" s="698"/>
      <c r="F81" s="1966"/>
      <c r="G81" s="3"/>
      <c r="H81" s="3"/>
      <c r="I81" s="3"/>
      <c r="J81" s="4"/>
      <c r="K81" s="4"/>
      <c r="L81" s="4"/>
      <c r="M81" s="4"/>
      <c r="N81" s="4"/>
      <c r="Z81" s="1842"/>
      <c r="AA81" s="1892"/>
      <c r="AG81" s="1055"/>
      <c r="AK81" s="1892"/>
    </row>
    <row r="82" spans="1:37" ht="24.75">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14.25">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5"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5">
      <c r="A91" s="3072" t="s">
        <v>2603</v>
      </c>
      <c r="B91" s="3073">
        <f>1+E93</f>
        <v>1</v>
      </c>
      <c r="C91" s="3066"/>
      <c r="D91" s="3067"/>
      <c r="E91" s="1672"/>
      <c r="F91" s="1672"/>
      <c r="G91" s="3068"/>
      <c r="H91" s="3069"/>
      <c r="I91" s="3070"/>
      <c r="J91" s="3071"/>
      <c r="K91" s="3071"/>
      <c r="L91" s="3071"/>
      <c r="M91" s="3071"/>
      <c r="N91" s="3071"/>
    </row>
    <row r="92" spans="1:37" ht="24.75">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5.5">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3" t="s">
        <v>3285</v>
      </c>
      <c r="B103" s="3383"/>
      <c r="C103" s="3383"/>
      <c r="D103" s="3383"/>
      <c r="E103" s="3383"/>
      <c r="F103" s="3383"/>
      <c r="G103" s="3383"/>
      <c r="H103" s="3383"/>
      <c r="I103" s="3383"/>
      <c r="J103" s="3383"/>
      <c r="K103" s="1664"/>
      <c r="L103" s="1664"/>
      <c r="M103" s="1664"/>
      <c r="N103" s="1664"/>
    </row>
    <row r="104" spans="1:14">
      <c r="A104" s="3384" t="s">
        <v>3286</v>
      </c>
      <c r="B104" s="3384" t="s">
        <v>3287</v>
      </c>
      <c r="C104" s="3084" t="s">
        <v>3288</v>
      </c>
      <c r="D104" s="3085"/>
      <c r="E104" s="3085"/>
      <c r="F104" s="3085"/>
      <c r="G104" s="3085"/>
      <c r="H104" s="3085"/>
      <c r="I104" s="3085"/>
      <c r="J104" s="3086"/>
      <c r="K104" s="3087"/>
      <c r="L104" s="3087"/>
      <c r="M104" s="3087"/>
      <c r="N104" s="3087"/>
    </row>
    <row r="105" spans="1:14">
      <c r="A105" s="3384"/>
      <c r="B105" s="3384"/>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0"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1"/>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2"/>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3" t="s">
        <v>3302</v>
      </c>
      <c r="B113" s="3373"/>
      <c r="C113" s="3373"/>
      <c r="D113" s="3373"/>
      <c r="E113" s="3373"/>
      <c r="F113" s="3373"/>
      <c r="G113" s="3373"/>
      <c r="H113" s="3373"/>
      <c r="I113" s="3373"/>
      <c r="J113" s="3373"/>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5"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5.75">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89" t="s">
        <v>1591</v>
      </c>
    </row>
    <row r="43" spans="1:7" ht="13.5" customHeight="1">
      <c r="A43" s="732" t="s">
        <v>347</v>
      </c>
      <c r="B43" s="206" t="s">
        <v>1506</v>
      </c>
      <c r="C43" s="229" t="e">
        <f ca="1">ROUND(IF('数据-取费表'!B22&lt;=1,C39*F22*'数据-取费表'!B20/2,C39*(POWER((1+F22),'数据-取费表'!B20/2)-1)),0)</f>
        <v>#N/A</v>
      </c>
      <c r="D43" s="229"/>
      <c r="E43" s="229"/>
      <c r="F43" s="230"/>
      <c r="G43" s="3390"/>
    </row>
    <row r="44" spans="1:7" ht="13.5" customHeight="1">
      <c r="A44" s="732" t="s">
        <v>348</v>
      </c>
      <c r="B44" s="206" t="s">
        <v>1509</v>
      </c>
      <c r="C44" s="229">
        <f ca="1">ROUND(IF('数据-取费表'!B22&lt;=1,C40*F22*'数据-取费表'!B20/2,C40*(POWER((1+F22),'数据-取费表'!B20/2)-1)),4)</f>
        <v>2.9999999999999997E-4</v>
      </c>
      <c r="D44" s="229"/>
      <c r="E44" s="229"/>
      <c r="F44" s="230"/>
      <c r="G44" s="3391"/>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31" sqref="G3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8" t="s">
        <v>694</v>
      </c>
      <c r="C6" s="1008" t="e">
        <f ca="1">ROUND(F6*F8*F7*(1-F9),0)</f>
        <v>#N/A</v>
      </c>
      <c r="D6" s="146" t="s">
        <v>2106</v>
      </c>
      <c r="E6" s="293" t="s">
        <v>696</v>
      </c>
      <c r="F6" s="294" t="e">
        <f ca="1">INDIRECT("'数据-取费表'!u"&amp;$G$1)</f>
        <v>#N/A</v>
      </c>
      <c r="G6" s="1289"/>
      <c r="H6" s="1003" t="s">
        <v>398</v>
      </c>
      <c r="I6" s="3438" t="s">
        <v>694</v>
      </c>
      <c r="J6" s="292" t="e">
        <f ca="1">ROUND(M6*M8*M7*(1-M9),0)</f>
        <v>#N/A</v>
      </c>
      <c r="K6" s="1281" t="s">
        <v>2107</v>
      </c>
      <c r="L6" s="293" t="s">
        <v>696</v>
      </c>
      <c r="M6" s="294" t="e">
        <f ca="1">INDIRECT("'数据-取费表'!z"&amp;$G$1)</f>
        <v>#N/A</v>
      </c>
    </row>
    <row r="7" spans="1:37" ht="18" customHeight="1">
      <c r="A7" s="1007"/>
      <c r="B7" s="3439"/>
      <c r="C7" s="1009"/>
      <c r="D7" s="298"/>
      <c r="E7" s="1010" t="s">
        <v>697</v>
      </c>
      <c r="F7" s="294" t="e">
        <f ca="1">IF(INDIRECT("'数据-取费表'!ah"&amp;$G$1)="",INDIRECT("'数据-取费表'!k"&amp;$G$1),INDIRECT("'数据-取费表'!ah"&amp;$G$1))</f>
        <v>#N/A</v>
      </c>
      <c r="G7" s="1289"/>
      <c r="H7" s="295"/>
      <c r="I7" s="3439"/>
      <c r="J7" s="297"/>
      <c r="K7" s="298"/>
      <c r="L7" s="293" t="s">
        <v>697</v>
      </c>
      <c r="M7" s="294" t="e">
        <f ca="1">F7</f>
        <v>#N/A</v>
      </c>
    </row>
    <row r="8" spans="1:37" ht="18" customHeight="1">
      <c r="A8" s="295"/>
      <c r="B8" s="3439"/>
      <c r="C8" s="297"/>
      <c r="D8" s="298"/>
      <c r="E8" s="293" t="s">
        <v>698</v>
      </c>
      <c r="F8" s="294" t="e">
        <f ca="1">INDIRECT("'数据-取费表'!ai"&amp;$G$1)</f>
        <v>#N/A</v>
      </c>
      <c r="G8" s="1289"/>
      <c r="H8" s="295"/>
      <c r="I8" s="3439"/>
      <c r="J8" s="297"/>
      <c r="K8" s="298"/>
      <c r="L8" s="293" t="s">
        <v>698</v>
      </c>
      <c r="M8" s="294" t="e">
        <f ca="1">INDIRECT("'数据-取费表'!ai"&amp;$G$1)</f>
        <v>#N/A</v>
      </c>
    </row>
    <row r="9" spans="1:37" ht="18" customHeight="1">
      <c r="A9" s="295"/>
      <c r="B9" s="3440"/>
      <c r="C9" s="297"/>
      <c r="D9" s="298"/>
      <c r="E9" s="293" t="s">
        <v>699</v>
      </c>
      <c r="F9" s="303" t="e">
        <f ca="1">INDIRECT("'数据-取费表'!w"&amp;$G$1)</f>
        <v>#N/A</v>
      </c>
      <c r="G9" s="1289"/>
      <c r="H9" s="295"/>
      <c r="I9" s="344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5"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5"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1" t="s">
        <v>837</v>
      </c>
      <c r="L53" s="3442"/>
      <c r="O53" s="1322" t="s">
        <v>409</v>
      </c>
      <c r="P53" s="1323" t="s">
        <v>838</v>
      </c>
      <c r="Q53" s="1324" t="e">
        <f ca="1">Q47+Q48</f>
        <v>#N/A</v>
      </c>
      <c r="R53" s="1324" t="s">
        <v>410</v>
      </c>
    </row>
    <row r="54" spans="1:18" s="1289" customFormat="1" ht="13.5"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75"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5"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5"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5"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8"/>
      <c r="O70" s="1331" t="s">
        <v>412</v>
      </c>
      <c r="P70" s="1368" t="s">
        <v>873</v>
      </c>
      <c r="Q70" s="1324" t="e">
        <f ca="1">C13</f>
        <v>#N/A</v>
      </c>
      <c r="R70" s="1324" t="s">
        <v>818</v>
      </c>
    </row>
    <row r="71" spans="1:18" s="1289" customFormat="1" ht="13.5"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799" t="s">
        <v>925</v>
      </c>
      <c r="E3" s="799" t="s">
        <v>931</v>
      </c>
      <c r="F3" s="799" t="s">
        <v>925</v>
      </c>
      <c r="G3" s="799" t="s">
        <v>926</v>
      </c>
      <c r="H3" s="799" t="s">
        <v>925</v>
      </c>
      <c r="I3" s="799" t="s">
        <v>926</v>
      </c>
    </row>
    <row r="4" spans="1:9" ht="15">
      <c r="A4" s="1400" t="str">
        <f>项目基本情况!S2</f>
        <v>北京市迎宾中路16号房地产</v>
      </c>
      <c r="B4" s="799">
        <f>项目基本情况!C17</f>
        <v>1382.5</v>
      </c>
      <c r="C4" s="799">
        <f>项目基本情况!C18</f>
        <v>0</v>
      </c>
      <c r="D4" s="799" t="e">
        <f ca="1">结果表!D118</f>
        <v>#REF!</v>
      </c>
      <c r="E4" s="799" t="e">
        <f ca="1">结果表!E118</f>
        <v>#REF!</v>
      </c>
      <c r="F4" s="799" t="e">
        <f ca="1">结果表!F118</f>
        <v>#REF!</v>
      </c>
      <c r="G4" s="799" t="e">
        <f ca="1">结果表!G118</f>
        <v>#REF!</v>
      </c>
      <c r="H4" s="799">
        <f ca="1">结果表!H118</f>
        <v>1683</v>
      </c>
      <c r="I4" s="799">
        <f ca="1">结果表!I118</f>
        <v>12170</v>
      </c>
    </row>
    <row r="5" spans="1:9" ht="30" customHeight="1">
      <c r="A5" s="3200" t="s">
        <v>927</v>
      </c>
      <c r="B5" s="3200"/>
      <c r="C5" s="3200"/>
      <c r="D5" s="3200" t="e">
        <f ca="1">结果表!D119</f>
        <v>#REF!</v>
      </c>
      <c r="E5" s="3200"/>
      <c r="F5" s="3200" t="e">
        <f ca="1">结果表!F119</f>
        <v>#REF!</v>
      </c>
      <c r="G5" s="3200"/>
      <c r="H5" s="3200" t="str">
        <f ca="1">结果表!H119</f>
        <v>壹仟陆佰捌拾叁万元整</v>
      </c>
      <c r="I5" s="3200"/>
    </row>
    <row r="6" spans="1:9" ht="15.75">
      <c r="A6" s="3199" t="str">
        <f>结果表!A120</f>
        <v>估价师知悉的法定优先受偿款</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75">
      <c r="A8" s="3199" t="str">
        <f>结果表!A122</f>
        <v>房地产抵押价值</v>
      </c>
      <c r="B8" s="3199"/>
      <c r="C8" s="3199"/>
      <c r="D8" s="3199">
        <f ca="1">结果表!D122</f>
        <v>1683</v>
      </c>
      <c r="E8" s="3199"/>
      <c r="F8" s="3199"/>
      <c r="G8" s="3199"/>
      <c r="H8" s="3199"/>
      <c r="I8" s="3199"/>
    </row>
    <row r="9" spans="1:9" ht="15">
      <c r="A9" s="3200" t="s">
        <v>927</v>
      </c>
      <c r="B9" s="3200"/>
      <c r="C9" s="3200"/>
      <c r="D9" s="3200" t="str">
        <f ca="1">结果表!D123</f>
        <v>壹仟陆佰捌拾叁万元整</v>
      </c>
      <c r="E9" s="3200"/>
      <c r="F9" s="3200"/>
      <c r="G9" s="3200"/>
      <c r="H9" s="3200"/>
      <c r="I9" s="3200"/>
    </row>
    <row r="10" spans="1:9" ht="15.75">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75">
      <c r="A12" s="3199" t="str">
        <f>结果表!A126</f>
        <v>抵押净值</v>
      </c>
      <c r="B12" s="3199"/>
      <c r="C12" s="3199"/>
      <c r="D12" s="3199">
        <f ca="1">结果表!D126</f>
        <v>640</v>
      </c>
      <c r="E12" s="3199"/>
      <c r="F12" s="3199"/>
      <c r="G12" s="3199"/>
      <c r="H12" s="3199"/>
      <c r="I12" s="3199"/>
    </row>
    <row r="13" spans="1:9" ht="15.75" thickBot="1">
      <c r="A13" s="3197" t="s">
        <v>927</v>
      </c>
      <c r="B13" s="3197"/>
      <c r="C13" s="3197"/>
      <c r="D13" s="3197" t="str">
        <f ca="1">结果表!D127</f>
        <v>陆佰肆拾万元整</v>
      </c>
      <c r="E13" s="3197"/>
      <c r="F13" s="3197"/>
      <c r="G13" s="3197"/>
      <c r="H13" s="3197"/>
      <c r="I13" s="3197"/>
    </row>
    <row r="14" spans="1:9" ht="15" thickTop="1">
      <c r="A14" s="3198" t="s">
        <v>932</v>
      </c>
      <c r="B14" s="3198"/>
      <c r="C14" s="3198"/>
      <c r="D14" s="3198"/>
      <c r="E14" s="3198"/>
      <c r="F14" s="3198"/>
      <c r="G14" s="3198"/>
      <c r="H14" s="3198"/>
      <c r="I14" s="3198"/>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2" t="s">
        <v>949</v>
      </c>
      <c r="B1" s="3212"/>
      <c r="C1" s="3212"/>
      <c r="D1" s="3212"/>
    </row>
    <row r="2" spans="1:4" ht="18">
      <c r="A2" s="3213" t="s">
        <v>933</v>
      </c>
      <c r="B2" s="3213"/>
      <c r="C2" s="3213"/>
      <c r="D2" s="3213"/>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8">
      <c r="A6" s="3213" t="s">
        <v>939</v>
      </c>
      <c r="B6" s="3213"/>
      <c r="C6" s="3213"/>
      <c r="D6" s="321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4"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945</v>
      </c>
      <c r="B22" s="3210"/>
      <c r="C22" s="3210"/>
      <c r="D22" s="3210"/>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0" t="s">
        <v>956</v>
      </c>
      <c r="B15" s="3215" t="s">
        <v>109</v>
      </c>
      <c r="C15" s="3216"/>
    </row>
    <row r="16" spans="1:7" ht="13.5">
      <c r="A16" s="3221"/>
      <c r="B16" s="3215" t="s">
        <v>42</v>
      </c>
      <c r="C16" s="3216"/>
    </row>
    <row r="17" spans="1:3" ht="13.5">
      <c r="A17" s="3221"/>
      <c r="B17" s="3218" t="s">
        <v>957</v>
      </c>
      <c r="C17" s="1426" t="s">
        <v>956</v>
      </c>
    </row>
    <row r="18" spans="1:3" ht="13.5">
      <c r="A18" s="3221"/>
      <c r="B18" s="3218"/>
      <c r="C18" s="1426" t="s">
        <v>958</v>
      </c>
    </row>
    <row r="19" spans="1:3" ht="13.5">
      <c r="A19" s="3221"/>
      <c r="B19" s="3218"/>
      <c r="C19" s="1426" t="s">
        <v>959</v>
      </c>
    </row>
    <row r="20" spans="1:3" ht="13.5">
      <c r="A20" s="3222"/>
      <c r="B20" s="3217" t="s">
        <v>960</v>
      </c>
      <c r="C20" s="3216"/>
    </row>
    <row r="21" spans="1:3" ht="13.5">
      <c r="A21" s="1427" t="s">
        <v>961</v>
      </c>
      <c r="B21" s="1428"/>
      <c r="C21" s="1429"/>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6" t="s">
        <v>967</v>
      </c>
    </row>
    <row r="26" spans="1:3" ht="13.5">
      <c r="A26" s="3219"/>
      <c r="B26" s="3218"/>
      <c r="C26" s="1426" t="s">
        <v>968</v>
      </c>
    </row>
    <row r="27" spans="1:3" ht="13.5">
      <c r="A27" s="3219"/>
      <c r="B27" s="3218"/>
      <c r="C27" s="1426" t="s">
        <v>969</v>
      </c>
    </row>
    <row r="28" spans="1:3" ht="13.5">
      <c r="A28" s="3219"/>
      <c r="B28" s="3218"/>
      <c r="C28" s="1426" t="s">
        <v>970</v>
      </c>
    </row>
    <row r="29" spans="1:3" ht="13.5">
      <c r="A29" s="3219"/>
      <c r="B29" s="3218"/>
      <c r="C29" s="1426" t="s">
        <v>971</v>
      </c>
    </row>
    <row r="30" spans="1:3" ht="13.5">
      <c r="A30" s="3219"/>
      <c r="B30" s="3218"/>
      <c r="C30" s="1426" t="s">
        <v>972</v>
      </c>
    </row>
    <row r="31" spans="1:3" ht="13.5">
      <c r="A31" s="3219"/>
      <c r="B31" s="3218"/>
      <c r="C31" s="1426" t="s">
        <v>973</v>
      </c>
    </row>
    <row r="32" spans="1:3" ht="13.5">
      <c r="A32" s="3219"/>
      <c r="B32" s="3218"/>
      <c r="C32" s="1426" t="s">
        <v>974</v>
      </c>
    </row>
    <row r="33" spans="1:3" ht="13.5">
      <c r="A33" s="3219"/>
      <c r="B33" s="3218"/>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45783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57"/>
      <c r="E18" s="3225" t="s">
        <v>2162</v>
      </c>
      <c r="F18" s="3224"/>
      <c r="G18" s="3224"/>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2025-05-06T09:44:39Z</dcterms:modified>
</cp:coreProperties>
</file>