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externalReferences>
    <externalReference r:id="rId45"/>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29" i="43" l="1"/>
  <c r="Y6" i="1"/>
  <c r="N6" i="1"/>
  <c r="F19" i="6"/>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5" i="71" l="1"/>
  <c r="AG5" i="71"/>
  <c r="AF5" i="71"/>
  <c r="AE5" i="71"/>
  <c r="AD5" i="71"/>
  <c r="Q5" i="71"/>
  <c r="P5" i="71"/>
  <c r="O5" i="71"/>
  <c r="N5" i="71"/>
  <c r="V7" i="71" l="1"/>
  <c r="U7" i="71"/>
  <c r="T7" i="71"/>
  <c r="S7" i="71"/>
  <c r="AH6" i="71" l="1"/>
  <c r="AG6" i="71"/>
  <c r="AE6" i="71"/>
  <c r="AF6" i="71" s="1"/>
  <c r="AD6" i="71"/>
  <c r="Q6" i="71"/>
  <c r="AB5" i="71" s="1"/>
  <c r="P6" i="71"/>
  <c r="AA5" i="71" s="1"/>
  <c r="O6" i="71"/>
  <c r="Y5" i="71" s="1"/>
  <c r="Z5" i="71" s="1"/>
  <c r="N6" i="71"/>
  <c r="X5" i="71" s="1"/>
  <c r="AB9" i="71" l="1"/>
  <c r="Q8" i="71"/>
  <c r="AB8" i="71"/>
  <c r="P8" i="71"/>
  <c r="AA8" i="71"/>
  <c r="O8" i="71"/>
  <c r="Y8" i="71"/>
  <c r="Z8" i="71" s="1"/>
  <c r="N8" i="71"/>
  <c r="X8" i="71"/>
  <c r="AH7" i="71"/>
  <c r="AG7" i="71"/>
  <c r="AE7" i="71"/>
  <c r="AF7" i="71"/>
  <c r="AD7" i="71"/>
  <c r="Q7" i="71"/>
  <c r="AB6" i="71" s="1"/>
  <c r="P7" i="71"/>
  <c r="AA6" i="71" s="1"/>
  <c r="O7" i="71"/>
  <c r="N7" i="71"/>
  <c r="X6" i="71" s="1"/>
  <c r="F8" i="71"/>
  <c r="E8" i="71"/>
  <c r="E7" i="71"/>
  <c r="E6" i="71" s="1"/>
  <c r="E5" i="71" s="1"/>
  <c r="C8" i="71"/>
  <c r="C7" i="71"/>
  <c r="C6" i="71" s="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s="1"/>
  <c r="K3" i="71"/>
  <c r="AG3" i="71" s="1"/>
  <c r="J3" i="71"/>
  <c r="AE3" i="71" s="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7" i="71"/>
  <c r="P17" i="71"/>
  <c r="O17" i="71"/>
  <c r="N1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D22"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c r="C65" i="39" s="1"/>
  <c r="H64" i="39"/>
  <c r="I64" i="39"/>
  <c r="C64" i="39"/>
  <c r="H60" i="39"/>
  <c r="I60" i="39"/>
  <c r="C60" i="39"/>
  <c r="H59" i="39"/>
  <c r="I59" i="39"/>
  <c r="C59" i="39"/>
  <c r="H58" i="39"/>
  <c r="I58" i="39"/>
  <c r="C58" i="39"/>
  <c r="H57" i="39"/>
  <c r="I57" i="39"/>
  <c r="C57" i="39"/>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c r="C7" i="37"/>
  <c r="C7" i="34"/>
  <c r="C7" i="36"/>
  <c r="W35" i="40"/>
  <c r="A118" i="9"/>
  <c r="A4" i="52"/>
  <c r="B41" i="72"/>
  <c r="J11" i="39"/>
  <c r="W11" i="39"/>
  <c r="F11" i="39"/>
  <c r="AA11" i="39"/>
  <c r="S11" i="39"/>
  <c r="G4" i="4"/>
  <c r="I4" i="4"/>
  <c r="K5" i="4" s="1"/>
  <c r="B47" i="48" s="1"/>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F31" i="6" s="1"/>
  <c r="G509" i="3"/>
  <c r="BL493" i="3"/>
  <c r="AZ491" i="3"/>
  <c r="AZ376" i="3"/>
  <c r="AZ390" i="3"/>
  <c r="AZ382" i="3"/>
  <c r="AZ493" i="3"/>
  <c r="U36" i="40"/>
  <c r="F36" i="43"/>
  <c r="F81" i="43"/>
  <c r="H83" i="43" s="1"/>
  <c r="H113" i="43"/>
  <c r="F48" i="43"/>
  <c r="H52" i="43" s="1"/>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E12" i="6"/>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13" i="12" s="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F34" i="67"/>
  <c r="F62" i="67" s="1"/>
  <c r="M20" i="67"/>
  <c r="F34" i="15"/>
  <c r="F62" i="15" s="1"/>
  <c r="G13" i="3"/>
  <c r="G5" i="3" s="1"/>
  <c r="B3" i="3" s="1"/>
  <c r="E237" i="3" s="1"/>
  <c r="BA13" i="3"/>
  <c r="E10" i="6"/>
  <c r="E16" i="6" s="1"/>
  <c r="BA5" i="3"/>
  <c r="E27" i="6"/>
  <c r="K20" i="6" s="1"/>
  <c r="E11" i="6"/>
  <c r="E61" i="39"/>
  <c r="BL17" i="3"/>
  <c r="AZ17" i="3"/>
  <c r="BL13" i="3"/>
  <c r="E65" i="39"/>
  <c r="G30" i="6"/>
  <c r="G31" i="6"/>
  <c r="J56" i="9"/>
  <c r="J57" i="9" s="1"/>
  <c r="J59" i="9" s="1"/>
  <c r="J61" i="9" s="1"/>
  <c r="A24" i="51"/>
  <c r="B18" i="72"/>
  <c r="U29" i="34"/>
  <c r="E14" i="6"/>
  <c r="E64" i="39"/>
  <c r="E5" i="6"/>
  <c r="D9" i="11"/>
  <c r="C9" i="11" s="1"/>
  <c r="P10" i="1"/>
  <c r="H22" i="43"/>
  <c r="D101" i="43"/>
  <c r="D109" i="43" s="1"/>
  <c r="M101" i="43"/>
  <c r="M104" i="43" s="1"/>
  <c r="I101" i="43"/>
  <c r="E101" i="43"/>
  <c r="E107" i="43" s="1"/>
  <c r="E32" i="6"/>
  <c r="L19" i="6"/>
  <c r="G1" i="68"/>
  <c r="K1" i="12"/>
  <c r="F30" i="6"/>
  <c r="E28" i="6"/>
  <c r="E57" i="40"/>
  <c r="E56" i="40"/>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c r="C7" i="39"/>
  <c r="C68" i="39"/>
  <c r="C7" i="35"/>
  <c r="C7" i="33"/>
  <c r="C58" i="33" s="1"/>
  <c r="C7" i="21"/>
  <c r="C58" i="21" s="1"/>
  <c r="C7" i="40"/>
  <c r="C63" i="40" s="1"/>
  <c r="M47" i="9"/>
  <c r="G19" i="43"/>
  <c r="O19" i="43"/>
  <c r="C46" i="36"/>
  <c r="D46" i="36" s="1"/>
  <c r="C59" i="34"/>
  <c r="D59" i="34" s="1"/>
  <c r="E59" i="34" s="1"/>
  <c r="F59" i="34" s="1"/>
  <c r="G59" i="34" s="1"/>
  <c r="H59" i="34" s="1"/>
  <c r="C52" i="37"/>
  <c r="D52" i="37" s="1"/>
  <c r="A4" i="51"/>
  <c r="B6" i="72"/>
  <c r="C48" i="35"/>
  <c r="D48" i="35" s="1"/>
  <c r="C4" i="12"/>
  <c r="H55" i="43"/>
  <c r="H56" i="43"/>
  <c r="H72" i="43"/>
  <c r="L20" i="6"/>
  <c r="E62" i="39"/>
  <c r="E56" i="39"/>
  <c r="E51" i="40"/>
  <c r="B6" i="1"/>
  <c r="E6" i="1" s="1"/>
  <c r="S8" i="1"/>
  <c r="AQ8" i="1" s="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AZ5" i="3" s="1"/>
  <c r="M6" i="1"/>
  <c r="O6" i="1" s="1"/>
  <c r="P6" i="1" s="1"/>
  <c r="E63" i="39"/>
  <c r="T11" i="1"/>
  <c r="D9" i="69"/>
  <c r="C9" i="69" s="1"/>
  <c r="D19" i="12"/>
  <c r="C19" i="12" s="1"/>
  <c r="AQ9" i="1"/>
  <c r="AR11" i="1"/>
  <c r="E59" i="40"/>
  <c r="E30" i="6"/>
  <c r="K15" i="1"/>
  <c r="T9" i="1"/>
  <c r="T13" i="1"/>
  <c r="E69" i="3"/>
  <c r="E114" i="3"/>
  <c r="E278" i="3"/>
  <c r="E415" i="3"/>
  <c r="E563" i="3"/>
  <c r="E395" i="3"/>
  <c r="E172" i="3"/>
  <c r="E260" i="3"/>
  <c r="E445" i="3"/>
  <c r="E550" i="3"/>
  <c r="E535" i="3"/>
  <c r="D9" i="68"/>
  <c r="C9" i="68" s="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E329" i="3"/>
  <c r="E347" i="3"/>
  <c r="E539" i="3"/>
  <c r="E583" i="3"/>
  <c r="E545" i="3"/>
  <c r="AA6" i="3"/>
  <c r="E567" i="3"/>
  <c r="X6" i="3"/>
  <c r="E510" i="3"/>
  <c r="E399" i="3"/>
  <c r="E461" i="3"/>
  <c r="E336" i="3"/>
  <c r="E352" i="3"/>
  <c r="E280" i="3"/>
  <c r="E227" i="3"/>
  <c r="E246" i="3"/>
  <c r="E205" i="3"/>
  <c r="E124" i="3"/>
  <c r="E165" i="3"/>
  <c r="E293" i="3"/>
  <c r="E128" i="3"/>
  <c r="K24" i="6"/>
  <c r="M24" i="6" s="1"/>
  <c r="I24" i="6" s="1"/>
  <c r="S24" i="6" s="1"/>
  <c r="K14" i="1"/>
  <c r="M14" i="1" s="1"/>
  <c r="BL5"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148" i="3"/>
  <c r="E91" i="3"/>
  <c r="E228" i="3"/>
  <c r="E290" i="3"/>
  <c r="E269" i="3"/>
  <c r="E221" i="3"/>
  <c r="E181" i="3"/>
  <c r="E161" i="3"/>
  <c r="E122" i="3"/>
  <c r="E180" i="3"/>
  <c r="E157" i="3"/>
  <c r="E117" i="3"/>
  <c r="E89" i="3"/>
  <c r="K22" i="6"/>
  <c r="M22" i="6" s="1"/>
  <c r="I22" i="6" s="1"/>
  <c r="E104" i="43"/>
  <c r="E105" i="43"/>
  <c r="M107" i="43"/>
  <c r="K19" i="6"/>
  <c r="S6" i="1" s="1"/>
  <c r="AQ6" i="1" s="1"/>
  <c r="K25" i="6"/>
  <c r="M25" i="6" s="1"/>
  <c r="I25" i="6" s="1"/>
  <c r="S25" i="6" s="1"/>
  <c r="K23" i="6"/>
  <c r="M23" i="6" s="1"/>
  <c r="I23" i="6" s="1"/>
  <c r="S23" i="6" s="1"/>
  <c r="E109" i="43"/>
  <c r="I102" i="43"/>
  <c r="I106" i="43"/>
  <c r="I107" i="43"/>
  <c r="I103" i="43"/>
  <c r="I105" i="43"/>
  <c r="D103" i="43"/>
  <c r="D105" i="43"/>
  <c r="D104" i="43"/>
  <c r="D106" i="43"/>
  <c r="D107" i="43"/>
  <c r="D102"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C17" i="4" s="1"/>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L27" i="6"/>
  <c r="AP7" i="1"/>
  <c r="K16" i="1"/>
  <c r="AB45" i="21"/>
  <c r="AC33" i="21"/>
  <c r="W33" i="21"/>
  <c r="S33" i="21"/>
  <c r="AA33" i="21"/>
  <c r="W32" i="21"/>
  <c r="AC32" i="21"/>
  <c r="AB9" i="21"/>
  <c r="U9" i="21"/>
  <c r="AA32" i="21"/>
  <c r="S32" i="21"/>
  <c r="W9" i="21"/>
  <c r="AC9" i="21"/>
  <c r="AB32" i="21"/>
  <c r="U32" i="21"/>
  <c r="AA10" i="21"/>
  <c r="S10" i="21"/>
  <c r="E6" i="70"/>
  <c r="D3"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19" i="11"/>
  <c r="D3" i="37"/>
  <c r="AC11" i="37"/>
  <c r="W11" i="37"/>
  <c r="W11" i="34"/>
  <c r="AC11" i="34"/>
  <c r="R7" i="1"/>
  <c r="F34" i="11"/>
  <c r="F11" i="12"/>
  <c r="C23" i="12" s="1"/>
  <c r="F34" i="68"/>
  <c r="R8" i="1"/>
  <c r="C34" i="69"/>
  <c r="C35" i="69" s="1"/>
  <c r="AE7" i="1"/>
  <c r="AE8"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C36" i="11"/>
  <c r="C77" i="9"/>
  <c r="C74" i="9" s="1"/>
  <c r="H77" i="43"/>
  <c r="H76" i="43"/>
  <c r="H51" i="43"/>
  <c r="M4" i="43"/>
  <c r="M5" i="43"/>
  <c r="N12" i="43"/>
  <c r="N11" i="43"/>
  <c r="M10" i="43"/>
  <c r="M2" i="43"/>
  <c r="M7" i="43"/>
  <c r="H70" i="43"/>
  <c r="H54" i="43"/>
  <c r="N9" i="43"/>
  <c r="M8" i="43"/>
  <c r="N10" i="43"/>
  <c r="H48" i="43"/>
  <c r="H74" i="43"/>
  <c r="M6" i="43"/>
  <c r="N7" i="43"/>
  <c r="N4" i="43"/>
  <c r="N2" i="43"/>
  <c r="F59" i="43" s="1"/>
  <c r="H49" i="43"/>
  <c r="N17" i="43"/>
  <c r="L17" i="43"/>
  <c r="O17" i="43"/>
  <c r="M17" i="43"/>
  <c r="E17" i="43"/>
  <c r="C70" i="39"/>
  <c r="D68" i="39"/>
  <c r="E46" i="36"/>
  <c r="F46" i="36" s="1"/>
  <c r="G46" i="36"/>
  <c r="H46" i="36" s="1"/>
  <c r="I46" i="36" s="1"/>
  <c r="J46" i="36" s="1"/>
  <c r="K46" i="36" s="1"/>
  <c r="L46" i="36" s="1"/>
  <c r="M46" i="36" s="1"/>
  <c r="N46" i="36" s="1"/>
  <c r="O46" i="36" s="1"/>
  <c r="C24" i="12"/>
  <c r="C13" i="71"/>
  <c r="D13" i="71"/>
  <c r="D14" i="71"/>
  <c r="D15" i="71"/>
  <c r="U15" i="71"/>
  <c r="S15" i="71"/>
  <c r="T15" i="71"/>
  <c r="AB13" i="71"/>
  <c r="X11" i="71"/>
  <c r="X10" i="71"/>
  <c r="AA11" i="71"/>
  <c r="AA10" i="71"/>
  <c r="X14" i="71"/>
  <c r="Z9" i="71"/>
  <c r="Y10" i="71"/>
  <c r="Z10" i="71" s="1"/>
  <c r="AB11" i="71"/>
  <c r="AB10" i="71"/>
  <c r="S11" i="71"/>
  <c r="F12" i="71"/>
  <c r="F11" i="71"/>
  <c r="Y11" i="71"/>
  <c r="Z11" i="71" s="1"/>
  <c r="X3" i="71"/>
  <c r="C12" i="71"/>
  <c r="E12" i="71"/>
  <c r="E11" i="71"/>
  <c r="D70" i="39"/>
  <c r="E68" i="39"/>
  <c r="V11" i="71"/>
  <c r="C11" i="71"/>
  <c r="D12" i="71"/>
  <c r="F68" i="39"/>
  <c r="E70" i="39"/>
  <c r="I59" i="34"/>
  <c r="J59" i="34"/>
  <c r="K59" i="34" s="1"/>
  <c r="D9" i="71"/>
  <c r="T11" i="71"/>
  <c r="D10" i="71"/>
  <c r="D11" i="71"/>
  <c r="G68" i="39"/>
  <c r="F70" i="39"/>
  <c r="C19" i="43"/>
  <c r="U11" i="71"/>
  <c r="H68" i="39"/>
  <c r="G70" i="39"/>
  <c r="I68" i="39"/>
  <c r="I70" i="39" s="1"/>
  <c r="H70" i="39"/>
  <c r="J68" i="39"/>
  <c r="J70" i="39" s="1"/>
  <c r="K68" i="39"/>
  <c r="K70" i="39" s="1"/>
  <c r="L68" i="39"/>
  <c r="L70" i="39" s="1"/>
  <c r="M68" i="39"/>
  <c r="M70" i="39" s="1"/>
  <c r="N68" i="39"/>
  <c r="D2" i="34"/>
  <c r="E7" i="76"/>
  <c r="F26" i="15"/>
  <c r="AO12" i="1"/>
  <c r="F37" i="15"/>
  <c r="F42" i="15"/>
  <c r="D6" i="73"/>
  <c r="L47" i="67"/>
  <c r="M22" i="67"/>
  <c r="F8" i="67"/>
  <c r="F20" i="31"/>
  <c r="F6" i="73"/>
  <c r="B10" i="76"/>
  <c r="C76" i="15"/>
  <c r="F16" i="67"/>
  <c r="F4" i="73"/>
  <c r="M29" i="15"/>
  <c r="F40" i="67"/>
  <c r="M9" i="15"/>
  <c r="F5" i="73"/>
  <c r="E2" i="69"/>
  <c r="D3" i="73"/>
  <c r="M8" i="67"/>
  <c r="AO9" i="1"/>
  <c r="AO7" i="1"/>
  <c r="L48" i="15"/>
  <c r="F35" i="67"/>
  <c r="AO10" i="1"/>
  <c r="M26" i="67"/>
  <c r="F13" i="15"/>
  <c r="E9" i="76"/>
  <c r="M8" i="15"/>
  <c r="F9" i="15"/>
  <c r="F7" i="73"/>
  <c r="M28" i="67"/>
  <c r="C76" i="67"/>
  <c r="D2" i="21"/>
  <c r="F6" i="67"/>
  <c r="F38" i="67"/>
  <c r="E11" i="76"/>
  <c r="M28" i="15"/>
  <c r="M6" i="67"/>
  <c r="M24" i="67"/>
  <c r="M9" i="67"/>
  <c r="F7" i="67"/>
  <c r="B13" i="76"/>
  <c r="B12" i="76"/>
  <c r="M21" i="67"/>
  <c r="F6" i="15"/>
  <c r="F38" i="15"/>
  <c r="F40" i="15"/>
  <c r="D2" i="33"/>
  <c r="B11" i="76"/>
  <c r="F42" i="67"/>
  <c r="F7" i="15"/>
  <c r="M27" i="15"/>
  <c r="F13" i="67"/>
  <c r="M22" i="15"/>
  <c r="B8" i="76"/>
  <c r="F8" i="15"/>
  <c r="F43" i="67"/>
  <c r="F9" i="67"/>
  <c r="D2" i="35"/>
  <c r="L48" i="67"/>
  <c r="D7" i="73"/>
  <c r="F37" i="67"/>
  <c r="F36" i="15"/>
  <c r="E13" i="76"/>
  <c r="F3" i="73"/>
  <c r="D4" i="73"/>
  <c r="B9" i="76"/>
  <c r="F36" i="67"/>
  <c r="M23" i="15"/>
  <c r="E12" i="76"/>
  <c r="D2" i="36"/>
  <c r="F16" i="15"/>
  <c r="E8" i="76"/>
  <c r="AO13" i="1"/>
  <c r="F43" i="15"/>
  <c r="E10" i="76"/>
  <c r="M27" i="67"/>
  <c r="L47" i="15"/>
  <c r="J15" i="67"/>
  <c r="F26" i="67"/>
  <c r="AO11" i="1"/>
  <c r="M6" i="15"/>
  <c r="M24" i="15"/>
  <c r="M26" i="15"/>
  <c r="B7" i="76"/>
  <c r="D2" i="37"/>
  <c r="E2" i="68"/>
  <c r="J15" i="15"/>
  <c r="M23" i="67"/>
  <c r="F41" i="67"/>
  <c r="M29" i="67"/>
  <c r="AO8" i="1"/>
  <c r="D5" i="73"/>
  <c r="C18" i="9" l="1"/>
  <c r="D18" i="9" s="1"/>
  <c r="P61" i="15"/>
  <c r="H62" i="43"/>
  <c r="H65" i="43"/>
  <c r="H63" i="43"/>
  <c r="H67" i="43"/>
  <c r="H60" i="43"/>
  <c r="H66" i="43"/>
  <c r="H64" i="43"/>
  <c r="H59" i="43"/>
  <c r="H61" i="43"/>
  <c r="G17" i="43"/>
  <c r="C16" i="43" s="1"/>
  <c r="D5" i="43" s="1"/>
  <c r="D23" i="67"/>
  <c r="F28" i="15"/>
  <c r="C28" i="15" s="1"/>
  <c r="F31" i="12"/>
  <c r="F54" i="9"/>
  <c r="M18" i="67"/>
  <c r="F30" i="68"/>
  <c r="C30" i="68" s="1"/>
  <c r="C94" i="9"/>
  <c r="C92" i="9"/>
  <c r="D68" i="9"/>
  <c r="M18" i="15"/>
  <c r="F32" i="15"/>
  <c r="F60" i="15" s="1"/>
  <c r="F30" i="69"/>
  <c r="F32" i="67"/>
  <c r="F60" i="67" s="1"/>
  <c r="F52" i="9"/>
  <c r="F28" i="67"/>
  <c r="C28" i="67" s="1"/>
  <c r="F30" i="11"/>
  <c r="F53" i="9"/>
  <c r="C5" i="11"/>
  <c r="C31" i="12"/>
  <c r="C21" i="69"/>
  <c r="C19" i="11"/>
  <c r="C20" i="11" s="1"/>
  <c r="T8" i="1"/>
  <c r="AR8" i="1"/>
  <c r="E2" i="70"/>
  <c r="C36" i="69"/>
  <c r="T6" i="1"/>
  <c r="AR6" i="1"/>
  <c r="M20" i="6"/>
  <c r="I20" i="6" s="1"/>
  <c r="E302" i="3"/>
  <c r="E503" i="3"/>
  <c r="E17" i="3"/>
  <c r="E361" i="3"/>
  <c r="E213" i="3"/>
  <c r="E183" i="3"/>
  <c r="E565" i="3"/>
  <c r="E528" i="3"/>
  <c r="E304" i="3"/>
  <c r="E261"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66" i="39"/>
  <c r="AY6" i="3"/>
  <c r="S22" i="6"/>
  <c r="O7" i="1"/>
  <c r="P7" i="1" s="1"/>
  <c r="S20" i="6"/>
  <c r="AR7" i="1"/>
  <c r="S16" i="1"/>
  <c r="M16" i="1"/>
  <c r="C34" i="68" s="1"/>
  <c r="T7" i="1"/>
  <c r="Q16" i="1"/>
  <c r="M105" i="43"/>
  <c r="K26" i="6"/>
  <c r="M26" i="6" s="1"/>
  <c r="I26" i="6" s="1"/>
  <c r="K21" i="6"/>
  <c r="M21" i="6" s="1"/>
  <c r="I21" i="6" s="1"/>
  <c r="E31" i="6"/>
  <c r="B4" i="52"/>
  <c r="B43" i="72" s="1"/>
  <c r="S26" i="6"/>
  <c r="L18" i="9"/>
  <c r="O11" i="1"/>
  <c r="P11" i="1" s="1"/>
  <c r="O9" i="1"/>
  <c r="P9" i="1" s="1"/>
  <c r="D3" i="34"/>
  <c r="D3" i="33"/>
  <c r="E6" i="6"/>
  <c r="D37" i="11"/>
  <c r="C37" i="11" s="1"/>
  <c r="D14" i="12"/>
  <c r="D17" i="12" s="1"/>
  <c r="C17" i="12" s="1"/>
  <c r="M18" i="9"/>
  <c r="B118" i="9" s="1"/>
  <c r="B14" i="74" s="1"/>
  <c r="B1" i="74" s="1"/>
  <c r="C8" i="74" s="1"/>
  <c r="M19" i="6"/>
  <c r="K27" i="6"/>
  <c r="O14" i="1"/>
  <c r="P14" i="1" s="1"/>
  <c r="AY103" i="3"/>
  <c r="AY67" i="3"/>
  <c r="AY50" i="3"/>
  <c r="AY196" i="3"/>
  <c r="AY160" i="3"/>
  <c r="AY139" i="3"/>
  <c r="AY289" i="3"/>
  <c r="AY74" i="3"/>
  <c r="AY183" i="3"/>
  <c r="AY123" i="3"/>
  <c r="AY261" i="3"/>
  <c r="AY204" i="3"/>
  <c r="AY284" i="3"/>
  <c r="AY252" i="3"/>
  <c r="AY209" i="3"/>
  <c r="AY363" i="3"/>
  <c r="AY319" i="3"/>
  <c r="AY489" i="3"/>
  <c r="AY455" i="3"/>
  <c r="AY412" i="3"/>
  <c r="AY497" i="3"/>
  <c r="AY43" i="3"/>
  <c r="AY116" i="3"/>
  <c r="O12" i="1"/>
  <c r="P12" i="1" s="1"/>
  <c r="O8" i="1"/>
  <c r="E102" i="43"/>
  <c r="E106" i="43"/>
  <c r="E103" i="43"/>
  <c r="M109" i="43"/>
  <c r="M102" i="43"/>
  <c r="M106" i="43"/>
  <c r="M103" i="43"/>
  <c r="B113" i="43"/>
  <c r="G101" i="43"/>
  <c r="C101" i="43"/>
  <c r="J101" i="43"/>
  <c r="N104" i="46"/>
  <c r="L101" i="43"/>
  <c r="H101" i="43"/>
  <c r="G22" i="43"/>
  <c r="J22" i="43"/>
  <c r="F22" i="43"/>
  <c r="K101" i="43"/>
  <c r="F101" i="43"/>
  <c r="N101" i="43"/>
  <c r="E22" i="43"/>
  <c r="D22" i="43" s="1"/>
  <c r="I109" i="43"/>
  <c r="I104" i="43"/>
  <c r="H75" i="43"/>
  <c r="T35" i="4"/>
  <c r="A19" i="51" s="1"/>
  <c r="B14" i="72" s="1"/>
  <c r="A15" i="62"/>
  <c r="B61" i="72" s="1"/>
  <c r="D12" i="52"/>
  <c r="D127" i="9"/>
  <c r="D13" i="52" s="1"/>
  <c r="O68" i="39"/>
  <c r="O70" i="39" s="1"/>
  <c r="N70" i="39"/>
  <c r="L59" i="34"/>
  <c r="M59" i="34" s="1"/>
  <c r="N59" i="34" s="1"/>
  <c r="O59" i="34" s="1"/>
  <c r="H7" i="34"/>
  <c r="E52" i="37"/>
  <c r="J7" i="36"/>
  <c r="F7" i="36"/>
  <c r="D58" i="21"/>
  <c r="F7" i="34"/>
  <c r="H7" i="36"/>
  <c r="E48" i="35"/>
  <c r="C65" i="40"/>
  <c r="D63" i="40"/>
  <c r="D58" i="33"/>
  <c r="E58" i="33" s="1"/>
  <c r="F58" i="33" s="1"/>
  <c r="G58" i="33" s="1"/>
  <c r="H58" i="33" s="1"/>
  <c r="I58" i="33" s="1"/>
  <c r="J58" i="33" s="1"/>
  <c r="K58" i="33" s="1"/>
  <c r="L58" i="33" s="1"/>
  <c r="M58" i="33" s="1"/>
  <c r="N58" i="33" s="1"/>
  <c r="O58" i="33" s="1"/>
  <c r="J7" i="33"/>
  <c r="F7" i="33"/>
  <c r="H7" i="33"/>
  <c r="F31" i="67"/>
  <c r="F31" i="15"/>
  <c r="K4" i="4"/>
  <c r="B46" i="48" s="1"/>
  <c r="B4" i="72" s="1"/>
  <c r="B4" i="62"/>
  <c r="B71" i="72" s="1"/>
  <c r="D9" i="53"/>
  <c r="B25" i="72" s="1"/>
  <c r="B24" i="72"/>
  <c r="K120" i="9"/>
  <c r="A18" i="62" s="1"/>
  <c r="B64" i="72" s="1"/>
  <c r="D6" i="71"/>
  <c r="C5" i="71"/>
  <c r="D5" i="71" s="1"/>
  <c r="Y7" i="71"/>
  <c r="Z7" i="71" s="1"/>
  <c r="Y6" i="71"/>
  <c r="AA7" i="71"/>
  <c r="AB3" i="71"/>
  <c r="B7" i="71"/>
  <c r="B6" i="71" s="1"/>
  <c r="B5" i="71" s="1"/>
  <c r="X7" i="71"/>
  <c r="AB7" i="71"/>
  <c r="Z6" i="71"/>
  <c r="Y3" i="71"/>
  <c r="Z3" i="71" s="1"/>
  <c r="D7" i="71"/>
  <c r="F7" i="71"/>
  <c r="F6" i="71" s="1"/>
  <c r="F5" i="71" s="1"/>
  <c r="AF3" i="71"/>
  <c r="P22" i="43" s="1"/>
  <c r="C38" i="69"/>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59" i="67" s="1"/>
  <c r="F63" i="67"/>
  <c r="C62" i="67" s="1"/>
  <c r="C34" i="67"/>
  <c r="F68" i="67"/>
  <c r="F64" i="67"/>
  <c r="F68" i="15"/>
  <c r="C14" i="15"/>
  <c r="C16" i="15"/>
  <c r="C17" i="15"/>
  <c r="C14" i="67"/>
  <c r="C17" i="67"/>
  <c r="C16" i="67"/>
  <c r="G1" i="73"/>
  <c r="C5" i="43" l="1"/>
  <c r="F48" i="68"/>
  <c r="C48" i="68"/>
  <c r="C14" i="12"/>
  <c r="C48" i="11"/>
  <c r="C30" i="11"/>
  <c r="F48" i="69"/>
  <c r="C48" i="69"/>
  <c r="C30" i="69"/>
  <c r="C35" i="68"/>
  <c r="C38" i="68"/>
  <c r="C18" i="15"/>
  <c r="C15" i="15"/>
  <c r="T16" i="1"/>
  <c r="AY83" i="3"/>
  <c r="AY66" i="3"/>
  <c r="AY23" i="3"/>
  <c r="AY176" i="3"/>
  <c r="AY155" i="3"/>
  <c r="AY115" i="3"/>
  <c r="AY59" i="3"/>
  <c r="AY188" i="3"/>
  <c r="AY131" i="3"/>
  <c r="AY276" i="3"/>
  <c r="AY58" i="3"/>
  <c r="AY297" i="3"/>
  <c r="AY268" i="3"/>
  <c r="AY225" i="3"/>
  <c r="AY371" i="3"/>
  <c r="AY335" i="3"/>
  <c r="AY318" i="3"/>
  <c r="AY470" i="3"/>
  <c r="AY428" i="3"/>
  <c r="AY409" i="3"/>
  <c r="AY106" i="3"/>
  <c r="AY18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87" i="3"/>
  <c r="AY34" i="3"/>
  <c r="AY144" i="3"/>
  <c r="AY95" i="3"/>
  <c r="AY152" i="3"/>
  <c r="AY111" i="3"/>
  <c r="AY253" i="3"/>
  <c r="AY382" i="3"/>
  <c r="AY303" i="3"/>
  <c r="AY460" i="3"/>
  <c r="AY529" i="3"/>
  <c r="AY300"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34" i="3"/>
  <c r="AY223" i="3"/>
  <c r="AY207" i="3"/>
  <c r="AY42" i="3"/>
  <c r="AY168" i="3"/>
  <c r="AY366" i="3"/>
  <c r="AY441"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218"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1" i="3"/>
  <c r="AY124" i="3"/>
  <c r="AY281" i="3"/>
  <c r="AY236" i="3"/>
  <c r="AY473" i="3"/>
  <c r="AY2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74" i="3"/>
  <c r="AY113" i="3"/>
  <c r="AY250"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C6" i="3"/>
  <c r="C7" i="74"/>
  <c r="O16" i="1"/>
  <c r="AY269" i="3"/>
  <c r="AY199" i="3"/>
  <c r="AY526" i="3"/>
  <c r="AY425" i="3"/>
  <c r="AY444" i="3"/>
  <c r="AY486" i="3"/>
  <c r="AY334" i="3"/>
  <c r="AY350" i="3"/>
  <c r="AY387" i="3"/>
  <c r="AY220" i="3"/>
  <c r="AY237" i="3"/>
  <c r="AY147" i="3"/>
  <c r="AY75" i="3"/>
  <c r="AY292" i="3"/>
  <c r="AY163" i="3"/>
  <c r="AY31" i="3"/>
  <c r="AY90" i="3"/>
  <c r="AY132" i="3"/>
  <c r="AY171" i="3"/>
  <c r="AY191" i="3"/>
  <c r="AY18" i="3"/>
  <c r="AY82" i="3"/>
  <c r="AY98" i="3"/>
  <c r="E6" i="3"/>
  <c r="S21" i="6"/>
  <c r="H21" i="6"/>
  <c r="C34" i="11"/>
  <c r="L16" i="1"/>
  <c r="N16" i="1"/>
  <c r="F27" i="68"/>
  <c r="F27" i="11"/>
  <c r="F27" i="69"/>
  <c r="F28" i="12"/>
  <c r="C29" i="12" s="1"/>
  <c r="D28" i="12" s="1"/>
  <c r="P8" i="1"/>
  <c r="P16" i="1" s="1"/>
  <c r="C11" i="12" s="1"/>
  <c r="M27" i="6"/>
  <c r="I19" i="6"/>
  <c r="D10" i="68"/>
  <c r="D10" i="11"/>
  <c r="C10" i="11" s="1"/>
  <c r="D20" i="12"/>
  <c r="C20" i="12" s="1"/>
  <c r="D10" i="69"/>
  <c r="D6" i="6"/>
  <c r="C107" i="43"/>
  <c r="C103" i="43"/>
  <c r="C104" i="43"/>
  <c r="C109"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8" i="43"/>
  <c r="E118" i="43" s="1"/>
  <c r="F118" i="43" s="1"/>
  <c r="D117" i="43"/>
  <c r="E117" i="43" s="1"/>
  <c r="F117" i="43" s="1"/>
  <c r="G117" i="43" s="1"/>
  <c r="H117" i="43" s="1"/>
  <c r="I118" i="43"/>
  <c r="J118" i="43" s="1"/>
  <c r="K118" i="43" s="1"/>
  <c r="L118" i="43" s="1"/>
  <c r="M118" i="43" s="1"/>
  <c r="D115" i="43"/>
  <c r="E115" i="43" s="1"/>
  <c r="F115" i="43" s="1"/>
  <c r="G115" i="43" s="1"/>
  <c r="H115" i="43" s="1"/>
  <c r="N102" i="43"/>
  <c r="N105" i="43"/>
  <c r="N104" i="43"/>
  <c r="N109" i="43"/>
  <c r="N103" i="43"/>
  <c r="N107" i="43"/>
  <c r="N106" i="43"/>
  <c r="K103" i="43"/>
  <c r="K102" i="43"/>
  <c r="K105" i="43"/>
  <c r="K109" i="43"/>
  <c r="K107" i="43"/>
  <c r="K106" i="43"/>
  <c r="K104" i="43"/>
  <c r="H102" i="43"/>
  <c r="H103" i="43"/>
  <c r="H104" i="43"/>
  <c r="H109" i="43"/>
  <c r="H107" i="43"/>
  <c r="H105" i="43"/>
  <c r="H106" i="43"/>
  <c r="F104" i="43"/>
  <c r="F102" i="43"/>
  <c r="F105" i="43"/>
  <c r="F109" i="43"/>
  <c r="F106" i="43"/>
  <c r="F103" i="43"/>
  <c r="F107" i="43"/>
  <c r="L102" i="43"/>
  <c r="L105" i="43"/>
  <c r="L104" i="43"/>
  <c r="L109" i="43"/>
  <c r="L106" i="43"/>
  <c r="L107" i="43"/>
  <c r="L103" i="43"/>
  <c r="J107" i="43"/>
  <c r="J102" i="43"/>
  <c r="J109" i="43"/>
  <c r="J104" i="43"/>
  <c r="J103" i="43"/>
  <c r="J105" i="43"/>
  <c r="J106" i="43"/>
  <c r="G107" i="43"/>
  <c r="G104" i="43"/>
  <c r="G106" i="43"/>
  <c r="G105" i="43"/>
  <c r="G102" i="43"/>
  <c r="G103" i="43"/>
  <c r="G109" i="43"/>
  <c r="W7" i="33"/>
  <c r="AC7" i="33"/>
  <c r="V48" i="33" s="1"/>
  <c r="I48" i="33" s="1"/>
  <c r="D65" i="40"/>
  <c r="E63" i="40"/>
  <c r="AB7" i="36"/>
  <c r="T36" i="36" s="1"/>
  <c r="G36" i="36" s="1"/>
  <c r="U7" i="36"/>
  <c r="S7" i="36"/>
  <c r="AA7" i="36"/>
  <c r="R36" i="36" s="1"/>
  <c r="AB7" i="34"/>
  <c r="T49" i="34" s="1"/>
  <c r="G49" i="34" s="1"/>
  <c r="U7" i="34"/>
  <c r="AB7" i="33"/>
  <c r="T48" i="33" s="1"/>
  <c r="G48" i="33" s="1"/>
  <c r="U7" i="33"/>
  <c r="S7" i="33"/>
  <c r="AA7" i="33"/>
  <c r="R48" i="33" s="1"/>
  <c r="F48" i="35"/>
  <c r="AA7" i="34"/>
  <c r="R49" i="34" s="1"/>
  <c r="S7" i="34"/>
  <c r="E58" i="21"/>
  <c r="AC7" i="36"/>
  <c r="V36" i="36" s="1"/>
  <c r="I36" i="36" s="1"/>
  <c r="W7" i="36"/>
  <c r="F52" i="37"/>
  <c r="J7" i="34"/>
  <c r="J7" i="39"/>
  <c r="H7" i="39"/>
  <c r="F7" i="39"/>
  <c r="M17" i="67"/>
  <c r="M17" i="15"/>
  <c r="F59" i="15"/>
  <c r="P24" i="43"/>
  <c r="B66" i="40" s="1"/>
  <c r="P21" i="43"/>
  <c r="C49" i="67"/>
  <c r="P25" i="43"/>
  <c r="P23" i="43"/>
  <c r="B71" i="39" s="1"/>
  <c r="M20" i="43"/>
  <c r="C49" i="15"/>
  <c r="C15" i="67"/>
  <c r="C18" i="67"/>
  <c r="B40" i="1"/>
  <c r="J18" i="15"/>
  <c r="C32" i="67"/>
  <c r="Q60" i="67"/>
  <c r="Q73" i="67"/>
  <c r="M28" i="43"/>
  <c r="N28" i="43"/>
  <c r="G20" i="43" s="1"/>
  <c r="O28" i="43"/>
  <c r="P28" i="43"/>
  <c r="M11" i="67"/>
  <c r="J10" i="67" s="1"/>
  <c r="J5" i="67" s="1"/>
  <c r="F11" i="15"/>
  <c r="M11" i="15"/>
  <c r="J10" i="15" s="1"/>
  <c r="J5" i="15" s="1"/>
  <c r="F11" i="67"/>
  <c r="F1" i="15"/>
  <c r="Q52" i="15"/>
  <c r="J18" i="67"/>
  <c r="C32" i="15"/>
  <c r="F1" i="67"/>
  <c r="Q52" i="67"/>
  <c r="Q60" i="15"/>
  <c r="Q73" i="15"/>
  <c r="Q61" i="67"/>
  <c r="Q74" i="67"/>
  <c r="Q74" i="15"/>
  <c r="Q61" i="15"/>
  <c r="AE6" i="1"/>
  <c r="C19" i="15" l="1"/>
  <c r="C20" i="15" s="1"/>
  <c r="C26" i="15" s="1"/>
  <c r="E41" i="43"/>
  <c r="C41" i="43" s="1"/>
  <c r="C20" i="43"/>
  <c r="M19" i="9"/>
  <c r="C118" i="9" s="1"/>
  <c r="C14" i="74" s="1"/>
  <c r="B2" i="74" s="1"/>
  <c r="D25" i="6"/>
  <c r="D15" i="6"/>
  <c r="D22" i="6"/>
  <c r="D21" i="6"/>
  <c r="D24" i="6"/>
  <c r="D20" i="6"/>
  <c r="D5" i="6"/>
  <c r="D9" i="6"/>
  <c r="D10" i="6"/>
  <c r="L19" i="9"/>
  <c r="D29" i="6"/>
  <c r="H25" i="6"/>
  <c r="R25" i="6" s="1"/>
  <c r="H24" i="6"/>
  <c r="D19" i="6"/>
  <c r="D26" i="6"/>
  <c r="C18" i="4"/>
  <c r="D8" i="6"/>
  <c r="D23" i="6"/>
  <c r="R23" i="6" s="1"/>
  <c r="D14" i="6"/>
  <c r="D12" i="6"/>
  <c r="D11" i="6"/>
  <c r="D13" i="6"/>
  <c r="D28" i="6"/>
  <c r="D30" i="6" s="1"/>
  <c r="E61" i="40"/>
  <c r="H23" i="6"/>
  <c r="H20" i="6"/>
  <c r="H22" i="6"/>
  <c r="H26" i="6"/>
  <c r="R26" i="6" s="1"/>
  <c r="R21" i="6"/>
  <c r="F45" i="69"/>
  <c r="C47" i="69"/>
  <c r="D45" i="69" s="1"/>
  <c r="C29" i="69"/>
  <c r="D27" i="69" s="1"/>
  <c r="F45" i="68"/>
  <c r="C47" i="68"/>
  <c r="D45" i="68" s="1"/>
  <c r="C29" i="68"/>
  <c r="D27" i="68" s="1"/>
  <c r="C28" i="11"/>
  <c r="C27" i="11" s="1"/>
  <c r="C47" i="11"/>
  <c r="D45" i="11" s="1"/>
  <c r="C29" i="11"/>
  <c r="D27" i="11" s="1"/>
  <c r="F50" i="69"/>
  <c r="F50" i="68"/>
  <c r="F50" i="11"/>
  <c r="C38" i="11"/>
  <c r="C35" i="11"/>
  <c r="C10" i="68"/>
  <c r="B29" i="1" s="1"/>
  <c r="D19" i="68"/>
  <c r="C10" i="69"/>
  <c r="C8" i="69" s="1"/>
  <c r="C5" i="69" s="1"/>
  <c r="D19" i="69"/>
  <c r="S19" i="6"/>
  <c r="S27" i="6" s="1"/>
  <c r="I27" i="6"/>
  <c r="H19" i="6"/>
  <c r="C15" i="12"/>
  <c r="C12" i="12"/>
  <c r="C115" i="43"/>
  <c r="D113" i="43"/>
  <c r="C23" i="43"/>
  <c r="C21" i="43" s="1"/>
  <c r="S7" i="43"/>
  <c r="S4" i="43"/>
  <c r="T4" i="43" s="1"/>
  <c r="V4" i="43" s="1"/>
  <c r="S5" i="43"/>
  <c r="S3" i="43"/>
  <c r="T3" i="43" s="1"/>
  <c r="V3" i="43" s="1"/>
  <c r="S2" i="43"/>
  <c r="S6" i="43"/>
  <c r="T6" i="43" s="1"/>
  <c r="V6" i="43" s="1"/>
  <c r="S7" i="39"/>
  <c r="AA7" i="39"/>
  <c r="R47" i="39" s="1"/>
  <c r="W7" i="39"/>
  <c r="AC7" i="39"/>
  <c r="V47" i="39" s="1"/>
  <c r="I47" i="39" s="1"/>
  <c r="G52" i="37"/>
  <c r="I40" i="36"/>
  <c r="J40" i="36" s="1"/>
  <c r="G48" i="35"/>
  <c r="R49" i="33"/>
  <c r="E48" i="33"/>
  <c r="G52" i="33"/>
  <c r="H52" i="33" s="1"/>
  <c r="G53" i="33"/>
  <c r="H53" i="33" s="1"/>
  <c r="R37" i="36"/>
  <c r="E36" i="36"/>
  <c r="F63" i="40"/>
  <c r="E65" i="40"/>
  <c r="I52" i="33"/>
  <c r="J52" i="33" s="1"/>
  <c r="I53" i="33"/>
  <c r="J53" i="33" s="1"/>
  <c r="U7" i="39"/>
  <c r="AB7" i="39"/>
  <c r="T47" i="39" s="1"/>
  <c r="G47" i="39" s="1"/>
  <c r="W7" i="34"/>
  <c r="AC7" i="34"/>
  <c r="V49" i="34" s="1"/>
  <c r="I49" i="34" s="1"/>
  <c r="F58" i="21"/>
  <c r="R50" i="34"/>
  <c r="E49" i="34"/>
  <c r="G53" i="34"/>
  <c r="H53" i="34" s="1"/>
  <c r="G54" i="34"/>
  <c r="H54" i="34" s="1"/>
  <c r="G40" i="36"/>
  <c r="H40" i="36" s="1"/>
  <c r="G41" i="36"/>
  <c r="H41" i="36"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C29" i="43" l="1"/>
  <c r="C30" i="43" s="1"/>
  <c r="E30" i="43" s="1"/>
  <c r="F69" i="15"/>
  <c r="J29" i="15"/>
  <c r="T2" i="43"/>
  <c r="V2" i="43" s="1"/>
  <c r="T5" i="43"/>
  <c r="V5" i="43" s="1"/>
  <c r="T7" i="43"/>
  <c r="V7" i="43" s="1"/>
  <c r="T14" i="43"/>
  <c r="V14" i="43" s="1"/>
  <c r="T12" i="43"/>
  <c r="V12" i="43" s="1"/>
  <c r="C36" i="43"/>
  <c r="C34" i="43"/>
  <c r="C33" i="43"/>
  <c r="T13" i="43"/>
  <c r="V13" i="43" s="1"/>
  <c r="T11" i="43"/>
  <c r="V11" i="43" s="1"/>
  <c r="C35" i="43"/>
  <c r="T9" i="43"/>
  <c r="V9" i="43" s="1"/>
  <c r="C37" i="43"/>
  <c r="T15" i="43"/>
  <c r="V15" i="43" s="1"/>
  <c r="T10" i="43"/>
  <c r="V10" i="43" s="1"/>
  <c r="T16" i="43"/>
  <c r="V16" i="43" s="1"/>
  <c r="T8" i="43"/>
  <c r="V8" i="43" s="1"/>
  <c r="C39" i="43"/>
  <c r="C38" i="43"/>
  <c r="C16" i="12"/>
  <c r="D16" i="6"/>
  <c r="R24" i="6"/>
  <c r="R22" i="6"/>
  <c r="C4" i="52"/>
  <c r="B45" i="72" s="1"/>
  <c r="A10" i="51"/>
  <c r="B9" i="72" s="1"/>
  <c r="A7" i="51"/>
  <c r="B7" i="72" s="1"/>
  <c r="D27" i="6"/>
  <c r="D31" i="6" s="1"/>
  <c r="R20" i="6"/>
  <c r="D8" i="74"/>
  <c r="D7" i="74"/>
  <c r="C33" i="11"/>
  <c r="C39" i="11" s="1"/>
  <c r="C46" i="11" s="1"/>
  <c r="C45" i="11" s="1"/>
  <c r="C19" i="69"/>
  <c r="C24" i="69" s="1"/>
  <c r="D37" i="69"/>
  <c r="C37" i="69" s="1"/>
  <c r="C33" i="69" s="1"/>
  <c r="C42" i="69" s="1"/>
  <c r="C19" i="68"/>
  <c r="D37" i="68"/>
  <c r="C37" i="68" s="1"/>
  <c r="C33" i="68" s="1"/>
  <c r="C39" i="68" s="1"/>
  <c r="C46" i="68" s="1"/>
  <c r="C45" i="68" s="1"/>
  <c r="R19" i="6"/>
  <c r="H27" i="6"/>
  <c r="C20" i="69"/>
  <c r="C28" i="69" s="1"/>
  <c r="C27" i="69" s="1"/>
  <c r="E54" i="34"/>
  <c r="F54" i="34" s="1"/>
  <c r="E53" i="34"/>
  <c r="F53" i="34" s="1"/>
  <c r="I51" i="39"/>
  <c r="J51" i="39" s="1"/>
  <c r="R48" i="39"/>
  <c r="E47" i="39"/>
  <c r="I53" i="34"/>
  <c r="J53" i="34" s="1"/>
  <c r="I54" i="34"/>
  <c r="J54" i="34" s="1"/>
  <c r="G51" i="39"/>
  <c r="H51" i="39" s="1"/>
  <c r="G52" i="39"/>
  <c r="H52" i="39" s="1"/>
  <c r="E40" i="36"/>
  <c r="F40" i="36" s="1"/>
  <c r="E41" i="36"/>
  <c r="F41" i="36" s="1"/>
  <c r="E53" i="33"/>
  <c r="F53" i="33" s="1"/>
  <c r="E52" i="33"/>
  <c r="F52" i="33" s="1"/>
  <c r="C49" i="34"/>
  <c r="C50" i="34"/>
  <c r="B2" i="34" s="1"/>
  <c r="B3" i="34" s="1"/>
  <c r="G58" i="21"/>
  <c r="G63" i="40"/>
  <c r="F65" i="40"/>
  <c r="C37" i="36"/>
  <c r="B2" i="36" s="1"/>
  <c r="B3" i="36" s="1"/>
  <c r="C36" i="36"/>
  <c r="C48" i="33"/>
  <c r="C49" i="33"/>
  <c r="B2" i="33" s="1"/>
  <c r="B3" i="33" s="1"/>
  <c r="H48" i="35"/>
  <c r="I41" i="36"/>
  <c r="J41" i="36" s="1"/>
  <c r="H52" i="37"/>
  <c r="F41" i="68"/>
  <c r="C60" i="15"/>
  <c r="C66" i="15"/>
  <c r="C23" i="15"/>
  <c r="C29" i="15" s="1"/>
  <c r="C26" i="69"/>
  <c r="D22" i="69" s="1"/>
  <c r="C44" i="69"/>
  <c r="D41" i="69" s="1"/>
  <c r="C23" i="69"/>
  <c r="C44" i="68"/>
  <c r="D41" i="68" s="1"/>
  <c r="C26" i="68"/>
  <c r="D22" i="68" s="1"/>
  <c r="C24" i="68"/>
  <c r="C26" i="12"/>
  <c r="D25" i="12" s="1"/>
  <c r="C44" i="11"/>
  <c r="D41" i="11" s="1"/>
  <c r="C23" i="11"/>
  <c r="C24" i="11"/>
  <c r="C43" i="11"/>
  <c r="C25" i="11"/>
  <c r="C26" i="11"/>
  <c r="D22" i="11" s="1"/>
  <c r="C42" i="11"/>
  <c r="C38" i="67"/>
  <c r="C38" i="15"/>
  <c r="C66" i="67"/>
  <c r="C60" i="67"/>
  <c r="C23" i="67"/>
  <c r="C29" i="67" s="1"/>
  <c r="E29" i="43" l="1"/>
  <c r="G39" i="43"/>
  <c r="I39" i="43" s="1"/>
  <c r="E39" i="43"/>
  <c r="E37" i="43"/>
  <c r="G37" i="43"/>
  <c r="I37" i="43" s="1"/>
  <c r="E35" i="43"/>
  <c r="G35" i="43"/>
  <c r="I35" i="43" s="1"/>
  <c r="G34" i="43"/>
  <c r="I34" i="43" s="1"/>
  <c r="E34" i="43"/>
  <c r="E38" i="43"/>
  <c r="G38" i="43"/>
  <c r="I38" i="43" s="1"/>
  <c r="G33" i="43"/>
  <c r="I33" i="43" s="1"/>
  <c r="E33" i="43"/>
  <c r="E36" i="43"/>
  <c r="G36" i="43"/>
  <c r="I36" i="43" s="1"/>
  <c r="C42" i="68"/>
  <c r="C25" i="69"/>
  <c r="C22" i="69" s="1"/>
  <c r="C31" i="69" s="1"/>
  <c r="R27" i="6"/>
  <c r="R6" i="1"/>
  <c r="I6" i="6"/>
  <c r="I5" i="6"/>
  <c r="C43" i="68"/>
  <c r="C39" i="69"/>
  <c r="C43" i="69" s="1"/>
  <c r="C41" i="69" s="1"/>
  <c r="H58" i="21"/>
  <c r="E52" i="39"/>
  <c r="F52" i="39" s="1"/>
  <c r="E51" i="39"/>
  <c r="F51" i="39" s="1"/>
  <c r="I52" i="39"/>
  <c r="J52" i="39" s="1"/>
  <c r="I52" i="37"/>
  <c r="I48" i="35"/>
  <c r="G65" i="40"/>
  <c r="H63" i="40"/>
  <c r="C48" i="39"/>
  <c r="C47" i="39"/>
  <c r="J14" i="15"/>
  <c r="C57" i="15"/>
  <c r="C36" i="15"/>
  <c r="C33" i="15"/>
  <c r="C13" i="15"/>
  <c r="Q49" i="15"/>
  <c r="J19" i="15"/>
  <c r="J59" i="15"/>
  <c r="J60" i="15" s="1"/>
  <c r="C41" i="11"/>
  <c r="C49" i="11" s="1"/>
  <c r="C51" i="11" s="1"/>
  <c r="C22" i="11"/>
  <c r="C31" i="11" s="1"/>
  <c r="C36" i="67"/>
  <c r="C33" i="67"/>
  <c r="C31" i="67" s="1"/>
  <c r="J14" i="67"/>
  <c r="C13" i="67"/>
  <c r="J19" i="67"/>
  <c r="J17" i="67" s="1"/>
  <c r="C57" i="67"/>
  <c r="Q49" i="67"/>
  <c r="J59" i="67"/>
  <c r="J60" i="67" s="1"/>
  <c r="M21" i="15"/>
  <c r="F35" i="15"/>
  <c r="C34" i="15" l="1"/>
  <c r="F63" i="15"/>
  <c r="C62" i="15" s="1"/>
  <c r="J20" i="15"/>
  <c r="J17" i="15" s="1"/>
  <c r="R16" i="1"/>
  <c r="C31" i="15"/>
  <c r="C26" i="43"/>
  <c r="B2" i="43" s="1"/>
  <c r="C27" i="43"/>
  <c r="C41" i="68"/>
  <c r="C49" i="68" s="1"/>
  <c r="C51" i="68" s="1"/>
  <c r="C46" i="69"/>
  <c r="C45" i="69" s="1"/>
  <c r="C49" i="69" s="1"/>
  <c r="C51" i="69" s="1"/>
  <c r="C52" i="69" s="1"/>
  <c r="B2" i="69" s="1"/>
  <c r="B3" i="69" s="1"/>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J48" i="35"/>
  <c r="J52" i="37"/>
  <c r="I58" i="21"/>
  <c r="I63" i="40"/>
  <c r="H65" i="40"/>
  <c r="C52" i="11"/>
  <c r="B2" i="11" s="1"/>
  <c r="B3" i="11" s="1"/>
  <c r="Q48" i="15"/>
  <c r="J13" i="67"/>
  <c r="J23" i="67" s="1"/>
  <c r="J22" i="67"/>
  <c r="C61" i="67"/>
  <c r="C59" i="67" s="1"/>
  <c r="C64" i="67"/>
  <c r="C64" i="15"/>
  <c r="C61" i="15"/>
  <c r="C59" i="15" s="1"/>
  <c r="Q48" i="67"/>
  <c r="L46" i="67"/>
  <c r="C56" i="67"/>
  <c r="C65" i="67" s="1"/>
  <c r="C75" i="67"/>
  <c r="Q70" i="67"/>
  <c r="C37" i="67"/>
  <c r="C30" i="67" s="1"/>
  <c r="C39" i="67" s="1"/>
  <c r="C56" i="15"/>
  <c r="C65" i="15" s="1"/>
  <c r="Q70" i="15"/>
  <c r="C37" i="15"/>
  <c r="C75" i="15"/>
  <c r="J22" i="15"/>
  <c r="J13" i="15"/>
  <c r="J23" i="15" s="1"/>
  <c r="L51" i="67"/>
  <c r="B6" i="76"/>
  <c r="E6" i="76"/>
  <c r="C30" i="15" l="1"/>
  <c r="C39" i="15" s="1"/>
  <c r="C80" i="15" s="1"/>
  <c r="C79" i="15" s="1"/>
  <c r="E2" i="76"/>
  <c r="B2" i="76"/>
  <c r="C6" i="68"/>
  <c r="C7" i="68" s="1"/>
  <c r="B3" i="43"/>
  <c r="K52" i="37"/>
  <c r="K48" i="35"/>
  <c r="J63" i="40"/>
  <c r="I65" i="40"/>
  <c r="J58" i="21"/>
  <c r="C56" i="11"/>
  <c r="C57" i="11" s="1"/>
  <c r="C58" i="15"/>
  <c r="C67" i="15" s="1"/>
  <c r="C68" i="15" s="1"/>
  <c r="C71" i="15" s="1"/>
  <c r="J16" i="15"/>
  <c r="J25" i="15" s="1"/>
  <c r="J16" i="67"/>
  <c r="J25" i="67" s="1"/>
  <c r="C80" i="67"/>
  <c r="C79" i="67" s="1"/>
  <c r="C58" i="67"/>
  <c r="C67" i="67" s="1"/>
  <c r="C68" i="67" s="1"/>
  <c r="C40" i="15"/>
  <c r="Q69" i="67"/>
  <c r="Q68" i="67" s="1"/>
  <c r="C40" i="67"/>
  <c r="C57" i="69"/>
  <c r="C56" i="69" s="1"/>
  <c r="Q69" i="15" l="1"/>
  <c r="Q68" i="15" s="1"/>
  <c r="B3" i="76"/>
  <c r="K58" i="21"/>
  <c r="J65" i="40"/>
  <c r="K63" i="40"/>
  <c r="L48" i="35"/>
  <c r="L52" i="37"/>
  <c r="Q67" i="67"/>
  <c r="L57" i="67"/>
  <c r="L60" i="67" s="1"/>
  <c r="C45" i="67"/>
  <c r="C46" i="67" s="1"/>
  <c r="C71" i="67"/>
  <c r="Q56" i="15"/>
  <c r="Q65" i="15"/>
  <c r="C43" i="15"/>
  <c r="Q47" i="15"/>
  <c r="Q53" i="15" s="1"/>
  <c r="C83" i="15"/>
  <c r="C82" i="15" s="1"/>
  <c r="C43" i="67"/>
  <c r="D2" i="67"/>
  <c r="Q47" i="67"/>
  <c r="Q53" i="67" s="1"/>
  <c r="Q56" i="67"/>
  <c r="Q65" i="67"/>
  <c r="C83" i="67"/>
  <c r="C82" i="67" s="1"/>
  <c r="C46" i="15"/>
  <c r="K65" i="40" l="1"/>
  <c r="L63" i="40"/>
  <c r="M52" i="37"/>
  <c r="M48" i="35"/>
  <c r="L58" i="21"/>
  <c r="Q66" i="67"/>
  <c r="Q75" i="67" s="1"/>
  <c r="Q57" i="67"/>
  <c r="Q62" i="67" s="1"/>
  <c r="B2" i="67"/>
  <c r="B3" i="67"/>
  <c r="L65" i="40" l="1"/>
  <c r="M63" i="40"/>
  <c r="M58" i="21"/>
  <c r="N58" i="21" s="1"/>
  <c r="O58" i="21" s="1"/>
  <c r="F7" i="21"/>
  <c r="N48" i="35"/>
  <c r="O48" i="35" s="1"/>
  <c r="F7" i="35"/>
  <c r="N52" i="37"/>
  <c r="O52" i="37" s="1"/>
  <c r="F7" i="37"/>
  <c r="AA7" i="37" l="1"/>
  <c r="R42" i="37" s="1"/>
  <c r="S7" i="37"/>
  <c r="S7" i="21"/>
  <c r="AA7" i="21"/>
  <c r="R48" i="21" s="1"/>
  <c r="M65" i="40"/>
  <c r="N63" i="40"/>
  <c r="S7" i="35"/>
  <c r="AA7" i="35"/>
  <c r="R38" i="35" s="1"/>
  <c r="H7" i="37"/>
  <c r="J7" i="37"/>
  <c r="J7" i="35"/>
  <c r="H7" i="35"/>
  <c r="J7" i="21"/>
  <c r="H7" i="21"/>
  <c r="U7" i="21" l="1"/>
  <c r="AB7" i="21"/>
  <c r="T48" i="21" s="1"/>
  <c r="G48" i="21" s="1"/>
  <c r="U7" i="35"/>
  <c r="AB7" i="35"/>
  <c r="T38" i="35" s="1"/>
  <c r="G38" i="35" s="1"/>
  <c r="AC7" i="37"/>
  <c r="V42" i="37" s="1"/>
  <c r="I42" i="37" s="1"/>
  <c r="W7" i="37"/>
  <c r="R39" i="35"/>
  <c r="E38" i="35"/>
  <c r="N65" i="40"/>
  <c r="O63" i="40"/>
  <c r="O65" i="40" s="1"/>
  <c r="R49" i="21"/>
  <c r="E48" i="21"/>
  <c r="AC7" i="21"/>
  <c r="V48" i="21" s="1"/>
  <c r="I48" i="21" s="1"/>
  <c r="W7" i="21"/>
  <c r="W7" i="35"/>
  <c r="AC7" i="35"/>
  <c r="V38" i="35" s="1"/>
  <c r="I38" i="35" s="1"/>
  <c r="AB7" i="37"/>
  <c r="T42" i="37" s="1"/>
  <c r="G42" i="37" s="1"/>
  <c r="U7" i="37"/>
  <c r="R43" i="37"/>
  <c r="E42" i="37"/>
  <c r="G46" i="37" l="1"/>
  <c r="H46" i="37" s="1"/>
  <c r="G47" i="37"/>
  <c r="H47" i="37" s="1"/>
  <c r="E47" i="37"/>
  <c r="F47" i="37" s="1"/>
  <c r="E46" i="37"/>
  <c r="F46" i="37" s="1"/>
  <c r="I42" i="35"/>
  <c r="J42" i="35" s="1"/>
  <c r="I43" i="35"/>
  <c r="J43" i="35" s="1"/>
  <c r="E52" i="21"/>
  <c r="F52" i="21" s="1"/>
  <c r="E53" i="21"/>
  <c r="F53" i="21" s="1"/>
  <c r="F7" i="40"/>
  <c r="J7" i="40"/>
  <c r="H7" i="40"/>
  <c r="E43" i="35"/>
  <c r="F43" i="35" s="1"/>
  <c r="E42" i="35"/>
  <c r="F42" i="35" s="1"/>
  <c r="G42" i="35"/>
  <c r="H42" i="35" s="1"/>
  <c r="G43" i="35"/>
  <c r="H43" i="35" s="1"/>
  <c r="G52" i="21"/>
  <c r="H52" i="21" s="1"/>
  <c r="G53" i="21"/>
  <c r="H53" i="21" s="1"/>
  <c r="C43" i="37"/>
  <c r="B2" i="37" s="1"/>
  <c r="B3" i="37" s="1"/>
  <c r="C42" i="37"/>
  <c r="I52" i="21"/>
  <c r="J52" i="21" s="1"/>
  <c r="I53" i="21"/>
  <c r="J53" i="21" s="1"/>
  <c r="C49" i="21"/>
  <c r="B2" i="21" s="1"/>
  <c r="B3" i="21" s="1"/>
  <c r="C48" i="21"/>
  <c r="C39" i="35"/>
  <c r="B2" i="35" s="1"/>
  <c r="B3" i="35" s="1"/>
  <c r="C38" i="35"/>
  <c r="I47" i="37"/>
  <c r="J47" i="37" s="1"/>
  <c r="I46" i="37"/>
  <c r="J46" i="37" s="1"/>
  <c r="AC7" i="40" l="1"/>
  <c r="V42" i="40" s="1"/>
  <c r="I42" i="40" s="1"/>
  <c r="W7" i="40"/>
  <c r="U7" i="40"/>
  <c r="AB7" i="40"/>
  <c r="T42" i="40" s="1"/>
  <c r="G42" i="40" s="1"/>
  <c r="AA7" i="40"/>
  <c r="R42" i="40" s="1"/>
  <c r="S7" i="40"/>
  <c r="G47" i="40" l="1"/>
  <c r="H47" i="40" s="1"/>
  <c r="G46" i="40"/>
  <c r="H46" i="40" s="1"/>
  <c r="R43" i="40"/>
  <c r="E42" i="40"/>
  <c r="I46" i="40"/>
  <c r="J46" i="40" s="1"/>
  <c r="I47" i="40"/>
  <c r="J47" i="40" s="1"/>
  <c r="H6" i="1" l="1"/>
  <c r="E46" i="40"/>
  <c r="F46" i="40" s="1"/>
  <c r="E47" i="40"/>
  <c r="F47" i="40" s="1"/>
  <c r="C43" i="40"/>
  <c r="C42" i="40"/>
  <c r="L51" i="15"/>
  <c r="L57" i="15" l="1"/>
  <c r="L60" i="15" s="1"/>
  <c r="Q67" i="15"/>
  <c r="G6" i="1"/>
  <c r="G16" i="1" s="1"/>
  <c r="H16" i="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L46" i="15" l="1"/>
  <c r="B2" i="15" s="1"/>
  <c r="Q57" i="15"/>
  <c r="Q62" i="15" s="1"/>
  <c r="Q66" i="15"/>
  <c r="Q75" i="15" s="1"/>
  <c r="H10" i="39"/>
  <c r="J10" i="40"/>
  <c r="F10" i="39"/>
  <c r="J10" i="39"/>
  <c r="F10" i="40"/>
  <c r="H10" i="40"/>
  <c r="AO6" i="1"/>
  <c r="D19" i="9"/>
  <c r="D102" i="9" l="1"/>
  <c r="D21" i="9"/>
  <c r="B6" i="70"/>
  <c r="B2" i="70" s="1"/>
  <c r="B3" i="70" s="1"/>
  <c r="B3" i="15"/>
  <c r="AB10" i="40"/>
  <c r="U10" i="40"/>
  <c r="W10" i="39"/>
  <c r="AC10" i="39"/>
  <c r="W10" i="40"/>
  <c r="AC10" i="40"/>
  <c r="S10" i="40"/>
  <c r="AA10" i="40"/>
  <c r="AA10" i="39"/>
  <c r="S10" i="39"/>
  <c r="U10" i="39"/>
  <c r="AB10" i="39"/>
  <c r="D20" i="9"/>
  <c r="D103" i="9" l="1"/>
  <c r="C8" i="68"/>
  <c r="C5" i="68" s="1"/>
  <c r="C18" i="12"/>
  <c r="C21" i="12" s="1"/>
  <c r="C22" i="12" l="1"/>
  <c r="C30" i="12" s="1"/>
  <c r="C28" i="12" s="1"/>
  <c r="C23" i="68"/>
  <c r="C20" i="68"/>
  <c r="C25" i="68" s="1"/>
  <c r="C22" i="68" l="1"/>
  <c r="C28" i="68"/>
  <c r="C27" i="68" s="1"/>
  <c r="C27" i="12"/>
  <c r="C25" i="12" s="1"/>
  <c r="C32" i="12" s="1"/>
  <c r="B2" i="12" s="1"/>
  <c r="B3" i="12" s="1"/>
  <c r="C31" i="68" l="1"/>
  <c r="C52" i="68" s="1"/>
  <c r="C57" i="68" l="1"/>
  <c r="C56" i="68" s="1"/>
  <c r="B2" i="68"/>
  <c r="C19" i="9"/>
  <c r="G19" i="9" l="1"/>
  <c r="G21" i="9" s="1"/>
  <c r="D22" i="9"/>
  <c r="C102" i="9"/>
  <c r="C21" i="9"/>
  <c r="B3" i="68"/>
  <c r="D34" i="9"/>
  <c r="C20" i="9"/>
  <c r="D35" i="9"/>
  <c r="G20" i="9" l="1"/>
  <c r="C32" i="9" s="1"/>
  <c r="C103" i="9"/>
  <c r="C35" i="9" l="1"/>
  <c r="C34" i="9" s="1"/>
  <c r="F118" i="9" l="1"/>
  <c r="G118" i="9" s="1"/>
  <c r="G4" i="52" s="1"/>
  <c r="B52" i="72" s="1"/>
  <c r="D118" i="9"/>
  <c r="D119" i="9" s="1"/>
  <c r="D5" i="52" s="1"/>
  <c r="B49" i="72" s="1"/>
  <c r="H118" i="9"/>
  <c r="H4" i="52" s="1"/>
  <c r="H101" i="9" l="1"/>
  <c r="D5" i="53" s="1"/>
  <c r="D6" i="53" s="1"/>
  <c r="B22" i="72" s="1"/>
  <c r="I118" i="9"/>
  <c r="I4" i="52" s="1"/>
  <c r="B20" i="72"/>
  <c r="H102" i="9"/>
  <c r="D7" i="53" s="1"/>
  <c r="B21" i="72" s="1"/>
  <c r="F119" i="9"/>
  <c r="F5" i="52" s="1"/>
  <c r="B53" i="72" s="1"/>
  <c r="H119" i="9"/>
  <c r="H5" i="52" s="1"/>
  <c r="D14" i="74"/>
  <c r="C104" i="9"/>
  <c r="C105" i="9"/>
  <c r="D45" i="9"/>
  <c r="D4" i="52"/>
  <c r="B47" i="72" s="1"/>
  <c r="E118" i="9"/>
  <c r="E4" i="52" s="1"/>
  <c r="B48" i="72" s="1"/>
  <c r="F4" i="52"/>
  <c r="B51" i="72" s="1"/>
  <c r="M48" i="9" l="1"/>
  <c r="H107" i="9"/>
  <c r="D53" i="9"/>
  <c r="C78" i="9"/>
  <c r="C73" i="9" s="1"/>
  <c r="D52" i="9"/>
  <c r="C72" i="9"/>
  <c r="C79" i="9" s="1"/>
  <c r="C64" i="9"/>
  <c r="C63" i="9" s="1"/>
  <c r="C67" i="9" s="1"/>
  <c r="D55" i="9"/>
  <c r="M53" i="9" s="1"/>
  <c r="C93" i="9"/>
  <c r="C86" i="9" s="1"/>
  <c r="C85" i="9"/>
  <c r="F14" i="74"/>
  <c r="B5" i="74"/>
  <c r="E14" i="74"/>
  <c r="H108" i="9"/>
  <c r="D15" i="53" s="1"/>
  <c r="B31" i="72" s="1"/>
  <c r="D13" i="53"/>
  <c r="M49" i="9"/>
  <c r="D122" i="9"/>
  <c r="C95" i="9" l="1"/>
  <c r="C96" i="9" s="1"/>
  <c r="L65" i="9"/>
  <c r="M65" i="9" s="1"/>
  <c r="L67" i="9"/>
  <c r="M67" i="9" s="1"/>
  <c r="L68" i="9"/>
  <c r="M68" i="9" s="1"/>
  <c r="L64" i="9"/>
  <c r="M64" i="9" s="1"/>
  <c r="L66" i="9"/>
  <c r="M66" i="9" s="1"/>
  <c r="L63" i="9"/>
  <c r="M63" i="9" s="1"/>
  <c r="C80" i="9"/>
  <c r="E80" i="9" s="1"/>
  <c r="E81" i="9" s="1"/>
  <c r="C5" i="74"/>
  <c r="D5" i="74"/>
  <c r="D8" i="52"/>
  <c r="G14" i="74"/>
  <c r="B6" i="74" s="1"/>
  <c r="D123" i="9"/>
  <c r="D9" i="52" s="1"/>
  <c r="B30" i="72"/>
  <c r="D14" i="53"/>
  <c r="B32" i="72" s="1"/>
  <c r="C68" i="9"/>
  <c r="D54" i="9" s="1"/>
  <c r="D59" i="9"/>
  <c r="M55" i="9" s="1"/>
  <c r="M69" i="9" l="1"/>
  <c r="N69" i="9" s="1"/>
  <c r="E96" i="9"/>
  <c r="E97" i="9" s="1"/>
  <c r="C97" i="9"/>
  <c r="D58" i="9" s="1"/>
  <c r="D56" i="9" s="1"/>
  <c r="M54" i="9" s="1"/>
  <c r="N57" i="9" s="1"/>
  <c r="P57" i="9" s="1"/>
  <c r="D6" i="74"/>
  <c r="C6" i="74"/>
  <c r="C81" i="9"/>
  <c r="N59" i="9" l="1"/>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<sst xmlns="http://schemas.openxmlformats.org/spreadsheetml/2006/main" count="7314" uniqueCount="3099">
  <si>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</si>
  <si>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</si>
  <si>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</si>
  <si>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</si>
  <si>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</si>
  <si>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</si>
  <si>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</si>
  <si>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</si>
  <si>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</si>
  <si>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</si>
  <si>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</si>
  <si>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</si>
  <si>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</si>
  <si>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</si>
  <si>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</si>
  <si>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</si>
  <si>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</si>
  <si>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</si>
  <si>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</si>
  <si>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</si>
  <si>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</si>
  <si>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</si>
  <si>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</si>
  <si>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</si>
  <si>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</si>
  <si>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</si>
  <si>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</si>
  <si>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</si>
  <si>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</si>
  <si>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</si>
  <si>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</si>
  <si>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</si>
  <si>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</si>
  <si>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</si>
  <si>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</si>
  <si>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</si>
  <si>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</si>
  <si>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</si>
  <si>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</si>
  <si>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</si>
  <si>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</si>
  <si>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</si>
  <si>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</si>
  <si>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</si>
  <si>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</si>
  <si>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</si>
  <si>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</si>
  <si>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</si>
  <si>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</si>
  <si>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</si>
  <si>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</si>
  <si>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</si>
  <si>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</si>
  <si>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</si>
  <si>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</si>
  <si>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</si>
  <si>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</si>
  <si>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</si>
  <si>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</si>
  <si>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</si>
  <si>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</si>
  <si>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</si>
  <si>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</si>
  <si>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</si>
  <si>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</si>
  <si>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</si>
  <si>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</si>
  <si>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</si>
  <si>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</si>
  <si>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</si>
  <si>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</si>
  <si>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</si>
  <si>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</si>
  <si>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</si>
  <si>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</si>
  <si>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</si>
  <si>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</si>
  <si>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</si>
  <si>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</si>
  <si>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</si>
  <si>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</si>
  <si>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</si>
  <si>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</si>
  <si>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</si>
  <si>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</si>
  <si>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</si>
  <si>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</si>
  <si>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</si>
  <si>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</si>
  <si>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</si>
  <si>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</si>
  <si>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</si>
  <si>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</si>
  <si>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</si>
  <si>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</si>
  <si>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</si>
  <si>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</si>
  <si>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</si>
  <si>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</si>
  <si>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</si>
  <si>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</si>
  <si>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</si>
  <si>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</si>
  <si>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</si>
  <si>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</si>
  <si>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</si>
  <si>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</si>
  <si>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</si>
  <si>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</si>
  <si>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</si>
  <si>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</si>
  <si>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</si>
  <si>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</si>
  <si>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</si>
  <si>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</si>
  <si>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</si>
  <si>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</si>
  <si>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</si>
  <si>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</si>
  <si>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</si>
  <si>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</si>
  <si>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</si>
  <si>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</si>
  <si>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</si>
  <si>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</si>
  <si>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</si>
  <si>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</si>
  <si>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</si>
  <si>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</si>
  <si>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</si>
  <si>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</si>
  <si>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</si>
  <si>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</si>
  <si>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</si>
  <si>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</si>
  <si>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</si>
  <si>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</si>
  <si>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</si>
  <si>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</si>
  <si>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</si>
  <si>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</si>
  <si>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</si>
  <si>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</si>
  <si>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</si>
  <si>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</si>
  <si>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</si>
  <si>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</si>
  <si>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</si>
  <si>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</si>
  <si>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</si>
  <si>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</si>
  <si>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</si>
  <si>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</si>
  <si>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</si>
  <si>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</si>
  <si>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</si>
  <si>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</si>
  <si>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</si>
  <si>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</si>
  <si>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</si>
  <si>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</si>
  <si>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</si>
  <si>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</si>
  <si>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</si>
  <si>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</si>
  <si>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</si>
  <si>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</si>
  <si>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</si>
  <si>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</si>
  <si>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</si>
  <si>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</si>
  <si>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</si>
  <si>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</si>
  <si>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</si>
  <si>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</si>
  <si>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</si>
  <si>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</si>
  <si>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</si>
  <si>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</si>
  <si>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</si>
  <si>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</si>
  <si>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</si>
  <si>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</si>
  <si>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</si>
  <si>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</si>
  <si>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</si>
  <si>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</si>
  <si>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</si>
  <si>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</si>
  <si>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</si>
  <si>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</si>
  <si>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</si>
  <si>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</si>
  <si>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</si>
  <si>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</si>
  <si>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</si>
  <si>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</si>
  <si>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</si>
  <si>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</si>
  <si>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</si>
  <si>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</si>
  <si>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</si>
  <si>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</si>
  <si>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</si>
  <si>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</si>
  <si>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</si>
  <si>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</si>
  <si>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</si>
  <si>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</si>
  <si>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</si>
  <si>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</si>
  <si>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</si>
  <si>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</si>
  <si>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</si>
  <si>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</si>
  <si>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</si>
  <si>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</si>
  <si>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</si>
  <si>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</si>
  <si>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</si>
  <si>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</si>
  <si>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</si>
  <si>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</si>
  <si>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</si>
  <si>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</si>
  <si>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</si>
  <si>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</si>
  <si>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</si>
  <si>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</si>
  <si>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</si>
  <si>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</si>
  <si>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</si>
  <si>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</si>
  <si>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</si>
  <si>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</si>
  <si>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</si>
  <si>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</si>
  <si>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</si>
  <si>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</si>
  <si>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</si>
  <si>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</si>
  <si>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</si>
  <si>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</si>
  <si>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</si>
  <si>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</si>
  <si>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</si>
  <si>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</si>
  <si>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</si>
  <si>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</si>
  <si>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</si>
  <si>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</si>
  <si>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</si>
  <si>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</si>
  <si>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</si>
  <si>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</si>
  <si>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</si>
  <si>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</si>
  <si>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</si>
  <si>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</si>
  <si>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</si>
  <si>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</si>
  <si>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</si>
  <si>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</si>
  <si>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</si>
  <si>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</si>
  <si>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</si>
  <si>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</si>
  <si>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</si>
  <si>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</si>
  <si>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</si>
  <si>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</si>
  <si>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</si>
  <si>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</si>
  <si>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</si>
  <si>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</si>
  <si>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</si>
  <si>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</si>
  <si>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</si>
  <si>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</si>
  <si>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</si>
  <si>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</si>
  <si>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</si>
  <si>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</si>
  <si>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</si>
  <si>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</si>
  <si>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</si>
  <si>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</si>
  <si>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</si>
  <si>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</si>
  <si>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</si>
  <si>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</si>
  <si>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</si>
  <si>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</si>
  <si>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</si>
  <si>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</si>
  <si>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</si>
  <si>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</si>
  <si>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</si>
  <si>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</si>
  <si>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</si>
  <si>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</si>
  <si>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</si>
  <si>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</si>
  <si>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</si>
  <si>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</si>
  <si>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</si>
  <si>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</si>
  <si>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</si>
  <si>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</si>
  <si>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</si>
  <si>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</si>
  <si>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</si>
  <si>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</si>
  <si>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</si>
  <si>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</si>
  <si>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</si>
  <si>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</si>
  <si>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</si>
  <si>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</si>
  <si>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</si>
  <si>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</si>
  <si>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</si>
  <si>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</si>
  <si>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</si>
  <si>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</si>
  <si>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</si>
  <si>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</si>
  <si>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</si>
  <si>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</si>
  <si>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</si>
  <si>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</si>
  <si>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</si>
  <si>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</si>
  <si>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</si>
  <si>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</si>
  <si>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</si>
  <si>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</si>
  <si>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</si>
  <si>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</si>
  <si>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</si>
  <si>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</si>
  <si>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</si>
  <si>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</si>
  <si>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</si>
  <si>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</si>
  <si>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</si>
  <si>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</si>
  <si>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</si>
  <si>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</si>
  <si>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</si>
  <si>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</si>
  <si>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</si>
  <si>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</si>
  <si>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</si>
  <si>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</si>
  <si>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</si>
  <si>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</si>
  <si>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</si>
  <si>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</si>
  <si>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</si>
  <si>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</si>
  <si>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</si>
  <si>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</si>
  <si>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</si>
  <si>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</si>
  <si>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</si>
  <si>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</si>
  <si>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</si>
  <si>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</si>
  <si>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</si>
  <si>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</si>
  <si>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</si>
  <si>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</si>
  <si>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</si>
  <si>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</si>
  <si>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</si>
  <si>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</si>
  <si>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</si>
  <si>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</si>
  <si>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</si>
  <si>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</si>
  <si>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</si>
  <si>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</si>
  <si>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</si>
  <si>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</si>
  <si>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</si>
  <si>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</si>
  <si>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</si>
  <si>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</si>
  <si>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</si>
  <si>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</si>
  <si>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</si>
  <si>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</si>
  <si>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</si>
  <si>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</si>
  <si>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</si>
  <si>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</si>
  <si>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</si>
  <si>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</si>
  <si>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</si>
  <si>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</si>
  <si>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</si>
  <si>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</si>
  <si>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</si>
  <si>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</si>
  <si>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</si>
  <si>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</si>
  <si>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</si>
  <si>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</si>
  <si>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</si>
  <si>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</si>
  <si>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</si>
  <si>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</si>
  <si>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</si>
  <si>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</si>
  <si>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</si>
  <si>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</si>
  <si>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</si>
  <si>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</si>
  <si>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</si>
  <si>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</si>
  <si>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</si>
  <si>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</si>
  <si>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</si>
  <si>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</si>
  <si>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</si>
  <si>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</si>
  <si>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</si>
  <si>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</si>
  <si>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</si>
  <si>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</si>
  <si>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</si>
  <si>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</si>
  <si>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</si>
  <si>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</si>
  <si>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</si>
  <si>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</si>
  <si>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</si>
  <si>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</si>
  <si>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</si>
  <si>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</si>
  <si>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</si>
  <si>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</si>
  <si>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</si>
  <si>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</si>
  <si>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</si>
  <si>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</si>
  <si>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</si>
  <si>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</si>
  <si>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</si>
  <si>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</si>
  <si>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</si>
  <si>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</si>
  <si>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</si>
  <si>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</si>
  <si>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</si>
  <si>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</si>
  <si>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</si>
  <si>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</si>
  <si>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</si>
  <si>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</si>
  <si>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</si>
  <si>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</si>
  <si>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</si>
  <si>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</si>
  <si>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</si>
  <si>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</si>
  <si>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</si>
  <si>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</si>
  <si>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</si>
  <si>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</si>
  <si>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</si>
  <si>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</si>
  <si>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</si>
  <si>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</si>
  <si>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</si>
  <si>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</si>
  <si>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</si>
  <si>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</si>
  <si>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</si>
  <si>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</si>
  <si>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</si>
  <si>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</si>
  <si>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</si>
  <si>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</si>
  <si>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</si>
  <si>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</si>
  <si>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</si>
  <si>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</si>
  <si>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</si>
  <si>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</si>
  <si>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</si>
  <si>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</si>
  <si>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</si>
  <si>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</si>
  <si>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</si>
  <si>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</si>
  <si>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</si>
  <si>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</si>
  <si>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</si>
  <si>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</si>
  <si>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</si>
  <si>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</si>
  <si>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</si>
  <si>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</si>
  <si>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</si>
  <si>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</si>
  <si>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</si>
  <si>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</si>
  <si>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</si>
  <si>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</si>
  <si>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</si>
  <si>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</si>
  <si>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</si>
  <si>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</si>
  <si>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</si>
  <si>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</si>
  <si>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</si>
  <si>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</si>
  <si>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</si>
  <si>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</si>
  <si>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</si>
  <si>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</si>
  <si>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</si>
  <si>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</si>
  <si>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</si>
  <si>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</si>
  <si>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</si>
  <si>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</si>
  <si>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</si>
  <si>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</si>
  <si>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</si>
  <si>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</si>
  <si>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</si>
  <si>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</si>
  <si>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</si>
  <si>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</si>
  <si>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</si>
  <si>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</si>
  <si>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</si>
  <si>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</si>
  <si>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</si>
  <si>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</si>
  <si>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</si>
  <si>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</si>
  <si>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</si>
  <si>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</si>
  <si>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</si>
  <si>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</si>
  <si>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</si>
  <si>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</si>
  <si>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</si>
  <si>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</si>
  <si>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</si>
  <si>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</si>
  <si>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</si>
  <si>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</si>
  <si>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</si>
  <si>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</si>
  <si>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</si>
  <si>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</si>
  <si>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</si>
  <si>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</si>
  <si>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</si>
  <si>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</si>
  <si>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</si>
  <si>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</si>
  <si>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</si>
  <si>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</si>
  <si>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</si>
  <si>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</si>
  <si>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</si>
  <si>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</si>
  <si>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</si>
  <si>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</si>
  <si>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</si>
  <si>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</si>
  <si>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</si>
  <si>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</si>
  <si>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</si>
  <si>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</si>
  <si>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</si>
  <si>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</si>
  <si>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</si>
  <si>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</si>
  <si>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</si>
  <si>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</si>
  <si>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</si>
  <si>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</si>
  <si>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</si>
  <si>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</si>
  <si>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</si>
  <si>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</si>
  <si>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</si>
  <si>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</si>
  <si>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</si>
  <si>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</si>
  <si>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</si>
  <si>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</si>
  <si>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</si>
  <si>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</si>
  <si>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</si>
  <si>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</si>
  <si>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</si>
  <si>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</si>
  <si>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</si>
  <si>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</si>
  <si>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</si>
  <si>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</si>
  <si>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</si>
  <si>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</si>
  <si>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</si>
  <si>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</si>
  <si>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</si>
  <si>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</si>
  <si>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</si>
  <si>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</si>
  <si>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</si>
  <si>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</si>
  <si>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</si>
  <si>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</si>
  <si>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</si>
  <si>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</si>
  <si>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</si>
  <si>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</si>
  <si>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</si>
  <si>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</si>
  <si>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</si>
  <si>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</si>
  <si>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</si>
  <si>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</si>
  <si>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</si>
  <si>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</si>
  <si>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</si>
  <si>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</si>
  <si>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</si>
  <si>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</si>
  <si>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</si>
  <si>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</si>
  <si>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</si>
  <si>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</si>
  <si>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</si>
  <si>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</si>
  <si>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</si>
  <si>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</si>
  <si>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</si>
  <si>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</si>
  <si>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</si>
  <si>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</si>
  <si>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</si>
  <si>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</si>
  <si>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</si>
  <si>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</si>
  <si>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</si>
  <si>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</si>
  <si>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</si>
  <si>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</si>
  <si>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</si>
  <si>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</si>
  <si>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</si>
  <si>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</si>
  <si>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</si>
  <si>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</si>
  <si>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</si>
  <si>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</si>
  <si>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</si>
  <si>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</si>
  <si>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</si>
  <si>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</si>
  <si>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</si>
  <si>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</si>
  <si>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</si>
  <si>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</si>
  <si>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</si>
  <si>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</si>
  <si>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</si>
  <si>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</si>
  <si>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</si>
  <si>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</si>
  <si>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</si>
  <si>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</si>
  <si>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</si>
  <si>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</si>
  <si>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</si>
  <si>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</si>
  <si>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</si>
  <si>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</si>
  <si>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</si>
  <si>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</si>
  <si>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</si>
  <si>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</si>
  <si>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</si>
  <si>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</si>
  <si>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</si>
  <si>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</si>
  <si>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</si>
  <si>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</si>
  <si>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</si>
  <si>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</si>
  <si>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</si>
  <si>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</si>
  <si>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</si>
  <si>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</si>
  <si>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</si>
  <si>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</si>
  <si>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</si>
  <si>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</si>
  <si>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</si>
  <si>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</si>
  <si>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</si>
  <si>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</si>
  <si>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</si>
  <si>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</si>
  <si>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</si>
  <si>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</si>
  <si>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</si>
  <si>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</si>
  <si>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</si>
  <si>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</si>
  <si>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</si>
  <si>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</si>
  <si>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</si>
  <si>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</si>
  <si>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</si>
  <si>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</si>
  <si>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</si>
  <si>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</si>
  <si>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</si>
  <si>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</si>
  <si>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</si>
  <si>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</si>
  <si>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</si>
  <si>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</si>
  <si>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</si>
  <si>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</si>
  <si>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</si>
  <si>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</si>
  <si>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</si>
  <si>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</si>
  <si>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</si>
  <si>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</si>
  <si>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</si>
  <si>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</si>
  <si>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</si>
  <si>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</si>
  <si>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</si>
  <si>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</si>
  <si>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</si>
  <si>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</si>
  <si>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</si>
  <si>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</si>
  <si>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</si>
  <si>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</si>
  <si>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</si>
  <si>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</si>
  <si>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</si>
  <si>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</si>
  <si>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</si>
  <si>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</si>
  <si>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</si>
  <si>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</si>
  <si>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</si>
  <si>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</si>
  <si>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</si>
  <si>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</si>
  <si>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</si>
  <si>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</si>
  <si>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</si>
  <si>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</si>
  <si>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</si>
  <si>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</si>
  <si>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</si>
  <si>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</si>
  <si>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</si>
  <si>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</si>
  <si>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</si>
  <si>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</si>
  <si>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</si>
  <si>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</si>
  <si>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</si>
  <si>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</si>
  <si>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</si>
  <si>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</si>
  <si>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</si>
  <si>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</si>
  <si>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</si>
  <si>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</si>
  <si>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</si>
  <si>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</si>
  <si>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</si>
  <si>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</si>
  <si>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</si>
  <si>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</si>
  <si>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</si>
  <si>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</si>
  <si>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</si>
  <si>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</si>
  <si>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</si>
  <si>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</si>
  <si>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</si>
  <si>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</si>
  <si>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</si>
  <si>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</si>
  <si>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</si>
  <si>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</si>
  <si>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</si>
  <si>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</si>
  <si>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</si>
  <si>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</si>
  <si>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</si>
  <si>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</si>
  <si>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</si>
  <si>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</si>
  <si>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</si>
  <si>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</si>
  <si>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</si>
  <si>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</si>
  <si>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</si>
  <si>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</si>
  <si>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</si>
  <si>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</si>
  <si>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</si>
  <si>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</si>
  <si>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</si>
  <si>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</si>
  <si>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</si>
  <si>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</si>
  <si>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</si>
  <si>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</si>
  <si>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</si>
  <si>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</si>
  <si>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</si>
  <si>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</si>
  <si>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</si>
  <si>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</si>
  <si>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</si>
  <si>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</si>
  <si>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</si>
  <si>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</si>
  <si>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</si>
  <si>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</si>
  <si>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</si>
  <si>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</si>
  <si>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</si>
  <si>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</si>
  <si>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</si>
  <si>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</si>
  <si>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</si>
  <si>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</si>
  <si>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</si>
  <si>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</si>
  <si>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</si>
  <si>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</si>
  <si>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</si>
  <si>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</si>
  <si>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</si>
  <si>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</si>
  <si>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</si>
  <si>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</si>
  <si>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</si>
  <si>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</si>
  <si>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</si>
  <si>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</si>
  <si>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</si>
  <si>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</si>
  <si>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</si>
  <si>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</si>
  <si>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</si>
  <si>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</si>
  <si>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</si>
  <si>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</si>
  <si>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</si>
  <si>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</si>
  <si>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</si>
  <si>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</si>
  <si>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</si>
  <si>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</si>
  <si>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</si>
  <si>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</si>
  <si>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</si>
  <si>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</si>
  <si>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</si>
  <si>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</si>
  <si>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</si>
  <si>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</si>
  <si>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</si>
  <si>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</si>
  <si>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</si>
  <si>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</si>
  <si>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</si>
  <si>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</si>
  <si>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</si>
  <si>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</si>
  <si>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</si>
  <si>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</si>
  <si>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</si>
  <si>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</si>
  <si>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</si>
  <si>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</si>
  <si>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</si>
  <si>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</si>
  <si>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</si>
  <si>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</si>
  <si>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</si>
  <si>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</si>
  <si>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</si>
  <si>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</si>
  <si>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</si>
  <si>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</si>
  <si>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</si>
  <si>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</si>
  <si>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</si>
  <si>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</si>
  <si>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</si>
  <si>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</si>
  <si>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</si>
  <si>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</si>
  <si>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</si>
  <si>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</si>
  <si>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</si>
  <si>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</si>
  <si>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</si>
  <si>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</si>
  <si>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</si>
  <si>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</si>
  <si>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</si>
  <si>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</si>
  <si>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</si>
  <si>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</si>
  <si>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</si>
  <si>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</si>
  <si>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</si>
  <si>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</si>
  <si>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</si>
  <si>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</si>
  <si>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</si>
  <si>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</si>
  <si>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</si>
  <si>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</si>
  <si>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</si>
  <si>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</si>
  <si>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</si>
  <si>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</si>
  <si>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</si>
  <si>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</si>
  <si>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</si>
  <si>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</si>
  <si>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</si>
  <si>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</si>
  <si>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</si>
  <si>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</si>
  <si>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</si>
  <si>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</si>
  <si>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</si>
  <si>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</si>
  <si>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</si>
  <si>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</si>
  <si>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</si>
  <si>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</si>
  <si>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</si>
  <si>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</si>
  <si>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</si>
  <si>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</si>
  <si>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</si>
  <si>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</si>
  <si>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</si>
  <si>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</si>
  <si>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</si>
  <si>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</si>
  <si>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</si>
  <si>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</si>
  <si>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</si>
  <si>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</si>
  <si>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</si>
  <si>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</si>
  <si>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</si>
  <si>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</si>
  <si>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</si>
  <si>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</si>
  <si>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</si>
  <si>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</si>
  <si>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</si>
  <si>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</si>
  <si>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</si>
  <si>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</si>
  <si>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</si>
  <si>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</si>
  <si>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</si>
  <si>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</si>
  <si>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</si>
  <si>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</si>
  <si>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</si>
  <si>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</si>
  <si>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</si>
  <si>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</si>
  <si>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</si>
  <si>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</si>
  <si>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</si>
  <si>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</si>
  <si>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</si>
  <si>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</si>
  <si>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</si>
  <si>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</si>
  <si>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</si>
  <si>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</si>
  <si>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</si>
  <si>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</si>
  <si>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</si>
  <si>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</si>
  <si>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</si>
  <si>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</si>
  <si>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</si>
  <si>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</si>
  <si>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</si>
  <si>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</si>
  <si>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</si>
  <si>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</si>
  <si>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</si>
  <si>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</si>
  <si>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</si>
  <si>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</si>
  <si>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</si>
  <si>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</si>
  <si>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</si>
  <si>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</si>
  <si>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</si>
  <si>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</si>
  <si>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</si>
  <si>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</si>
  <si>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</si>
  <si>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</si>
  <si>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</si>
  <si>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</si>
  <si>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</si>
  <si>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</si>
  <si>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</si>
  <si>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</si>
  <si>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</si>
  <si>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</si>
  <si>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</si>
  <si>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</si>
  <si>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</si>
  <si>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</si>
  <si>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</si>
  <si>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</si>
  <si>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</si>
  <si>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</si>
  <si>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</si>
  <si>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</si>
  <si>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</si>
  <si>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</si>
  <si>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</si>
  <si>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</si>
  <si>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</si>
  <si>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</si>
  <si>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</si>
  <si>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</si>
  <si>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</si>
  <si>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</si>
  <si>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</si>
  <si>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</si>
  <si>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</si>
  <si>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</si>
  <si>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</si>
  <si>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</si>
  <si>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</si>
  <si>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</si>
  <si>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</si>
  <si>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</si>
  <si>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</si>
  <si>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</si>
  <si>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</si>
  <si>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</si>
  <si>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</si>
  <si>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</si>
  <si>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</si>
  <si>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</si>
  <si>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</si>
  <si>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</si>
  <si>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</si>
  <si>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</si>
  <si>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</si>
  <si>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</si>
  <si>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</si>
  <si>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</si>
  <si>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</si>
  <si>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</si>
  <si>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</si>
  <si>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</si>
  <si>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</si>
  <si>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</si>
  <si>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</si>
  <si>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</si>
  <si>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</si>
  <si>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</si>
  <si>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</si>
  <si>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</si>
  <si>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</si>
  <si>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</si>
  <si>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</si>
  <si>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</si>
  <si>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</si>
  <si>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</si>
  <si>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</si>
  <si>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</si>
  <si>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</si>
  <si>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</si>
  <si>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</si>
  <si>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</si>
  <si>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</si>
  <si>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</si>
  <si>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</si>
  <si>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</si>
  <si>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</si>
  <si>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</si>
  <si>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</si>
  <si>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</si>
  <si>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</si>
  <si>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</si>
  <si>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</si>
  <si>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</si>
  <si>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</si>
  <si>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</si>
  <si>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</si>
  <si>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</si>
  <si>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</si>
  <si>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</si>
  <si>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</si>
  <si>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</si>
  <si>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</si>
  <si>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</si>
  <si>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</si>
  <si>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</si>
  <si>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</si>
  <si>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</si>
  <si>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</si>
  <si>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</si>
  <si>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</si>
  <si>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</si>
  <si>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</si>
  <si>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</si>
  <si>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</si>
  <si>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</si>
  <si>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</si>
  <si>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</si>
  <si>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</si>
  <si>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</si>
  <si>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</si>
  <si>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</si>
  <si>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</si>
  <si>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</si>
  <si>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</si>
  <si>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</si>
  <si>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</si>
  <si>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</si>
  <si>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</si>
  <si>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</si>
  <si>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</si>
  <si>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</si>
  <si>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</si>
  <si>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</si>
  <si>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</si>
  <si>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</si>
  <si>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</si>
  <si>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</si>
  <si>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</si>
  <si>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</si>
  <si>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</si>
  <si>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</si>
  <si>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</si>
  <si>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</si>
  <si>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</si>
  <si>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</si>
  <si>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</si>
  <si>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</si>
  <si>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</si>
  <si>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</si>
  <si>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</si>
  <si>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</si>
  <si>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</si>
  <si>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</si>
  <si>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</si>
  <si>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</si>
  <si>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</si>
  <si>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</si>
  <si>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</si>
  <si>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</si>
  <si>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</si>
  <si>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</si>
  <si>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</si>
  <si>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</si>
  <si>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</si>
  <si>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</si>
  <si>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</si>
  <si>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</si>
  <si>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</si>
  <si>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</si>
  <si>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</si>
  <si>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</si>
  <si>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</si>
  <si>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</si>
  <si>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</si>
  <si>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</si>
  <si>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</si>
  <si>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</si>
  <si>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</si>
  <si>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</si>
  <si>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</si>
  <si>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</si>
  <si>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</si>
  <si>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</si>
  <si>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</si>
  <si>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</si>
  <si>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</si>
  <si>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</si>
  <si>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</si>
  <si>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</si>
  <si>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</si>
  <si>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</si>
  <si>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</si>
  <si>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</si>
  <si>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</si>
  <si>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</si>
  <si>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</si>
  <si>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</si>
  <si>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</si>
  <si>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</si>
  <si>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</si>
  <si>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</si>
  <si>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</si>
  <si>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</si>
  <si>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</si>
  <si>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</si>
  <si>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</si>
  <si>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</si>
  <si>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</si>
  <si>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</si>
  <si>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</si>
  <si>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</si>
  <si>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</si>
  <si>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</si>
  <si>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</si>
  <si>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</si>
  <si>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</si>
  <si>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</si>
  <si>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</si>
  <si>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</si>
  <si>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</si>
  <si>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</si>
  <si>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</si>
  <si>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</si>
  <si>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</si>
  <si>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</si>
  <si>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</si>
  <si>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</si>
  <si>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</si>
  <si>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</si>
  <si>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</si>
  <si>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</si>
  <si>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</si>
  <si>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</si>
  <si>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</si>
  <si>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</si>
  <si>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</si>
  <si>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</si>
  <si>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</si>
  <si>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</si>
  <si>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</si>
  <si>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</si>
  <si>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</si>
  <si>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</si>
  <si>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</si>
  <si>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</si>
  <si>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</si>
  <si>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</si>
  <si>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</si>
  <si>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</si>
  <si>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</si>
  <si>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</si>
  <si>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</si>
  <si>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</si>
  <si>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</si>
  <si>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</si>
  <si>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</si>
  <si>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</si>
  <si>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</si>
  <si>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</si>
  <si>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</si>
  <si>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</si>
  <si>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</si>
  <si>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</si>
  <si>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</si>
  <si>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</si>
  <si>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</si>
  <si>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</si>
  <si>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</si>
  <si>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</si>
  <si>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</si>
  <si>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</si>
  <si>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</si>
  <si>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</si>
  <si>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</si>
  <si>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</si>
  <si>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</si>
  <si>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</si>
  <si>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</si>
  <si>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</si>
  <si>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</si>
  <si>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</si>
  <si>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</si>
  <si>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</si>
  <si>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</si>
  <si>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</si>
  <si>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</si>
  <si>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</si>
  <si>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</si>
  <si>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</si>
  <si>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</si>
  <si>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</si>
  <si>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</si>
  <si>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</si>
  <si>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</si>
  <si>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</si>
  <si>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</si>
  <si>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</si>
  <si>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</si>
  <si>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</si>
  <si>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</si>
  <si>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</si>
  <si>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</si>
  <si>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</si>
  <si>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</si>
  <si>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</si>
  <si>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</si>
  <si>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</si>
  <si>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</si>
  <si>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</si>
  <si>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</si>
  <si>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</si>
  <si>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</si>
  <si>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</si>
  <si>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</si>
  <si>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</si>
  <si>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</si>
  <si>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</si>
  <si>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</si>
  <si>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</si>
  <si>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</si>
  <si>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</si>
  <si>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</si>
  <si>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</si>
  <si>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</si>
  <si>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</si>
  <si>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</si>
  <si>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</si>
  <si>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</si>
  <si>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</si>
  <si>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</si>
  <si>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</si>
  <si>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</si>
  <si>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</si>
  <si>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</si>
  <si>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</si>
  <si>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</si>
  <si>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</si>
  <si>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</si>
  <si>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</si>
  <si>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</si>
  <si>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</si>
  <si>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</si>
  <si>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</si>
  <si>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</si>
  <si>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</si>
  <si>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</si>
  <si>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</si>
  <si>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</si>
  <si>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</si>
  <si>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</si>
  <si>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</si>
  <si>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</si>
  <si>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</si>
  <si>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</si>
  <si>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</si>
  <si>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</si>
  <si>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</si>
  <si>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</si>
  <si>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</si>
  <si>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</si>
  <si>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</si>
  <si>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</si>
  <si>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</si>
  <si>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</si>
  <si>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</si>
  <si>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</si>
  <si>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</si>
  <si>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</si>
  <si>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</si>
  <si>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</si>
  <si>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</si>
  <si>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</si>
  <si>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</si>
  <si>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</si>
  <si>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</si>
  <si>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</si>
  <si>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</si>
  <si>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</si>
  <si>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</si>
  <si>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</si>
  <si>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</si>
  <si>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</si>
  <si>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</si>
  <si>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</si>
  <si>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</si>
  <si>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</si>
  <si>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</si>
  <si>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</si>
  <si>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</si>
  <si>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</si>
  <si>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</si>
  <si>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</si>
  <si>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</si>
  <si>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</si>
  <si>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</si>
  <si>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</si>
  <si>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</si>
  <si>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</si>
  <si>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</si>
  <si>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</si>
  <si>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</si>
  <si>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</si>
  <si>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</si>
  <si>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</si>
  <si>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</si>
  <si>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</si>
  <si>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</si>
  <si>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</si>
  <si>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</si>
  <si>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</si>
  <si>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</si>
  <si>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</si>
  <si>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</si>
  <si>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</si>
  <si>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</si>
  <si>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</si>
  <si>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</si>
  <si>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</si>
  <si>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</si>
  <si>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</si>
  <si>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</si>
  <si>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</si>
  <si>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</si>
  <si>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</si>
  <si>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</si>
  <si>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</si>
  <si>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</si>
  <si>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</si>
  <si>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</si>
  <si>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</si>
  <si>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</si>
  <si>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</si>
  <si>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</si>
  <si>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</si>
  <si>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</si>
  <si>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</si>
  <si>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</si>
  <si>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</si>
  <si>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</si>
  <si>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</si>
  <si>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</si>
  <si>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</si>
  <si>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</si>
  <si>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</si>
  <si>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</si>
  <si>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</si>
  <si>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</si>
  <si>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</si>
  <si>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</si>
  <si>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</si>
  <si>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</si>
  <si>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</si>
  <si>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</si>
  <si>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</si>
  <si>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</si>
  <si>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</si>
  <si>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</si>
  <si>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</si>
  <si>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</si>
  <si>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</si>
  <si>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</si>
  <si>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</si>
  <si>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</si>
  <si>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</si>
  <si>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</si>
  <si>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</si>
  <si>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</si>
  <si>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</si>
  <si>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</si>
  <si>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</si>
  <si>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</si>
  <si>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</si>
  <si>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</si>
  <si>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</si>
  <si>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</si>
  <si>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</si>
  <si>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</si>
  <si>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</si>
  <si>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</si>
  <si>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</si>
  <si>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</si>
  <si>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</si>
  <si>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</si>
  <si>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</si>
  <si>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</si>
  <si>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</si>
  <si>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</si>
  <si>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</si>
  <si>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</si>
  <si>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</si>
  <si>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</si>
  <si>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</si>
  <si>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</si>
  <si>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</si>
  <si>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</si>
  <si>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</si>
  <si>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</si>
  <si>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</si>
  <si>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</si>
  <si>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</si>
  <si>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</si>
  <si>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</si>
  <si>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</si>
  <si>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</si>
  <si>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</si>
  <si>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</si>
  <si>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</si>
  <si>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</si>
  <si>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</si>
  <si>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</si>
  <si>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</si>
  <si>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</si>
  <si>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</si>
  <si>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</si>
  <si>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</si>
  <si>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</si>
  <si>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</si>
  <si>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</si>
  <si>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</si>
  <si>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</si>
  <si>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</si>
  <si>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</si>
  <si>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</si>
  <si>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</si>
  <si>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</si>
  <si>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</si>
  <si>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</si>
  <si>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</si>
  <si>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</si>
  <si>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</si>
  <si>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</si>
  <si>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</si>
  <si>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</si>
  <si>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</si>
  <si>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</si>
  <si>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</si>
  <si>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</si>
  <si>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</si>
  <si>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</si>
  <si>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</si>
  <si>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</si>
  <si>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</si>
  <si>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</si>
  <si>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</si>
  <si>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</si>
  <si>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</si>
  <si>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</si>
  <si>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</si>
  <si>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</si>
  <si>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</si>
  <si>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</si>
  <si>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</si>
  <si>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</si>
  <si>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</si>
  <si>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</si>
  <si>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</si>
  <si>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</si>
  <si>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</si>
  <si>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</si>
  <si>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</si>
  <si>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</si>
  <si>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</si>
  <si>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</si>
  <si>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</si>
  <si>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</si>
  <si>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</si>
  <si>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</si>
  <si>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</si>
  <si>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</si>
  <si>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</si>
  <si>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</si>
  <si>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</si>
  <si>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</si>
  <si>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</si>
  <si>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</si>
  <si>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</si>
  <si>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</si>
  <si>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</si>
  <si>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</si>
  <si>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</si>
  <si>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</si>
  <si>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</si>
  <si>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</si>
  <si>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</si>
  <si>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</si>
  <si>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</si>
  <si>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</si>
  <si>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</si>
  <si>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</si>
  <si>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</si>
  <si>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</si>
  <si>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</si>
  <si>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</si>
  <si>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</si>
  <si>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</si>
  <si>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</si>
  <si>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</si>
  <si>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</si>
  <si>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</si>
  <si>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</si>
  <si>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</si>
  <si>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</si>
  <si>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</si>
  <si>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</si>
  <si>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</si>
  <si>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</si>
  <si>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</si>
  <si>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</si>
  <si>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</si>
  <si>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</si>
  <si>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</si>
  <si>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</si>
  <si>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</si>
  <si>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</si>
  <si>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</si>
  <si>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</si>
  <si>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</si>
  <si>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</si>
  <si>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</si>
  <si>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</si>
  <si>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</si>
  <si>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</si>
  <si>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</si>
  <si>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</si>
  <si>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</si>
  <si>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</si>
  <si>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</si>
  <si>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</si>
  <si>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</si>
  <si>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</si>
  <si>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</si>
  <si>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</si>
  <si>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</si>
  <si>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</si>
  <si>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</si>
  <si>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</si>
  <si>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</si>
  <si>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</si>
  <si>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</si>
  <si>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</si>
  <si>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</si>
  <si>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</si>
  <si>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</si>
  <si>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</si>
  <si>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</si>
  <si>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</si>
  <si>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</si>
  <si>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</si>
  <si>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</si>
  <si>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</si>
  <si>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</si>
  <si>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</si>
  <si>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</si>
  <si>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</si>
  <si>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</si>
  <si>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</si>
  <si>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</si>
  <si>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</si>
  <si>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</si>
  <si>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</si>
  <si>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</si>
  <si>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</si>
  <si>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</si>
  <si>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</si>
  <si>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</si>
  <si>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</si>
  <si>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</si>
  <si>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</si>
  <si>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</si>
  <si>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</si>
  <si>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</si>
  <si>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</si>
  <si>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</si>
  <si>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</si>
  <si>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</si>
  <si>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</si>
  <si>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</si>
  <si>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</si>
  <si>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</si>
  <si>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</si>
  <si>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</si>
  <si>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</si>
  <si>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</si>
  <si>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</si>
  <si>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</si>
  <si>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</si>
  <si>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</si>
  <si>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</si>
  <si>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</si>
  <si>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</si>
  <si>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</si>
  <si>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</si>
  <si>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</si>
  <si>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</si>
  <si>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</si>
  <si>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</si>
  <si>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</si>
  <si>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</si>
  <si>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</si>
  <si>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</si>
  <si>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</si>
  <si>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</si>
  <si>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</si>
  <si>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</si>
  <si>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</si>
  <si>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</si>
  <si>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</si>
  <si>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</si>
  <si>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</si>
  <si>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</si>
  <si>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</si>
  <si>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</si>
  <si>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</si>
  <si>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</si>
  <si>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</si>
  <si>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</si>
  <si>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</si>
  <si>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</si>
  <si>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</si>
  <si>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</si>
  <si>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</si>
  <si>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</si>
  <si>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</si>
  <si>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</si>
  <si>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</si>
  <si>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</si>
  <si>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</si>
  <si>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</si>
  <si>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</si>
  <si>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</si>
  <si>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</si>
  <si>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</si>
  <si>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</si>
  <si>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</si>
  <si>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</si>
  <si>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</si>
  <si>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</si>
  <si>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</si>
  <si>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</si>
  <si>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</si>
  <si>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</si>
  <si>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</si>
  <si>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</si>
  <si>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</si>
  <si>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</si>
  <si>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</si>
  <si>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</si>
  <si>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</si>
  <si>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</si>
  <si>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</si>
  <si>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</si>
  <si>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</si>
  <si>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</si>
  <si>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</si>
  <si>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</si>
  <si>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</si>
  <si>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</si>
  <si>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</si>
  <si>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</si>
  <si>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</si>
  <si>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</si>
  <si>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</si>
  <si>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</si>
  <si>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</si>
  <si>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</si>
  <si>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</si>
  <si>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</si>
  <si>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</si>
  <si>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</si>
  <si>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</si>
  <si>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</si>
  <si>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</si>
  <si>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</si>
  <si>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</si>
  <si>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</si>
  <si>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</si>
  <si>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</si>
  <si>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</si>
  <si>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</si>
  <si>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</si>
  <si>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</si>
  <si>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</si>
  <si>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</si>
  <si>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</si>
  <si>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</si>
  <si>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</si>
  <si>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</si>
  <si>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</si>
  <si>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</si>
  <si>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</si>
  <si>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</si>
  <si>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</si>
  <si>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</si>
  <si>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</si>
  <si>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</si>
  <si>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</si>
  <si>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</si>
  <si>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</si>
  <si>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</si>
  <si>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</si>
  <si>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</si>
  <si>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</si>
  <si>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</si>
  <si>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</si>
  <si>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</si>
  <si>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</si>
  <si>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</si>
  <si>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</si>
  <si>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</si>
  <si>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</si>
  <si>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</si>
  <si>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</si>
  <si>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</si>
  <si>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</si>
  <si>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</si>
  <si>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</si>
  <si>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</si>
  <si>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</si>
  <si>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</si>
  <si>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</si>
  <si>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</si>
  <si>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</si>
  <si>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</si>
  <si>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</si>
  <si>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</si>
  <si>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</si>
  <si>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</si>
  <si>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</si>
  <si>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</si>
  <si>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</si>
  <si>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</si>
  <si>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</si>
  <si>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</si>
  <si>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</si>
  <si>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</si>
  <si>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</si>
  <si>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</si>
  <si>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</si>
  <si>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</si>
  <si>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</si>
  <si>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</si>
  <si>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</si>
  <si>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</si>
  <si>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</si>
  <si>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</si>
  <si>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</si>
  <si>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</si>
  <si>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</si>
  <si>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</si>
  <si>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</si>
  <si>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</si>
  <si>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</si>
  <si>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</si>
  <si>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</si>
  <si>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</si>
  <si>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</si>
  <si>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</si>
  <si>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</si>
  <si>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</si>
  <si>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</si>
  <si>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</si>
  <si>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</si>
  <si>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</si>
  <si>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</si>
  <si>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</si>
  <si>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</si>
  <si>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</si>
  <si>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</si>
  <si>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</si>
  <si>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</si>
  <si>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</si>
  <si>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</si>
  <si>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</si>
  <si>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</si>
  <si>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</si>
  <si>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</si>
  <si>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</si>
  <si>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</si>
  <si>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</si>
  <si>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</si>
  <si>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</si>
  <si>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</si>
  <si>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</si>
  <si>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</si>
  <si>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</si>
  <si>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</si>
  <si>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</si>
  <si>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</si>
  <si>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</si>
  <si>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</si>
  <si>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</si>
  <si>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</si>
  <si>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</si>
  <si>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</si>
  <si>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</si>
  <si>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</si>
  <si>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</si>
  <si>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</si>
  <si>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</si>
  <si>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</si>
  <si>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</si>
  <si>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</si>
  <si>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</si>
  <si>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</si>
  <si>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</si>
  <si>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</si>
  <si>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</si>
  <si>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</si>
  <si>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</si>
  <si>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</si>
  <si>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</si>
  <si>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</si>
  <si>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</si>
  <si>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</si>
  <si>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</si>
  <si>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</si>
  <si>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</si>
  <si>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</si>
  <si>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</si>
  <si>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</si>
  <si>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</si>
  <si>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</si>
  <si>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</si>
  <si>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</si>
  <si>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</si>
  <si>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</si>
  <si>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</si>
  <si>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</si>
  <si>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</si>
  <si>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</si>
  <si>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</si>
  <si>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</si>
  <si>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</si>
  <si>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</si>
  <si>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</si>
  <si>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</si>
  <si>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</si>
  <si>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</si>
  <si>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</si>
  <si>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</si>
  <si>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</si>
  <si>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</si>
  <si>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</si>
  <si>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</si>
  <si>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</si>
  <si>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</si>
  <si>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</si>
  <si>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</si>
  <si>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</si>
  <si>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</si>
  <si>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</si>
  <si>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</si>
  <si>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</si>
  <si>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</si>
  <si>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</si>
  <si>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</si>
  <si>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</si>
  <si>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</si>
  <si>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</si>
  <si>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</si>
  <si>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</si>
  <si>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</si>
  <si>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</si>
  <si>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</si>
  <si>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</si>
  <si>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</si>
  <si>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</si>
  <si>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</si>
  <si>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</si>
  <si>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</si>
  <si>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</si>
  <si>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</si>
  <si>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</si>
  <si>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</si>
  <si>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</si>
  <si>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</si>
  <si>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</si>
  <si>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</si>
  <si>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</si>
  <si>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</si>
  <si>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</si>
  <si>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</si>
  <si>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</si>
  <si>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</si>
  <si>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</si>
  <si>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</si>
  <si>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</si>
  <si>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</si>
  <si>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</si>
  <si>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</si>
  <si>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</si>
  <si>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</si>
  <si>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</si>
  <si>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</si>
  <si>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</si>
  <si>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</si>
  <si>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</si>
  <si>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</si>
  <si>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</si>
  <si>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</si>
  <si>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</si>
  <si>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</si>
  <si>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</si>
  <si>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</si>
  <si>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</si>
  <si>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</si>
  <si>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</si>
  <si>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</si>
  <si>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</si>
  <si>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</si>
  <si>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</si>
  <si>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</si>
  <si>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</si>
  <si>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</si>
  <si>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</si>
  <si>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</si>
  <si>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</si>
  <si>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</si>
  <si>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</si>
  <si>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</si>
  <si>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</si>
  <si>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</si>
  <si>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</si>
  <si>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</si>
  <si>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</si>
  <si>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</si>
  <si>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</si>
  <si>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</si>
  <si>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</si>
  <si>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</si>
  <si>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</si>
  <si>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</si>
  <si>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</si>
  <si>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</si>
  <si>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</si>
  <si>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</si>
  <si>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</si>
  <si>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</si>
  <si>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</si>
  <si>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</si>
  <si>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</si>
  <si>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</si>
  <si>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</si>
  <si>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</si>
  <si>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</si>
  <si>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</si>
  <si>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</si>
  <si>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</si>
  <si>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</si>
  <si>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</si>
  <si>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</si>
  <si>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</si>
  <si>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</si>
  <si>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</si>
  <si>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</si>
  <si>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</si>
  <si>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</si>
  <si>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</si>
  <si>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</si>
  <si>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</si>
  <si>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</si>
  <si>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</si>
  <si>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</si>
  <si>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</si>
  <si>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</si>
  <si>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</si>
  <si>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</si>
  <si>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</si>
  <si>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</si>
  <si>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</si>
  <si>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</si>
  <si>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</si>
  <si>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</si>
  <si>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</si>
  <si>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</si>
  <si>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</si>
  <si>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</si>
  <si>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</si>
  <si>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</si>
  <si>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</si>
  <si>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</si>
  <si>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</si>
  <si>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</si>
  <si>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</si>
  <si>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</si>
  <si>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</si>
  <si>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</si>
  <si>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</si>
  <si>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</si>
  <si>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</si>
  <si>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</si>
  <si>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</si>
  <si>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</si>
  <si>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</si>
  <si>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</si>
  <si>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</si>
  <si>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</si>
  <si>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</si>
  <si>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</si>
  <si>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</si>
  <si>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</si>
  <si>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</si>
  <si>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</si>
  <si>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</si>
  <si>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</si>
  <si>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</si>
  <si>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</si>
  <si>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</si>
  <si>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</si>
  <si>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</si>
  <si>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</si>
  <si>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</si>
  <si>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</si>
  <si>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</si>
  <si>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</si>
  <si>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</si>
  <si>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</si>
  <si>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</si>
  <si>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</si>
  <si>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</si>
  <si>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</si>
  <si>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</si>
  <si>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</si>
  <si>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</si>
  <si>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</si>
  <si>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</si>
  <si>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</si>
  <si>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</si>
  <si>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</si>
  <si>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</si>
  <si>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</si>
  <si>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</si>
  <si>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</si>
  <si>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</si>
  <si>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</si>
  <si>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</si>
  <si>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</si>
  <si>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</si>
  <si>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</si>
  <si>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</si>
  <si>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</si>
  <si>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</si>
  <si>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</si>
  <si>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</si>
  <si>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</si>
  <si>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</si>
  <si>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</si>
  <si>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</si>
  <si>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</si>
  <si>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</si>
  <si>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</si>
  <si>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</si>
  <si>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</si>
  <si>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</si>
  <si>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</si>
  <si>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</si>
  <si>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</si>
  <si>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</si>
  <si>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</si>
  <si>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</si>
  <si>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</si>
  <si>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</si>
  <si>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</si>
  <si>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</si>
  <si>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</si>
  <si>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</si>
  <si>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</si>
  <si>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</si>
  <si>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</si>
  <si>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</si>
  <si>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</si>
  <si>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</si>
  <si>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</si>
  <si>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</si>
  <si>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</si>
  <si>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</si>
  <si>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</si>
  <si>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</si>
  <si>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</si>
  <si>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</si>
  <si>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</si>
  <si>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</si>
  <si>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</si>
  <si>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</si>
  <si>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</si>
  <si>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</si>
  <si>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</si>
  <si>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</si>
  <si>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</si>
  <si>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</si>
  <si>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</si>
  <si>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</si>
  <si>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</si>
  <si>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</si>
  <si>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</si>
  <si>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</si>
  <si>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</si>
  <si>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</si>
  <si>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</si>
  <si>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</si>
  <si>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</si>
  <si>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</si>
  <si>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</si>
  <si>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</si>
  <si>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</si>
  <si>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</si>
  <si>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</si>
  <si>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</si>
  <si>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</si>
  <si>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</si>
  <si>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</si>
  <si>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</si>
  <si>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</si>
  <si>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</si>
  <si>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</si>
  <si>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</si>
  <si>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</si>
  <si>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</si>
  <si>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</si>
  <si>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</si>
  <si>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</si>
  <si>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</si>
  <si>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</si>
  <si>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</si>
  <si>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</si>
  <si>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</si>
  <si>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</si>
  <si>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</si>
  <si>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</si>
  <si>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</si>
  <si>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</si>
  <si>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</si>
  <si>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</si>
  <si>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</si>
  <si>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</si>
  <si>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</si>
  <si>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</si>
  <si>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</si>
  <si>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</si>
  <si>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</si>
  <si>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</si>
  <si>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</si>
  <si>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</si>
  <si>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</si>
  <si>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</si>
  <si>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</si>
  <si>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</si>
  <si>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</si>
  <si>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</si>
  <si>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</si>
  <si>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</si>
  <si>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</si>
  <si>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</si>
  <si>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</si>
  <si>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</si>
  <si>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</si>
  <si>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</si>
  <si>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</si>
  <si>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</si>
  <si>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</si>
  <si>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</si>
  <si>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</si>
  <si>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</si>
  <si>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</si>
  <si>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</si>
  <si>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</si>
  <si>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</si>
  <si>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</si>
  <si>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</si>
  <si>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</si>
  <si>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</si>
  <si>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</si>
  <si>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</si>
  <si>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</si>
  <si>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</si>
  <si>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</si>
  <si>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</si>
  <si>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</si>
  <si>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</si>
  <si>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</si>
  <si>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</si>
  <si>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</si>
  <si>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</si>
  <si>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</si>
  <si>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</si>
  <si>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</si>
  <si>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</si>
  <si>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</si>
  <si>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</si>
  <si>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</si>
  <si>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</si>
  <si>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</si>
  <si>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</si>
  <si>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</si>
  <si>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</si>
  <si>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</si>
  <si>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</si>
  <si>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</si>
  <si>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</si>
  <si>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</si>
  <si>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</si>
  <si>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</si>
  <si>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</si>
  <si>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</si>
  <si>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</si>
  <si>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</si>
  <si>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</si>
  <si>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</si>
  <si>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</si>
  <si>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</si>
  <si>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</si>
  <si>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</si>
  <si>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</si>
  <si>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</si>
  <si>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</si>
  <si>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</si>
  <si>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</si>
  <si>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</si>
  <si>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</si>
  <si>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</si>
  <si>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</si>
  <si>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</si>
  <si>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</si>
  <si>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</si>
  <si>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</si>
  <si>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</si>
  <si>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</si>
  <si>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</si>
  <si>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</si>
  <si>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</si>
  <si>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</si>
  <si>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</si>
  <si>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</si>
  <si>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</si>
  <si>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</si>
  <si>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</si>
  <si>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</si>
  <si>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</si>
  <si>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</si>
  <si>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</si>
  <si>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</si>
  <si>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</si>
  <si>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</si>
  <si>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</si>
  <si>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</si>
  <si>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</si>
  <si>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</si>
  <si>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</si>
  <si>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</si>
  <si>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</si>
  <si>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</si>
  <si>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</si>
  <si>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</si>
  <si>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</si>
  <si>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</si>
  <si>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</si>
  <si>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</si>
  <si>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</si>
  <si>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</si>
  <si>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</si>
  <si>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</si>
  <si>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</si>
  <si>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</si>
  <si>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</si>
  <si>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</si>
  <si>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</si>
  <si>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</si>
  <si>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</si>
  <si>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</si>
  <si>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</si>
  <si>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</si>
  <si>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</si>
  <si>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</si>
  <si>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</si>
  <si>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</si>
  <si>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</si>
  <si>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</si>
  <si>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</si>
  <si>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</si>
  <si>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</si>
  <si>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</si>
  <si>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</si>
  <si>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</si>
  <si>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</si>
  <si>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</si>
  <si>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</si>
  <si>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</si>
  <si>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</si>
  <si>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</si>
  <si>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</si>
  <si>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</si>
  <si>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</si>
  <si>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</si>
  <si>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</si>
  <si>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</si>
  <si>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</si>
  <si>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</si>
  <si>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</si>
  <si>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</si>
  <si>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</si>
  <si>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</si>
  <si>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</si>
  <si>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</si>
  <si>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</si>
  <si>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</si>
  <si>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</si>
  <si>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</si>
  <si>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</si>
  <si>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</si>
  <si>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</si>
  <si>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</si>
  <si>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</si>
  <si>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</si>
  <si>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</si>
  <si>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</si>
  <si>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</si>
  <si>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</si>
  <si>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</si>
  <si>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</si>
  <si>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</si>
  <si>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</si>
  <si>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</si>
  <si>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</si>
  <si>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</si>
  <si>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</si>
  <si>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</si>
  <si>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</si>
  <si>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</si>
  <si>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</si>
  <si>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</si>
  <si>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</si>
  <si>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</si>
  <si>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</si>
  <si>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</si>
  <si>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</si>
  <si>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</si>
  <si>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</si>
  <si>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</si>
  <si>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</si>
  <si>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</si>
  <si>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</si>
  <si>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</si>
  <si>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</si>
  <si>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</si>
  <si>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</si>
  <si>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</si>
  <si>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</si>
  <si>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</si>
  <si>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</si>
  <si>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</si>
  <si>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</si>
  <si>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</si>
  <si>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</si>
  <si>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</si>
  <si>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</si>
  <si>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</si>
  <si>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</si>
  <si>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</si>
  <si>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</si>
  <si>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</si>
  <si>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</si>
  <si>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</si>
  <si>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</si>
  <si>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</si>
  <si>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</si>
  <si>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</si>
  <si>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</si>
  <si>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</si>
  <si>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</si>
  <si>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</si>
  <si>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</si>
  <si>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</si>
  <si>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</si>
  <si>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</si>
  <si>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</si>
  <si>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</si>
  <si>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</si>
  <si>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</si>
  <si>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</si>
  <si>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</si>
  <si>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</si>
  <si>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</si>
  <si>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</si>
  <si>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</si>
  <si>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</si>
  <si>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</si>
  <si>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</si>
  <si>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</si>
  <si>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</si>
  <si>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</si>
  <si>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</si>
  <si>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</si>
  <si>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</si>
  <si>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</si>
  <si>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</si>
  <si>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</si>
  <si>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</si>
  <si>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</si>
  <si>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</si>
  <si>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</si>
  <si>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</si>
  <si>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</si>
  <si>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</si>
  <si>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</si>
  <si>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</si>
  <si>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</si>
  <si>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</si>
  <si>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</si>
  <si>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</si>
  <si>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</si>
  <si>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</si>
  <si>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</si>
  <si>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</si>
  <si>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</si>
  <si>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</si>
  <si>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</si>
  <si>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</si>
  <si>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</si>
  <si>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</si>
  <si>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</si>
  <si>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</si>
  <si>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</si>
  <si>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</si>
  <si>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</si>
  <si>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</si>
  <si>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</si>
  <si>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</si>
  <si>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</si>
  <si>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</si>
  <si>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</si>
  <si>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</si>
  <si>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</si>
  <si>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</si>
  <si>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</si>
  <si>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</si>
  <si>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</si>
  <si>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</si>
  <si>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</si>
  <si>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</si>
  <si>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</si>
  <si>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</si>
  <si>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</si>
  <si>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</si>
  <si>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</si>
  <si>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</si>
  <si>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</si>
  <si>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</si>
  <si>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</si>
  <si>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</si>
  <si>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</si>
  <si>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</si>
  <si>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</si>
  <si>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</si>
  <si>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</si>
  <si>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</si>
  <si>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</si>
  <si>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</si>
  <si>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</si>
  <si>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</si>
  <si>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</si>
  <si>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</si>
  <si>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</si>
  <si>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</si>
  <si>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</si>
  <si>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</si>
  <si>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</si>
  <si>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</si>
  <si>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</si>
  <si>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</si>
  <si>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</si>
  <si>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</si>
  <si>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</si>
  <si>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</si>
  <si>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</si>
  <si>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</si>
  <si>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</si>
  <si>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</si>
  <si>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</si>
  <si>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</si>
  <si>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</si>
  <si>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</si>
  <si>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</si>
  <si>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</si>
  <si>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</si>
  <si>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</si>
  <si>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</si>
  <si>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</si>
  <si>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</si>
  <si>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</si>
  <si>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</si>
  <si>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</si>
  <si>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</si>
  <si>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</si>
  <si>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</si>
  <si>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</si>
  <si>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</si>
  <si>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</si>
  <si>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</si>
  <si>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</si>
  <si>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</si>
  <si>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</si>
  <si>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</si>
  <si>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</si>
  <si>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</si>
  <si>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</si>
  <si>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</si>
  <si>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</si>
  <si>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</si>
  <si>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</si>
  <si>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</si>
  <si>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</si>
  <si>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</si>
  <si>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</si>
  <si>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</si>
  <si>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</si>
  <si>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</si>
  <si>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</si>
  <si>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</si>
  <si>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</si>
  <si>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</si>
  <si>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</si>
  <si>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</si>
  <si>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</si>
  <si>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</si>
  <si>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</si>
  <si>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</si>
  <si>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</si>
  <si>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</si>
  <si>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</si>
  <si>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</si>
  <si>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</si>
  <si>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</si>
  <si>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</si>
  <si>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</si>
  <si>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</si>
  <si>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</si>
  <si>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</si>
  <si>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</si>
  <si>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</si>
  <si>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</si>
  <si>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</si>
  <si>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</si>
  <si>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</si>
  <si>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</si>
  <si>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</si>
  <si>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</si>
  <si>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</si>
  <si>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</si>
  <si>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</si>
  <si>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</si>
  <si>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</si>
  <si>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</si>
  <si>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</si>
  <si>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</si>
  <si>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</si>
  <si>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</si>
  <si>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</si>
  <si>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</si>
  <si>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</si>
  <si>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</si>
  <si>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</si>
  <si>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</si>
  <si>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</si>
  <si>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</si>
  <si>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</si>
  <si>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</si>
  <si>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</si>
  <si>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</si>
  <si>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</si>
  <si>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</si>
  <si>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</si>
  <si>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</si>
  <si>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</si>
  <si>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</si>
  <si>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</si>
  <si>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</si>
  <si>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</si>
  <si>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</si>
  <si>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</si>
  <si>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</si>
  <si>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</si>
  <si>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</si>
  <si>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</si>
  <si>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</si>
  <si>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</si>
  <si>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</si>
  <si>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</si>
  <si>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</si>
  <si>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</si>
  <si>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</si>
  <si>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</si>
  <si>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</si>
  <si>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</si>
  <si>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</si>
  <si>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</si>
  <si>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</si>
  <si>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</si>
  <si>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</si>
  <si>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</si>
  <si>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</si>
  <si>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</si>
  <si>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</si>
  <si>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</si>
  <si>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</si>
  <si>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</si>
  <si>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</si>
  <si>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</si>
  <si>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</si>
  <si>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</si>
  <si>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</si>
  <si>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</si>
  <si>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</si>
  <si>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</si>
  <si>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</si>
  <si>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</si>
  <si>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</si>
  <si>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</si>
  <si>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</si>
  <si>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</si>
  <si>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</si>
  <si>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</si>
  <si>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</si>
  <si>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</si>
  <si>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</si>
  <si>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</si>
  <si>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</si>
  <si>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</si>
  <si>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</si>
  <si>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</si>
  <si>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</si>
  <si>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</si>
  <si>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</si>
  <si>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</si>
  <si>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</si>
  <si>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</si>
  <si>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</si>
  <si>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</si>
  <si>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</si>
  <si>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</si>
  <si>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</si>
  <si>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</si>
  <si>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</si>
  <si>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</si>
  <si>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</si>
  <si>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</si>
  <si>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</si>
  <si>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</si>
  <si>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</si>
  <si>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</si>
  <si>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</si>
  <si>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</si>
  <si>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</si>
  <si>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</si>
  <si>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</si>
  <si>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</si>
  <si>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</si>
  <si>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</si>
  <si>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</si>
  <si>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</si>
  <si>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</si>
  <si>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</si>
  <si>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</si>
  <si>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</si>
  <si>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</si>
  <si>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</si>
  <si>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</si>
  <si>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</si>
  <si>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</si>
  <si>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</si>
  <si>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</si>
  <si>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</si>
  <si>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</si>
  <si>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</si>
  <si>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</si>
  <si>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</si>
  <si>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</si>
  <si>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</si>
  <si>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</si>
  <si>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</si>
  <si>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</si>
  <si>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</si>
  <si>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</si>
  <si>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</si>
  <si>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</si>
  <si>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</si>
  <si>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</si>
  <si>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</si>
  <si>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</si>
  <si>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</si>
  <si>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</si>
  <si>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</si>
  <si>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</si>
  <si>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</si>
  <si>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</si>
  <si>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</si>
  <si>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</si>
  <si>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</si>
  <si>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</si>
  <si>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</si>
  <si>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</si>
  <si>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</si>
  <si>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</si>
  <si>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</si>
  <si>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</si>
  <si>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</si>
  <si>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</si>
  <si>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</si>
  <si>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</si>
  <si>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</si>
  <si>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</si>
  <si>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</si>
  <si>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</si>
  <si>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</si>
  <si>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</si>
  <si>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</si>
  <si>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</si>
  <si>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</si>
  <si>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</si>
  <si>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</si>
  <si>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</si>
  <si>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</si>
  <si>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</si>
  <si>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</si>
  <si>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</si>
  <si>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</si>
  <si>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</si>
  <si>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</si>
  <si>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</si>
  <si>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</si>
  <si>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</si>
  <si>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</si>
  <si>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</si>
  <si>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</si>
  <si>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</si>
  <si>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</si>
  <si>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</si>
  <si>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</si>
  <si>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</si>
  <si>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</si>
  <si>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</si>
  <si>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</si>
  <si>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</si>
  <si>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</si>
  <si>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</si>
  <si>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</si>
  <si>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</si>
  <si>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2020-3</t>
    <phoneticPr fontId="140"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</si>
  <si>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</si>
  <si>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</si>
  <si>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</si>
  <si>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</si>
  <si>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</si>
  <si>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</si>
  <si>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</si>
  <si>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</si>
  <si>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</si>
  <si>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</si>
  <si>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</si>
  <si>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</si>
  <si>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</si>
  <si>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</si>
  <si>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</si>
  <si>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</si>
  <si>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</si>
  <si>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</si>
  <si>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</si>
  <si>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</si>
  <si>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</si>
  <si>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</si>
  <si>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</si>
  <si>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</si>
  <si>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</si>
  <si>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</si>
  <si>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</si>
  <si>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</si>
  <si>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</si>
  <si>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</si>
  <si>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</si>
  <si>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</si>
  <si>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</si>
  <si>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</si>
  <si>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</si>
  <si>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</si>
  <si>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</si>
  <si>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</si>
  <si>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</si>
  <si>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</si>
  <si>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</si>
  <si>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</si>
  <si>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</si>
  <si>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</si>
  <si>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</si>
  <si>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</si>
  <si>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</si>
  <si>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</si>
  <si>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</si>
  <si>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</si>
  <si>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</si>
  <si>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</si>
  <si>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</si>
  <si>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</si>
  <si>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</si>
  <si>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</si>
  <si>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</si>
  <si>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</si>
  <si>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</si>
  <si>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</si>
  <si>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</si>
  <si>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</si>
  <si>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</si>
  <si>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</si>
  <si>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</si>
  <si>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</si>
  <si>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</si>
  <si>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</si>
  <si>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</si>
  <si>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</si>
  <si>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</si>
  <si>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</si>
  <si>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</si>
  <si>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</si>
  <si>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</si>
  <si>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</si>
  <si>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</si>
  <si>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</si>
  <si>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</si>
  <si>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</si>
  <si>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</si>
  <si>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</si>
  <si>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</si>
  <si>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</si>
  <si>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</si>
  <si>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</si>
  <si>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</si>
  <si>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</si>
  <si>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</si>
  <si>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</si>
  <si>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</si>
  <si>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</si>
  <si>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</si>
  <si>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</si>
  <si>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</si>
  <si>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</si>
  <si>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</si>
  <si>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</si>
  <si>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</si>
  <si>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</si>
  <si>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</si>
  <si>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</si>
  <si>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</si>
  <si>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</si>
  <si>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</si>
  <si>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</si>
  <si>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</si>
  <si>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</si>
  <si>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</si>
  <si>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</si>
  <si>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</si>
  <si>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</si>
  <si>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</si>
  <si>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</si>
  <si>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</si>
  <si>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</si>
  <si>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</si>
  <si>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</si>
  <si>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</si>
  <si>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</si>
  <si>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</si>
  <si>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</si>
  <si>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</si>
  <si>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</si>
  <si>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</si>
  <si>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</si>
  <si>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</si>
  <si>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</si>
  <si>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</si>
  <si>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</si>
  <si>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</si>
  <si>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</si>
  <si>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</si>
  <si>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</si>
  <si>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</si>
  <si>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</si>
  <si>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</si>
  <si>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</si>
  <si>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</si>
  <si>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</si>
  <si>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</si>
  <si>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</si>
  <si>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</si>
  <si>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</si>
  <si>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</si>
  <si>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</si>
  <si>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</si>
  <si>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</si>
  <si>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</si>
  <si>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</si>
  <si>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</si>
  <si>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</si>
  <si>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</si>
  <si>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</si>
  <si>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</si>
  <si>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</si>
  <si>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</si>
  <si>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</si>
  <si>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</si>
  <si>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</si>
  <si>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</si>
  <si>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</si>
  <si>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</si>
  <si>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</si>
  <si>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</si>
  <si>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</si>
  <si>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</si>
  <si>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</si>
  <si>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</si>
  <si>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</si>
  <si>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</si>
  <si>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</si>
  <si>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</si>
  <si>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</si>
  <si>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</si>
  <si>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</si>
  <si>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</si>
  <si>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</si>
  <si>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</si>
  <si>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</si>
  <si>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</si>
  <si>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</si>
  <si>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</si>
  <si>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</si>
  <si>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</si>
  <si>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</si>
  <si>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抵押</t>
  </si>
  <si>
    <t>房地产抵押价值</t>
  </si>
  <si>
    <t>北京市</t>
  </si>
  <si>
    <t>企业</t>
  </si>
  <si>
    <t>出让</t>
  </si>
  <si>
    <t>是</t>
  </si>
  <si>
    <t>否</t>
  </si>
  <si>
    <t>复印件</t>
  </si>
  <si>
    <t>办公项目</t>
  </si>
  <si>
    <t>无</t>
  </si>
  <si>
    <t>现房</t>
  </si>
  <si>
    <t>通路</t>
  </si>
  <si>
    <t>通讯</t>
  </si>
  <si>
    <t>通电</t>
  </si>
  <si>
    <t>通上水</t>
  </si>
  <si>
    <t>通下水</t>
  </si>
  <si>
    <t>通热</t>
  </si>
  <si>
    <r>
      <t>6</t>
    </r>
    <r>
      <rPr>
        <sz val="10"/>
        <color indexed="8"/>
        <rFont val="宋体"/>
        <family val="3"/>
        <charset val="134"/>
      </rPr>
      <t>层</t>
    </r>
    <phoneticPr fontId="3" type="noConversion"/>
  </si>
  <si>
    <t>地上</t>
  </si>
  <si>
    <t>办公楼</t>
  </si>
  <si>
    <t>办公</t>
    <phoneticPr fontId="7" type="noConversion"/>
  </si>
  <si>
    <t>成新度</t>
  </si>
  <si>
    <t>收益法</t>
  </si>
  <si>
    <t>未包含在土地购买价格中</t>
  </si>
  <si>
    <t>全部缴纳</t>
  </si>
  <si>
    <t>已包含在土地取得成本中</t>
  </si>
  <si>
    <t>商务金融用地（办公类）</t>
  </si>
  <si>
    <t>与级别开发程度不一致</t>
  </si>
  <si>
    <t>平整</t>
  </si>
  <si>
    <t>按公示增长率计算</t>
  </si>
  <si>
    <t>容积率修正</t>
  </si>
  <si>
    <t>押一</t>
  </si>
  <si>
    <t>按租金收入计税</t>
  </si>
  <si>
    <t>钢混</t>
  </si>
  <si>
    <t>非生产用房</t>
  </si>
  <si>
    <t>成本法</t>
  </si>
  <si>
    <t>成本比率</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</si>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</sst>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38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184" fontId="63" fillId="0" borderId="1" xfId="0" applyNumberFormat="1" applyFont="1" applyFill="1" applyBorder="1" applyAlignment="1" applyProtection="1">
      <alignment horizontal="center" vertical="center" shrinkToFit="1"/>
      <protection locked="0"/>
    </xf>
    <xf numFmtId="177" fontId="79" fillId="0" borderId="1" xfId="1" applyNumberFormat="1" applyFont="1" applyFill="1" applyBorder="1" applyAlignment="1" applyProtection="1">
      <alignment vertical="center"/>
      <protection locked="0" hidden="1"/>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32043;&#29020;/2020/&#39033;&#30446;/P03-&#20013;&#20851;&#26449;&#31185;&#36152;&#30005;&#23376;&#22478;6&#23618;-2020-9.1&#358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0">
          <cell r="G20">
            <v>5.1999999999999998E-2</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估价对象为北京市房地产，为所有。根据《国有土地使用证》[]，估价对象（分摊）出让国有建设用地使用权面积为927.85平方米，建筑面积为8276.64平方米。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估价对象为北京市房地产,属开发建设的办公项目，该项目尚在开发建设中。根据《国有土地使用证》[]，估价对象（分摊）出让国有建设用地使用权面积为927.85平方米，规划建筑面积为8276.64平方米。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2020年9月2日</v>
      </c>
    </row>
    <row r="13" spans="1:2" s="1365" customFormat="1">
      <c r="A13" s="1363" t="s">
        <v>1194</v>
      </c>
      <c r="B13" s="1364" t="str">
        <f>'预评函-1'!A18</f>
        <v>本次估价的“房地产价值”是指在正常市场情况下，在价值时点2020年9月2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通路、通电、通讯、通上水、通下水、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23373</v>
      </c>
    </row>
    <row r="21" spans="1:2" s="1365" customFormat="1">
      <c r="A21" s="1363" t="s">
        <v>1202</v>
      </c>
      <c r="B21" s="1364">
        <f ca="1">'预评函-2'!D7</f>
        <v>28240</v>
      </c>
    </row>
    <row r="22" spans="1:2" s="1365" customFormat="1">
      <c r="A22" s="1363" t="s">
        <v>1203</v>
      </c>
      <c r="B22" s="1364" t="str">
        <f ca="1">'预评函-2'!D6</f>
        <v>贰亿叁仟叁佰柒拾叁万元整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23373</v>
      </c>
    </row>
    <row r="31" spans="1:2" s="1365" customFormat="1">
      <c r="A31" s="1363" t="s">
        <v>1241</v>
      </c>
      <c r="B31" s="1364">
        <f ca="1">'预评函-2'!D15</f>
        <v>28240</v>
      </c>
    </row>
    <row r="32" spans="1:2" s="1365" customFormat="1">
      <c r="A32" s="1363" t="s">
        <v>1208</v>
      </c>
      <c r="B32" s="1364" t="str">
        <f ca="1">'预评函-2'!D14</f>
        <v>贰亿叁仟叁佰柒拾叁万元整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北京市房地产</v>
      </c>
    </row>
    <row r="42" spans="1:2" s="1365" customFormat="1">
      <c r="A42" s="1363" t="s">
        <v>1255</v>
      </c>
      <c r="B42" s="1364" t="str">
        <f>'预评函-3'!B2</f>
        <v>建筑面积</v>
      </c>
    </row>
    <row r="43" spans="1:2" s="1365" customFormat="1">
      <c r="A43" s="1363" t="s">
        <v>1256</v>
      </c>
      <c r="B43" s="1364">
        <f>'预评函-3'!B4</f>
        <v>8276.64</v>
      </c>
    </row>
    <row r="44" spans="1:2" s="1365" customFormat="1">
      <c r="A44" s="1363" t="s">
        <v>1240</v>
      </c>
      <c r="B44" s="1364" t="str">
        <f>'预评函-3'!C2</f>
        <v>(分摊)土地面积</v>
      </c>
    </row>
    <row r="45" spans="1:2" s="1365" customFormat="1">
      <c r="A45" s="1363" t="s">
        <v>1212</v>
      </c>
      <c r="B45" s="1364">
        <f>'预评函-3'!C4</f>
        <v>927.85</v>
      </c>
    </row>
    <row r="46" spans="1:2" s="1365" customFormat="1">
      <c r="A46" s="1363" t="s">
        <v>1238</v>
      </c>
      <c r="B46" s="1364" t="str">
        <f>'预评函-3'!D2</f>
        <v>出让国有建设用地使用权价值</v>
      </c>
    </row>
    <row r="47" spans="1:2" s="1365" customFormat="1">
      <c r="A47" s="1363" t="s">
        <v>1213</v>
      </c>
      <c r="B47" s="1364">
        <f ca="1">'预评函-3'!D4</f>
        <v>21269</v>
      </c>
    </row>
    <row r="48" spans="1:2" s="1365" customFormat="1">
      <c r="A48" s="1363" t="s">
        <v>1214</v>
      </c>
      <c r="B48" s="1364">
        <f ca="1">'预评函-3'!E4</f>
        <v>25698</v>
      </c>
    </row>
    <row r="49" spans="1:2" s="1365" customFormat="1">
      <c r="A49" s="1363" t="s">
        <v>1215</v>
      </c>
      <c r="B49" s="1364" t="str">
        <f ca="1">'预评函-3'!D5</f>
        <v>贰亿壹仟贰佰陆拾玖万元整</v>
      </c>
    </row>
    <row r="50" spans="1:2" s="1365" customFormat="1">
      <c r="A50" s="1363" t="s">
        <v>1239</v>
      </c>
      <c r="B50" s="1364" t="str">
        <f>'预评函-3'!F2</f>
        <v>在建建筑物价值</v>
      </c>
    </row>
    <row r="51" spans="1:2" s="1365" customFormat="1">
      <c r="A51" s="1363" t="s">
        <v>1216</v>
      </c>
      <c r="B51" s="1364">
        <f ca="1">'预评函-3'!F4</f>
        <v>2104</v>
      </c>
    </row>
    <row r="52" spans="1:2" s="1365" customFormat="1">
      <c r="A52" s="1363" t="s">
        <v>1217</v>
      </c>
      <c r="B52" s="1364">
        <f ca="1">'预评函-3'!G4</f>
        <v>2542</v>
      </c>
    </row>
    <row r="53" spans="1:2" s="1365" customFormat="1">
      <c r="A53" s="1363" t="s">
        <v>1245</v>
      </c>
      <c r="B53" s="1364" t="str">
        <f ca="1">'预评函-3'!F5</f>
        <v>贰仟壹佰零肆万元整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c r="A7" s="1733" t="s">
        <v>1707</v>
      </c>
      <c r="B7" s="1736" t="s">
        <v>1115</v>
      </c>
      <c r="C7" s="1734" t="s">
        <v>31</v>
      </c>
      <c r="F7" s="1735" t="s">
        <v>1708</v>
      </c>
      <c r="H7" s="1735" t="s">
        <v>1709</v>
      </c>
      <c r="I7" s="1735" t="s">
        <v>1710</v>
      </c>
    </row>
    <row r="8" spans="1:23">
      <c r="A8" s="1733" t="s">
        <v>1711</v>
      </c>
      <c r="B8" s="1733" t="s">
        <v>1712</v>
      </c>
      <c r="C8" s="1734" t="s">
        <v>764</v>
      </c>
      <c r="F8" s="1735" t="s">
        <v>1713</v>
      </c>
      <c r="H8" s="1735"/>
      <c r="I8" s="1735" t="s">
        <v>1714</v>
      </c>
    </row>
    <row r="9" spans="1:23">
      <c r="A9" s="1733" t="s">
        <v>1715</v>
      </c>
      <c r="B9" s="1733" t="s">
        <v>1716</v>
      </c>
      <c r="C9" s="1734" t="s">
        <v>765</v>
      </c>
      <c r="F9" s="1735" t="s">
        <v>1717</v>
      </c>
      <c r="H9" s="1735"/>
    </row>
    <row r="10" spans="1:23">
      <c r="A10" s="1733" t="s">
        <v>1718</v>
      </c>
      <c r="B10" s="1733" t="s">
        <v>1719</v>
      </c>
      <c r="C10" s="1734" t="s">
        <v>766</v>
      </c>
      <c r="F10" s="1735" t="s">
        <v>16</v>
      </c>
    </row>
    <row r="11" spans="1:23">
      <c r="A11" s="1733" t="s">
        <v>1720</v>
      </c>
      <c r="B11" s="1733" t="s">
        <v>1721</v>
      </c>
      <c r="C11" s="1734" t="s">
        <v>767</v>
      </c>
    </row>
    <row r="12" spans="1:23">
      <c r="A12" s="1733" t="s">
        <v>1722</v>
      </c>
      <c r="B12" s="1733" t="s">
        <v>1723</v>
      </c>
      <c r="C12" s="1734" t="s">
        <v>768</v>
      </c>
    </row>
    <row r="13" spans="1:23">
      <c r="A13" s="1733" t="s">
        <v>1724</v>
      </c>
      <c r="B13" s="1733" t="s">
        <v>1725</v>
      </c>
      <c r="C13" s="1734" t="s">
        <v>769</v>
      </c>
    </row>
    <row r="14" spans="1:23">
      <c r="A14" s="1733" t="s">
        <v>1726</v>
      </c>
      <c r="B14" s="1733" t="s">
        <v>1727</v>
      </c>
      <c r="C14" s="1735" t="s">
        <v>16</v>
      </c>
    </row>
    <row r="15" spans="1:23">
      <c r="A15" s="1733" t="s">
        <v>1728</v>
      </c>
      <c r="B15" s="1733" t="s">
        <v>1729</v>
      </c>
      <c r="C15" s="1734"/>
    </row>
    <row r="16" spans="1:23">
      <c r="A16" s="1733" t="s">
        <v>1730</v>
      </c>
      <c r="B16" s="1733" t="s">
        <v>756</v>
      </c>
      <c r="C16" s="1734"/>
    </row>
    <row r="17" spans="1:3">
      <c r="A17" s="1733" t="s">
        <v>1731</v>
      </c>
      <c r="B17" s="1733" t="s">
        <v>3041</v>
      </c>
      <c r="C17" s="1734"/>
    </row>
    <row r="18" spans="1:3">
      <c r="A18" s="1733" t="s">
        <v>1732</v>
      </c>
      <c r="B18" s="1733" t="s">
        <v>757</v>
      </c>
      <c r="C18" s="1734"/>
    </row>
    <row r="19" spans="1:3">
      <c r="A19" s="1733" t="s">
        <v>1733</v>
      </c>
      <c r="B19" s="1733" t="s">
        <v>757</v>
      </c>
      <c r="C19" s="1734"/>
    </row>
    <row r="20" spans="1:3">
      <c r="A20" s="1733" t="s">
        <v>1734</v>
      </c>
      <c r="B20" s="1733" t="s">
        <v>757</v>
      </c>
      <c r="C20" s="1734"/>
    </row>
    <row r="21" spans="1:3">
      <c r="A21" s="1733" t="s">
        <v>1735</v>
      </c>
      <c r="B21" s="1733" t="s">
        <v>757</v>
      </c>
      <c r="C21" s="1734"/>
    </row>
    <row r="22" spans="1:3">
      <c r="A22" s="1733" t="s">
        <v>1736</v>
      </c>
      <c r="B22" s="1733" t="s">
        <v>757</v>
      </c>
      <c r="C22" s="1734"/>
    </row>
    <row r="23" spans="1:3">
      <c r="A23" s="1733" t="s">
        <v>1737</v>
      </c>
      <c r="B23" s="1733" t="s">
        <v>757</v>
      </c>
      <c r="C23" s="1734"/>
    </row>
    <row r="24" spans="1:3">
      <c r="A24" s="1733" t="s">
        <v>1738</v>
      </c>
      <c r="B24" s="1733" t="s">
        <v>757</v>
      </c>
      <c r="C24" s="1734"/>
    </row>
    <row r="25" spans="1:3">
      <c r="A25" s="1733" t="s">
        <v>1739</v>
      </c>
      <c r="B25" s="1733" t="s">
        <v>757</v>
      </c>
      <c r="C25" s="1734"/>
    </row>
    <row r="26" spans="1:3">
      <c r="A26" s="1733" t="s">
        <v>1740</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088"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9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88"/>
      <c r="B54" s="1741" t="s">
        <v>832</v>
      </c>
      <c r="C54" s="1738" t="s">
        <v>1248</v>
      </c>
    </row>
    <row r="55" spans="1:4">
      <c r="A55" s="3088"/>
      <c r="B55" s="1741" t="s">
        <v>833</v>
      </c>
      <c r="C55" s="1738" t="s">
        <v>1249</v>
      </c>
    </row>
    <row r="56" spans="1:4">
      <c r="A56" s="3088"/>
      <c r="B56" s="1741" t="s">
        <v>834</v>
      </c>
      <c r="C56" s="1738" t="s">
        <v>1253</v>
      </c>
    </row>
    <row r="57" spans="1:4">
      <c r="A57" s="3088"/>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2" zoomScaleNormal="100" zoomScaleSheetLayoutView="100" workbookViewId="0">
      <selection activeCell="C38" sqref="C38"/>
    </sheetView>
  </sheetViews>
  <sheetFormatPr defaultColWidth="10" defaultRowHeight="12.75"/>
  <cols>
    <col min="1" max="1" width="16.875" style="1933" customWidth="1"/>
    <col min="2" max="2" width="10" style="1933" customWidth="1"/>
    <col min="3" max="3" width="11.5" style="1933" customWidth="1"/>
    <col min="4" max="4" width="10" style="1933" customWidth="1"/>
    <col min="5" max="5" width="12.625" style="1933" customWidth="1"/>
    <col min="6" max="6" width="10" style="1933" customWidth="1"/>
    <col min="7" max="7" width="10.75" style="1933" customWidth="1"/>
    <col min="8" max="8" width="10" style="1933" customWidth="1"/>
    <col min="9" max="9" width="11.12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5" thickBot="1">
      <c r="A1" s="2592" t="s">
        <v>2916</v>
      </c>
      <c r="B1" s="3089" t="str">
        <f>IF(B10="北京市","北京市",C10)&amp;F10&amp;IF(结果表!G1="在建","出让国有建设用地使用权及在建建筑物",IF(结果表!G1="土地","出让国有建设用地使用权",))&amp;B9&amp;"预评估"</f>
        <v>北京市房地产抵押价值预评估</v>
      </c>
      <c r="C1" s="3090"/>
      <c r="D1" s="3090"/>
      <c r="E1" s="3090"/>
      <c r="F1" s="3090"/>
      <c r="G1" s="3090"/>
      <c r="H1" s="3090"/>
      <c r="I1" s="3091"/>
      <c r="J1" s="2699"/>
      <c r="K1" s="2594"/>
      <c r="L1" s="2595"/>
      <c r="M1" s="2595"/>
      <c r="N1" s="2596"/>
      <c r="O1" s="1763"/>
      <c r="P1" s="2596"/>
      <c r="Q1" s="2596"/>
      <c r="R1" s="2596"/>
      <c r="S1" s="1870" t="str">
        <f>IF(B10="北京市","北京市",C10)&amp;F10&amp;IF(结果表!G1="在建","出让国有建设用地使用权及在建建筑物房地产抵押价值",IF(结果表!G1="土地","出让国有建设用地使用权抵押价值",B9))</f>
        <v>北京市房地产抵押价值</v>
      </c>
      <c r="T1" s="1933"/>
      <c r="U1" s="1933"/>
      <c r="V1" s="1933"/>
      <c r="W1" s="1933"/>
      <c r="X1" s="1933"/>
      <c r="Y1" s="1933"/>
      <c r="Z1" s="1933"/>
      <c r="AA1" s="1933"/>
      <c r="AB1" s="1933"/>
    </row>
    <row r="2" spans="1:28">
      <c r="A2" s="2593" t="s">
        <v>2917</v>
      </c>
      <c r="B2" s="2597"/>
      <c r="C2" s="2598"/>
      <c r="D2" s="2901"/>
      <c r="E2" s="2891"/>
      <c r="F2" s="2891"/>
      <c r="G2" s="2892"/>
      <c r="H2" s="2892"/>
      <c r="I2" s="2892"/>
      <c r="J2" s="2699"/>
      <c r="K2" s="2594"/>
      <c r="L2" s="2595"/>
      <c r="M2" s="2595"/>
      <c r="N2" s="2596"/>
      <c r="O2" s="1763"/>
      <c r="P2" s="2596"/>
      <c r="Q2" s="2596"/>
      <c r="R2" s="2596"/>
      <c r="S2" s="1870" t="str">
        <f>IF(B10="北京市","北京市",C10)&amp;F10&amp;IF(结果表!G1="在建","出让国有建设用地使用权及在建建筑物房地产",IF(结果表!G1="土地","出让国有建设用地使用权","房地产"))</f>
        <v>北京市房地产</v>
      </c>
      <c r="T2" s="1933"/>
      <c r="U2" s="1933"/>
      <c r="V2" s="1933"/>
      <c r="W2" s="1933"/>
      <c r="X2" s="1933"/>
      <c r="Y2" s="1933"/>
      <c r="Z2" s="1933"/>
      <c r="AA2" s="1933"/>
      <c r="AB2" s="1933"/>
    </row>
    <row r="3" spans="1:28">
      <c r="A3" s="308" t="s">
        <v>2918</v>
      </c>
      <c r="B3" s="2599"/>
      <c r="C3" s="2600" t="s">
        <v>2919</v>
      </c>
      <c r="D3" s="2599">
        <v>44076</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3.5" thickBot="1">
      <c r="A4" s="1250" t="s">
        <v>2920</v>
      </c>
      <c r="B4" s="2601"/>
      <c r="C4" s="2602">
        <f>SUMIF(注册房地产估价师,B4,估价师及机构信息!B3:B24)</f>
        <v>0</v>
      </c>
      <c r="D4" s="2601"/>
      <c r="E4" s="2603">
        <f>SUMIF(注册房地产估价师,D4,估价师及机构信息!B3:B24)</f>
        <v>0</v>
      </c>
      <c r="F4" s="2601"/>
      <c r="G4" s="2603">
        <f>SUMIF(注册房地产估价师,F4,估价师及机构信息!B3:B24)</f>
        <v>0</v>
      </c>
      <c r="H4" s="2601"/>
      <c r="I4" s="2603">
        <f>SUMIF(注册房地产估价师,H4,估价师及机构信息!B3:B24)</f>
        <v>0</v>
      </c>
      <c r="J4" s="2667"/>
      <c r="K4" s="2604" t="str">
        <f>CONCATENATE(B4,"（注册号：",C4,")、",D4,"（注册号：",E4,")")</f>
        <v>（注册号：0)、（注册号：0)</v>
      </c>
      <c r="L4" s="2595"/>
      <c r="M4" s="2595"/>
      <c r="N4" s="2596"/>
      <c r="O4" s="1763"/>
      <c r="P4" s="2596"/>
      <c r="Q4" s="2596"/>
      <c r="R4" s="2596"/>
      <c r="S4" s="1870"/>
      <c r="T4" s="1933"/>
      <c r="U4" s="1933"/>
      <c r="V4" s="1933"/>
      <c r="W4" s="1933"/>
      <c r="X4" s="1933"/>
      <c r="Y4" s="1933"/>
      <c r="Z4" s="1933"/>
      <c r="AA4" s="1933"/>
      <c r="AB4" s="1933"/>
    </row>
    <row r="5" spans="1:28" ht="13.5" thickTop="1">
      <c r="A5" s="2605" t="s">
        <v>2921</v>
      </c>
      <c r="B5" s="2606"/>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c r="A6" s="2609" t="s">
        <v>2922</v>
      </c>
      <c r="B6" s="2610"/>
      <c r="C6" s="2611"/>
      <c r="D6" s="2612"/>
      <c r="E6" s="2891"/>
      <c r="F6" s="2893"/>
      <c r="G6" s="2893"/>
      <c r="H6" s="2893"/>
      <c r="I6" s="2893"/>
      <c r="J6" s="2667"/>
      <c r="K6" s="2843" t="str">
        <f>IF(COUNTIF(B6,"*上海银行*"),"上海银行","")</f>
        <v/>
      </c>
      <c r="L6" s="2841"/>
      <c r="M6" s="2841"/>
      <c r="N6" s="2667"/>
      <c r="O6" s="2678"/>
      <c r="P6" s="2667"/>
      <c r="Q6" s="2667"/>
      <c r="R6" s="2667"/>
    </row>
    <row r="7" spans="1:28">
      <c r="A7" s="2609" t="s">
        <v>2923</v>
      </c>
      <c r="B7" s="2613"/>
      <c r="C7" s="2611"/>
      <c r="D7" s="2612"/>
      <c r="E7" s="2891"/>
      <c r="F7" s="2893"/>
      <c r="G7" s="2893"/>
      <c r="H7" s="2893"/>
      <c r="I7" s="2893"/>
      <c r="J7" s="2667"/>
      <c r="K7" s="2844"/>
      <c r="L7" s="2841"/>
      <c r="M7" s="2841"/>
      <c r="N7" s="2667"/>
      <c r="O7" s="2678"/>
      <c r="P7" s="2667"/>
      <c r="Q7" s="2667"/>
      <c r="R7" s="2667"/>
    </row>
    <row r="8" spans="1:28">
      <c r="A8" s="2614" t="s">
        <v>2924</v>
      </c>
      <c r="B8" s="2615" t="s">
        <v>3061</v>
      </c>
      <c r="C8" s="2616"/>
      <c r="D8" s="3092" t="s">
        <v>2925</v>
      </c>
      <c r="E8" s="2617" t="s">
        <v>3062</v>
      </c>
      <c r="F8" s="2618"/>
      <c r="G8" s="2892"/>
      <c r="H8" s="2892"/>
      <c r="I8" s="2892"/>
      <c r="J8" s="2667"/>
      <c r="K8" s="2842"/>
      <c r="L8" s="2841"/>
      <c r="M8" s="2841"/>
      <c r="N8" s="2667"/>
      <c r="O8" s="2678"/>
      <c r="P8" s="2667"/>
      <c r="Q8" s="2667"/>
      <c r="R8" s="2667"/>
    </row>
    <row r="9" spans="1:28" ht="13.5" thickBot="1">
      <c r="A9" s="2619" t="s">
        <v>2926</v>
      </c>
      <c r="B9" s="2620" t="s">
        <v>3062</v>
      </c>
      <c r="C9" s="2621"/>
      <c r="D9" s="3093"/>
      <c r="E9" s="2620"/>
      <c r="F9" s="2622"/>
      <c r="G9" s="2894"/>
      <c r="H9" s="2894"/>
      <c r="I9" s="2894"/>
      <c r="J9" s="2667"/>
      <c r="K9" s="2844"/>
      <c r="L9" s="2841"/>
      <c r="M9" s="2841"/>
      <c r="N9" s="2667"/>
      <c r="O9" s="2678"/>
      <c r="P9" s="2667"/>
      <c r="Q9" s="2667"/>
      <c r="R9" s="2667"/>
    </row>
    <row r="10" spans="1:28" ht="13.5" thickTop="1">
      <c r="A10" s="2623" t="s">
        <v>2927</v>
      </c>
      <c r="B10" s="2624" t="s">
        <v>3063</v>
      </c>
      <c r="C10" s="2625"/>
      <c r="D10" s="2608"/>
      <c r="E10" s="2626" t="s">
        <v>2928</v>
      </c>
      <c r="F10" s="2895"/>
      <c r="G10" s="2896"/>
      <c r="H10" s="2897"/>
      <c r="I10" s="2898"/>
      <c r="J10" s="2667"/>
      <c r="K10" s="2844"/>
      <c r="L10" s="2841"/>
      <c r="M10" s="2841"/>
      <c r="N10" s="2667"/>
      <c r="O10" s="2678"/>
      <c r="P10" s="2667"/>
      <c r="Q10" s="2667"/>
      <c r="R10" s="2667"/>
    </row>
    <row r="11" spans="1:28">
      <c r="A11" s="2627" t="s">
        <v>2929</v>
      </c>
      <c r="B11" s="2628" t="s">
        <v>3064</v>
      </c>
      <c r="C11" s="2629"/>
      <c r="D11" s="2630"/>
      <c r="E11" s="2596"/>
      <c r="F11" s="2596"/>
      <c r="G11" s="2596"/>
      <c r="H11" s="2596"/>
      <c r="I11" s="2596"/>
      <c r="J11" s="2667"/>
      <c r="K11" s="2844"/>
      <c r="L11" s="2841"/>
      <c r="M11" s="2841"/>
      <c r="N11" s="2667"/>
      <c r="O11" s="2678"/>
      <c r="P11" s="2667"/>
      <c r="Q11" s="2667"/>
      <c r="R11" s="2667"/>
    </row>
    <row r="12" spans="1:28">
      <c r="A12" s="2631" t="s">
        <v>2930</v>
      </c>
      <c r="B12" s="2628" t="s">
        <v>3065</v>
      </c>
      <c r="C12" s="329" t="s">
        <v>2931</v>
      </c>
      <c r="D12" s="2632" t="s">
        <v>2932</v>
      </c>
      <c r="E12" s="2632" t="s">
        <v>2933</v>
      </c>
      <c r="F12" s="2632" t="s">
        <v>2934</v>
      </c>
      <c r="G12" s="2632" t="s">
        <v>2935</v>
      </c>
      <c r="H12" s="2632" t="s">
        <v>2936</v>
      </c>
      <c r="I12" s="2632" t="s">
        <v>2937</v>
      </c>
      <c r="J12" s="2667"/>
      <c r="K12" s="2844"/>
      <c r="L12" s="2841"/>
      <c r="M12" s="2841"/>
      <c r="N12" s="2667"/>
      <c r="O12" s="2678"/>
      <c r="P12" s="2667"/>
      <c r="Q12" s="2667"/>
      <c r="R12" s="2667"/>
    </row>
    <row r="13" spans="1:28" ht="15">
      <c r="A13" s="1241"/>
      <c r="B13" s="2633"/>
      <c r="C13" s="2634" t="s">
        <v>2938</v>
      </c>
      <c r="D13" s="965"/>
      <c r="E13" s="965"/>
      <c r="F13" s="3044">
        <v>55330</v>
      </c>
      <c r="G13" s="965"/>
      <c r="H13" s="965"/>
      <c r="I13" s="965"/>
      <c r="J13" s="2667"/>
      <c r="K13" s="2844"/>
      <c r="L13" s="2841"/>
      <c r="M13" s="2841"/>
      <c r="N13" s="2667"/>
      <c r="O13" s="2678"/>
      <c r="P13" s="2667"/>
      <c r="Q13" s="2667"/>
      <c r="R13" s="2667"/>
    </row>
    <row r="14" spans="1:28">
      <c r="A14" s="1241"/>
      <c r="B14" s="2633"/>
      <c r="C14" s="2634" t="s">
        <v>2939</v>
      </c>
      <c r="D14" s="2635"/>
      <c r="E14" s="2635"/>
      <c r="F14" s="2635">
        <v>50</v>
      </c>
      <c r="G14" s="2635"/>
      <c r="H14" s="2635"/>
      <c r="I14" s="2635"/>
      <c r="J14" s="2667"/>
      <c r="K14" s="2845"/>
      <c r="L14" s="2841"/>
      <c r="M14" s="2841"/>
      <c r="N14" s="2667"/>
      <c r="O14" s="2678"/>
      <c r="P14" s="2667"/>
      <c r="Q14" s="2667"/>
      <c r="R14" s="2667"/>
    </row>
    <row r="15" spans="1:28">
      <c r="A15" s="326"/>
      <c r="B15" s="2636"/>
      <c r="C15" s="2637" t="s">
        <v>2940</v>
      </c>
      <c r="D15" s="2638" t="str">
        <f>IF(B12="出让",IF(D13="","",ROUNDDOWN(MIN((D13-$D$3)/365,D14),2)),D14)</f>
        <v/>
      </c>
      <c r="E15" s="2638" t="str">
        <f>IF(B12="出让",IF(E13="","",ROUNDDOWN(MIN((E13-$D$3)/365,E14),2)),E14)</f>
        <v/>
      </c>
      <c r="F15" s="2638">
        <f>IF(B12="出让",IF(F13="","",ROUNDDOWN(MIN((F13-$D$3)/365,F14),2)),F14)</f>
        <v>30.83</v>
      </c>
      <c r="G15" s="2638" t="str">
        <f>IF(B12="出让",IF(G13="","",ROUNDDOWN(MIN((G13-$D$3)/365,G14),2)),G14)</f>
        <v/>
      </c>
      <c r="H15" s="2638" t="str">
        <f>IF(B12="出让",IF(H13="","",ROUNDDOWN(MIN((H13-$D$3)/365,H14),2)),H14)</f>
        <v/>
      </c>
      <c r="I15" s="2638" t="str">
        <f>IF(B12="出让",IF(I13="","",ROUNDDOWN(MIN((I13-$D$3)/365,I14),2)),I14)</f>
        <v/>
      </c>
      <c r="J15" s="2667"/>
      <c r="K15" s="2846"/>
      <c r="L15" s="2679"/>
      <c r="M15" s="2679"/>
      <c r="N15" s="2737"/>
      <c r="O15" s="2679"/>
      <c r="P15" s="2737"/>
      <c r="Q15" s="2667"/>
      <c r="R15" s="2667"/>
    </row>
    <row r="16" spans="1:28">
      <c r="A16" s="2626" t="s">
        <v>2941</v>
      </c>
      <c r="B16" s="3099"/>
      <c r="C16" s="3100"/>
      <c r="D16" s="3101"/>
      <c r="E16" s="2641" t="s">
        <v>2942</v>
      </c>
      <c r="F16" s="3102"/>
      <c r="G16" s="3103"/>
      <c r="H16" s="3103"/>
      <c r="I16" s="3104"/>
      <c r="J16" s="2667"/>
      <c r="K16" s="2846"/>
      <c r="L16" s="2679"/>
      <c r="M16" s="2679"/>
      <c r="N16" s="2737"/>
      <c r="O16" s="2679"/>
      <c r="P16" s="2737"/>
      <c r="Q16" s="2667"/>
      <c r="R16" s="2667"/>
    </row>
    <row r="17" spans="1:28">
      <c r="A17" s="319" t="s">
        <v>2943</v>
      </c>
      <c r="B17" s="308" t="s">
        <v>2944</v>
      </c>
      <c r="C17" s="11">
        <f>'数据-汇总表'!E3</f>
        <v>8276.64</v>
      </c>
      <c r="D17" s="2547" t="s">
        <v>2945</v>
      </c>
      <c r="E17" s="3105" t="s">
        <v>2946</v>
      </c>
      <c r="F17" s="3106"/>
      <c r="G17" s="3106"/>
      <c r="H17" s="3106"/>
      <c r="I17" s="3107"/>
      <c r="J17" s="2667"/>
      <c r="K17" s="2847"/>
      <c r="L17" s="2679"/>
      <c r="M17" s="2679"/>
      <c r="N17" s="2737"/>
      <c r="O17" s="2679"/>
      <c r="P17" s="2737"/>
      <c r="Q17" s="2667"/>
      <c r="R17" s="2667"/>
      <c r="S17" s="2667"/>
      <c r="T17" s="2667"/>
      <c r="U17" s="2667"/>
      <c r="V17" s="2667"/>
    </row>
    <row r="18" spans="1:28" ht="24.75" thickBot="1">
      <c r="A18" s="2642" t="s">
        <v>2947</v>
      </c>
      <c r="B18" s="1250" t="s">
        <v>2948</v>
      </c>
      <c r="C18" s="2643">
        <f>'数据-汇总表'!D3</f>
        <v>927.85</v>
      </c>
      <c r="D18" s="1252" t="s">
        <v>2949</v>
      </c>
      <c r="E18" s="3108" t="s">
        <v>2950</v>
      </c>
      <c r="F18" s="3109"/>
      <c r="G18" s="3109"/>
      <c r="H18" s="3109"/>
      <c r="I18" s="3110"/>
      <c r="J18" s="2667"/>
      <c r="K18" s="2847"/>
      <c r="L18" s="2679"/>
      <c r="M18" s="2679"/>
      <c r="N18" s="2737"/>
      <c r="O18" s="2679"/>
      <c r="P18" s="2737"/>
      <c r="Q18" s="2667"/>
      <c r="R18" s="2667"/>
      <c r="S18" s="2667"/>
      <c r="T18" s="2667"/>
      <c r="U18" s="2667"/>
      <c r="V18" s="2667"/>
    </row>
    <row r="19" spans="1:28" ht="39.75" thickTop="1" thickBot="1">
      <c r="A19" s="333" t="s">
        <v>1741</v>
      </c>
      <c r="B19" s="313" t="s">
        <v>2951</v>
      </c>
      <c r="C19" s="1750" t="s">
        <v>3066</v>
      </c>
      <c r="D19" s="1751" t="s">
        <v>2952</v>
      </c>
      <c r="E19" s="1752" t="s">
        <v>3067</v>
      </c>
      <c r="F19" s="1753" t="str">
        <f>IF(AND(C19="是",E19="否"),"是否提供他项权证或相关说明","")</f>
        <v>是否提供他项权证或相关说明</v>
      </c>
      <c r="G19" s="1754"/>
      <c r="H19" s="2893"/>
      <c r="I19" s="2893"/>
      <c r="J19" s="2667"/>
      <c r="K19" s="2844"/>
      <c r="L19" s="2841"/>
      <c r="M19" s="2841"/>
      <c r="N19" s="2737"/>
      <c r="O19" s="2679"/>
      <c r="P19" s="2737"/>
      <c r="Q19" s="2667"/>
      <c r="R19" s="2667"/>
      <c r="S19" s="2667"/>
      <c r="T19" s="2667"/>
      <c r="U19" s="2667"/>
      <c r="V19" s="2667"/>
    </row>
    <row r="20" spans="1:28">
      <c r="A20" s="2861" t="s">
        <v>2953</v>
      </c>
      <c r="B20" s="3095" t="s">
        <v>2954</v>
      </c>
      <c r="C20" s="3096"/>
      <c r="D20" s="3097" t="s">
        <v>2955</v>
      </c>
      <c r="E20" s="3098"/>
      <c r="F20" s="2876" t="s">
        <v>1742</v>
      </c>
      <c r="G20" s="2893"/>
      <c r="H20" s="2893"/>
      <c r="I20" s="2893"/>
      <c r="J20" s="2667"/>
      <c r="K20" s="3094" t="s">
        <v>2956</v>
      </c>
      <c r="L20" s="693"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595"/>
      <c r="N20" s="2640"/>
      <c r="O20" s="2639"/>
      <c r="P20" s="2640"/>
      <c r="Q20" s="2596"/>
      <c r="R20" s="2596"/>
      <c r="S20" s="2596"/>
      <c r="T20" s="2596"/>
      <c r="U20" s="2596"/>
      <c r="V20" s="2596"/>
      <c r="W20" s="1933"/>
      <c r="X20" s="1933"/>
      <c r="Y20" s="1933"/>
      <c r="Z20" s="1933"/>
      <c r="AA20" s="1933"/>
      <c r="AB20" s="1933"/>
    </row>
    <row r="21" spans="1:28" ht="24.75" thickBot="1">
      <c r="A21" s="2861"/>
      <c r="B21" s="2862" t="s">
        <v>2957</v>
      </c>
      <c r="C21" s="2863" t="s">
        <v>3068</v>
      </c>
      <c r="D21" s="1755" t="s">
        <v>2958</v>
      </c>
      <c r="E21" s="2864" t="s">
        <v>1743</v>
      </c>
      <c r="F21" s="2877"/>
      <c r="G21" s="2893"/>
      <c r="H21" s="2893"/>
      <c r="I21" s="2893"/>
      <c r="J21" s="2667"/>
      <c r="K21" s="3094"/>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5"/>
      <c r="N21" s="2640"/>
      <c r="O21" s="2639"/>
      <c r="P21" s="2640"/>
      <c r="Q21" s="2596"/>
      <c r="R21" s="2596"/>
      <c r="S21" s="2596"/>
      <c r="T21" s="2596"/>
      <c r="U21" s="2596"/>
      <c r="V21" s="2596"/>
      <c r="W21" s="1933"/>
      <c r="X21" s="1933"/>
      <c r="Y21" s="1933"/>
      <c r="Z21" s="1933"/>
      <c r="AA21" s="1933"/>
      <c r="AB21" s="1933"/>
    </row>
    <row r="22" spans="1:28" ht="24.75" thickBot="1">
      <c r="A22" s="2861"/>
      <c r="B22" s="2865" t="s">
        <v>2959</v>
      </c>
      <c r="C22" s="2863" t="s">
        <v>1744</v>
      </c>
      <c r="D22" s="2892"/>
      <c r="E22" s="2892"/>
      <c r="F22" s="2892"/>
      <c r="G22" s="2893"/>
      <c r="H22" s="2893"/>
      <c r="I22" s="2893"/>
      <c r="J22" s="2667"/>
      <c r="K22" s="3094"/>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c r="A23" s="2866" t="s">
        <v>2960</v>
      </c>
      <c r="B23" s="2730" t="s">
        <v>2961</v>
      </c>
      <c r="C23" s="2867"/>
      <c r="D23" s="2868" t="s">
        <v>2961</v>
      </c>
      <c r="E23" s="2869"/>
      <c r="F23" s="2892"/>
      <c r="G23" s="2893"/>
      <c r="H23" s="2893"/>
      <c r="I23" s="2893"/>
      <c r="J23" s="2667"/>
      <c r="K23" s="2848"/>
      <c r="L23" s="2703"/>
      <c r="M23" s="2841"/>
      <c r="N23" s="2737"/>
      <c r="O23" s="2679"/>
      <c r="P23" s="2737"/>
      <c r="Q23" s="2667"/>
      <c r="R23" s="2667"/>
      <c r="S23" s="2667"/>
      <c r="T23" s="2667"/>
      <c r="U23" s="2667"/>
      <c r="V23" s="2667"/>
    </row>
    <row r="24" spans="1:28">
      <c r="A24" s="2866"/>
      <c r="B24" s="2730" t="s">
        <v>1745</v>
      </c>
      <c r="C24" s="2870"/>
      <c r="D24" s="2866" t="s">
        <v>1745</v>
      </c>
      <c r="E24" s="2871"/>
      <c r="F24" s="2892"/>
      <c r="G24" s="2893"/>
      <c r="H24" s="2893"/>
      <c r="I24" s="2893"/>
      <c r="J24" s="2667"/>
      <c r="K24" s="2848"/>
      <c r="L24" s="2703"/>
      <c r="M24" s="2841"/>
      <c r="N24" s="2737"/>
      <c r="O24" s="2679"/>
      <c r="P24" s="2737"/>
      <c r="Q24" s="2667"/>
      <c r="R24" s="2667"/>
      <c r="S24" s="2667"/>
      <c r="T24" s="2667"/>
      <c r="U24" s="2667"/>
      <c r="V24" s="2667"/>
    </row>
    <row r="25" spans="1:28">
      <c r="A25" s="2866"/>
      <c r="B25" s="2730" t="s">
        <v>1746</v>
      </c>
      <c r="C25" s="2870"/>
      <c r="D25" s="2866" t="s">
        <v>1746</v>
      </c>
      <c r="E25" s="2871"/>
      <c r="F25" s="2892"/>
      <c r="G25" s="2893"/>
      <c r="H25" s="2893"/>
      <c r="I25" s="2893"/>
      <c r="J25" s="2667"/>
      <c r="K25" s="2844"/>
      <c r="L25" s="2841"/>
      <c r="M25" s="2841"/>
      <c r="N25" s="2737"/>
      <c r="O25" s="2679"/>
      <c r="P25" s="2737"/>
      <c r="Q25" s="2667"/>
      <c r="R25" s="2667"/>
      <c r="S25" s="2667"/>
      <c r="T25" s="2667"/>
      <c r="U25" s="2667"/>
      <c r="V25" s="2667"/>
    </row>
    <row r="26" spans="1:28" ht="13.5" thickBot="1">
      <c r="A26" s="2872"/>
      <c r="B26" s="2873" t="s">
        <v>1747</v>
      </c>
      <c r="C26" s="2874"/>
      <c r="D26" s="2872" t="s">
        <v>1747</v>
      </c>
      <c r="E26" s="2875"/>
      <c r="F26" s="2894"/>
      <c r="G26" s="2894"/>
      <c r="H26" s="2894"/>
      <c r="I26" s="2894"/>
      <c r="J26" s="2667"/>
      <c r="K26" s="2844"/>
      <c r="L26" s="2841"/>
      <c r="M26" s="2841"/>
      <c r="N26" s="2737"/>
      <c r="O26" s="2679"/>
      <c r="P26" s="2737"/>
      <c r="Q26" s="2667"/>
      <c r="R26" s="2667"/>
      <c r="S26" s="2667"/>
      <c r="T26" s="2667"/>
      <c r="U26" s="2667"/>
      <c r="V26" s="2667"/>
    </row>
    <row r="27" spans="1:28" ht="13.5" thickTop="1">
      <c r="A27" s="3112" t="s">
        <v>2962</v>
      </c>
      <c r="B27" s="326" t="s">
        <v>2963</v>
      </c>
      <c r="C27" s="2644" t="s">
        <v>3069</v>
      </c>
      <c r="D27" s="2645"/>
      <c r="E27" s="2893"/>
      <c r="F27" s="2893"/>
      <c r="G27" s="2893"/>
      <c r="H27" s="2893"/>
      <c r="I27" s="2893"/>
      <c r="J27" s="2667"/>
      <c r="K27" s="2846"/>
      <c r="L27" s="2679"/>
      <c r="M27" s="2679"/>
      <c r="N27" s="2737"/>
      <c r="O27" s="2679"/>
      <c r="P27" s="2737"/>
      <c r="Q27" s="2667"/>
      <c r="R27" s="2667"/>
      <c r="S27" s="2667"/>
      <c r="T27" s="2667"/>
      <c r="U27" s="2667"/>
      <c r="V27" s="2667"/>
    </row>
    <row r="28" spans="1:28">
      <c r="A28" s="3112"/>
      <c r="B28" s="308" t="s">
        <v>2964</v>
      </c>
      <c r="C28" s="2646" t="s">
        <v>3070</v>
      </c>
      <c r="D28" s="2647"/>
      <c r="E28" s="2893"/>
      <c r="F28" s="2893"/>
      <c r="G28" s="2893"/>
      <c r="H28" s="2893"/>
      <c r="I28" s="2893"/>
      <c r="J28" s="2667"/>
      <c r="K28" s="2844"/>
      <c r="L28" s="2841"/>
      <c r="M28" s="2841"/>
      <c r="N28" s="2667"/>
      <c r="O28" s="2678"/>
      <c r="P28" s="2667"/>
      <c r="Q28" s="2667"/>
      <c r="R28" s="2667"/>
      <c r="S28" s="2667"/>
      <c r="T28" s="2667"/>
      <c r="U28" s="2667"/>
      <c r="V28" s="2667"/>
    </row>
    <row r="29" spans="1:28">
      <c r="A29" s="3112"/>
      <c r="B29" s="308" t="s">
        <v>2965</v>
      </c>
      <c r="C29" s="2648" t="s">
        <v>3067</v>
      </c>
      <c r="D29" s="2649"/>
      <c r="E29" s="2893"/>
      <c r="F29" s="2893"/>
      <c r="G29" s="2893"/>
      <c r="H29" s="2893"/>
      <c r="I29" s="2893"/>
      <c r="J29" s="2667"/>
      <c r="K29" s="2844"/>
      <c r="L29" s="2841"/>
      <c r="M29" s="2841"/>
      <c r="N29" s="2667"/>
      <c r="O29" s="2678"/>
      <c r="P29" s="2667"/>
      <c r="Q29" s="2667"/>
      <c r="R29" s="2667"/>
      <c r="S29" s="2667"/>
      <c r="T29" s="2667"/>
      <c r="U29" s="2667"/>
      <c r="V29" s="2667"/>
    </row>
    <row r="30" spans="1:28">
      <c r="A30" s="3113"/>
      <c r="B30" s="308" t="s">
        <v>2966</v>
      </c>
      <c r="C30" s="3114"/>
      <c r="D30" s="3115"/>
      <c r="E30" s="2893"/>
      <c r="F30" s="2893"/>
      <c r="G30" s="2893"/>
      <c r="H30" s="2893"/>
      <c r="I30" s="2893"/>
      <c r="J30" s="2667"/>
      <c r="K30" s="2844"/>
      <c r="L30" s="2841"/>
      <c r="M30" s="2841"/>
      <c r="N30" s="2667"/>
      <c r="O30" s="2678"/>
      <c r="P30" s="2667"/>
      <c r="Q30" s="2667"/>
      <c r="R30" s="2667"/>
      <c r="S30" s="2667"/>
      <c r="T30" s="2667"/>
      <c r="U30" s="2667"/>
      <c r="V30" s="2667"/>
    </row>
    <row r="31" spans="1:28">
      <c r="A31" s="3116" t="s">
        <v>2967</v>
      </c>
      <c r="B31" s="2650" t="s">
        <v>3071</v>
      </c>
      <c r="C31" s="2548" t="str">
        <f>IF(B31="现房","成新及维护状况正常否",IF(B31="在建","工程状态是否正常",IF(B31="土地","是否闲置","-")))</f>
        <v>成新及维护状况正常否</v>
      </c>
      <c r="D31" s="1559"/>
      <c r="E31" s="2651"/>
      <c r="F31" s="2893"/>
      <c r="G31" s="2893"/>
      <c r="H31" s="2893"/>
      <c r="I31" s="2893"/>
      <c r="J31" s="2667"/>
      <c r="K31" s="2843"/>
      <c r="L31" s="2841"/>
      <c r="M31" s="2841"/>
      <c r="N31" s="2667"/>
      <c r="O31" s="2678"/>
      <c r="P31" s="2667"/>
      <c r="Q31" s="2667"/>
      <c r="R31" s="2667"/>
      <c r="S31" s="2667"/>
      <c r="T31" s="2667"/>
      <c r="U31" s="2667"/>
      <c r="V31" s="2667"/>
    </row>
    <row r="32" spans="1:28">
      <c r="A32" s="3117"/>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c r="A33" s="3117"/>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c r="A34" s="308" t="s">
        <v>2968</v>
      </c>
      <c r="B34" s="2216" t="s">
        <v>3072</v>
      </c>
      <c r="C34" s="2216" t="s">
        <v>3074</v>
      </c>
      <c r="D34" s="2216" t="s">
        <v>3073</v>
      </c>
      <c r="E34" s="2216" t="s">
        <v>3075</v>
      </c>
      <c r="F34" s="2216" t="s">
        <v>3076</v>
      </c>
      <c r="G34" s="2216" t="s">
        <v>3077</v>
      </c>
      <c r="H34" s="2216"/>
      <c r="I34" s="2893"/>
      <c r="J34" s="2667"/>
      <c r="K34" s="2655">
        <f>COUNTIF(B34:H34,"——")</f>
        <v>0</v>
      </c>
      <c r="L34" s="329" t="s">
        <v>2969</v>
      </c>
      <c r="M34" s="329" t="s">
        <v>2970</v>
      </c>
      <c r="N34" s="329" t="s">
        <v>2971</v>
      </c>
      <c r="O34" s="329" t="s">
        <v>2972</v>
      </c>
      <c r="P34" s="329" t="s">
        <v>2973</v>
      </c>
      <c r="Q34" s="329" t="s">
        <v>2974</v>
      </c>
      <c r="R34" s="329" t="s">
        <v>2975</v>
      </c>
      <c r="S34" s="3111" t="s">
        <v>2976</v>
      </c>
      <c r="T34" s="2656" t="str">
        <f>NUMBERSTRING(7-K34,1)&amp;"通"</f>
        <v>七通</v>
      </c>
      <c r="U34" s="2667"/>
      <c r="V34" s="2667"/>
    </row>
    <row r="35" spans="1:30">
      <c r="A35" s="2657"/>
      <c r="B35" s="3118" t="s">
        <v>2977</v>
      </c>
      <c r="C35" s="3118"/>
      <c r="D35" s="3118"/>
      <c r="E35" s="3118"/>
      <c r="F35" s="673">
        <f>C10</f>
        <v>0</v>
      </c>
      <c r="G35" s="2893"/>
      <c r="H35" s="2893"/>
      <c r="I35" s="2893"/>
      <c r="J35" s="2667"/>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通路、通电、通讯、通上水、通下水、通热</v>
      </c>
      <c r="R35" s="335" t="str">
        <f>B34&amp;"、"&amp;C34&amp;"、"&amp;D34&amp;"、"&amp;E34&amp;"、"&amp;F34&amp;"、"&amp;G34&amp;"、"&amp;H34</f>
        <v>通路、通电、通讯、通上水、通下水、通热、</v>
      </c>
      <c r="S35" s="3111"/>
      <c r="T35" s="335" t="str">
        <f>IF(T34="一通",L35,IF(T34="二通",M35,IF(T34="三通",N35,IF(T34="四通",O35,IF(T34="五通",P35,IF(T34="六通",Q35,R35))))))</f>
        <v>通路、通电、通讯、通上水、通下水、通热、</v>
      </c>
      <c r="U35" s="2667"/>
      <c r="V35" s="2667"/>
    </row>
    <row r="36" spans="1:30">
      <c r="A36" s="2658"/>
      <c r="B36" s="673" t="s">
        <v>2933</v>
      </c>
      <c r="C36" s="673" t="s">
        <v>2934</v>
      </c>
      <c r="D36" s="673" t="s">
        <v>2932</v>
      </c>
      <c r="E36" s="673" t="s">
        <v>2937</v>
      </c>
      <c r="F36" s="2899"/>
      <c r="G36" s="2893"/>
      <c r="H36" s="2893"/>
      <c r="I36" s="2893"/>
      <c r="J36" s="2667"/>
      <c r="K36" s="2844"/>
      <c r="L36" s="2841"/>
      <c r="M36" s="2841"/>
      <c r="N36" s="2667"/>
      <c r="O36" s="2678"/>
      <c r="P36" s="2667"/>
      <c r="Q36" s="2667"/>
      <c r="R36" s="2667"/>
      <c r="S36" s="2667"/>
      <c r="T36" s="2667"/>
      <c r="U36" s="2667"/>
      <c r="V36" s="2667"/>
    </row>
    <row r="37" spans="1:30">
      <c r="A37" s="2859" t="s">
        <v>2978</v>
      </c>
      <c r="B37" s="2659"/>
      <c r="C37" s="2659" t="s">
        <v>269</v>
      </c>
      <c r="D37" s="2659"/>
      <c r="E37" s="2659"/>
      <c r="F37" s="2899"/>
      <c r="G37" s="2893"/>
      <c r="H37" s="2893"/>
      <c r="I37" s="2893"/>
      <c r="J37" s="2667"/>
      <c r="K37" s="2844"/>
      <c r="L37" s="2841"/>
      <c r="M37" s="2841"/>
      <c r="N37" s="2667"/>
      <c r="O37" s="2678"/>
      <c r="P37" s="2667"/>
      <c r="Q37" s="2667"/>
      <c r="R37" s="2667"/>
      <c r="S37" s="2667"/>
      <c r="T37" s="2667"/>
      <c r="U37" s="2667"/>
      <c r="V37" s="2667"/>
    </row>
    <row r="38" spans="1:30" ht="13.5" thickBot="1">
      <c r="A38" s="2860" t="s">
        <v>2979</v>
      </c>
      <c r="B38" s="2660"/>
      <c r="C38" s="2660" t="s">
        <v>138</v>
      </c>
      <c r="D38" s="2660"/>
      <c r="E38" s="2660"/>
      <c r="F38" s="2900"/>
      <c r="G38" s="2894"/>
      <c r="H38" s="2894"/>
      <c r="I38" s="2894"/>
      <c r="J38" s="2667"/>
      <c r="K38" s="2844"/>
      <c r="L38" s="2841"/>
      <c r="M38" s="2841"/>
      <c r="N38" s="2667"/>
      <c r="O38" s="2678"/>
      <c r="P38" s="2667"/>
      <c r="Q38" s="2667"/>
      <c r="R38" s="2667"/>
      <c r="S38" s="2667"/>
      <c r="T38" s="2667"/>
      <c r="U38" s="2667"/>
      <c r="V38" s="2667"/>
    </row>
    <row r="39" spans="1:30" s="2663" customFormat="1" ht="14.25" thickTop="1" thickBot="1">
      <c r="A39" s="2661" t="s">
        <v>2980</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c r="A41" s="2664" t="s">
        <v>2981</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5.5">
      <c r="A42" s="329" t="s">
        <v>2982</v>
      </c>
      <c r="B42" s="11" t="s">
        <v>2983</v>
      </c>
      <c r="C42" s="11" t="s">
        <v>2984</v>
      </c>
      <c r="D42" s="11" t="s">
        <v>2985</v>
      </c>
      <c r="E42" s="11" t="s">
        <v>2986</v>
      </c>
      <c r="F42" s="11" t="s">
        <v>2987</v>
      </c>
      <c r="G42" s="11" t="s">
        <v>2988</v>
      </c>
      <c r="H42" s="11" t="s">
        <v>2989</v>
      </c>
      <c r="I42" s="11" t="s">
        <v>2990</v>
      </c>
      <c r="J42" s="2855" t="s">
        <v>2991</v>
      </c>
      <c r="K42" s="2856" t="s">
        <v>2992</v>
      </c>
      <c r="L42" s="2856" t="s">
        <v>2993</v>
      </c>
      <c r="M42" s="2856" t="s">
        <v>2994</v>
      </c>
      <c r="N42" s="2849" t="s">
        <v>2995</v>
      </c>
      <c r="O42" s="2849" t="s">
        <v>2996</v>
      </c>
      <c r="P42" s="2849" t="s">
        <v>2997</v>
      </c>
      <c r="Q42" s="2850" t="s">
        <v>2998</v>
      </c>
      <c r="R42" s="2850" t="s">
        <v>2999</v>
      </c>
      <c r="S42" s="2667"/>
      <c r="T42" s="2667"/>
      <c r="U42" s="2667"/>
      <c r="V42" s="2667"/>
    </row>
    <row r="43" spans="1:30" s="1931" customFormat="1">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c r="A51" s="1757"/>
      <c r="B51" s="1757"/>
      <c r="C51" s="1182"/>
      <c r="D51" s="1182"/>
      <c r="E51" s="1182"/>
      <c r="F51" s="1182"/>
      <c r="G51" s="1182"/>
      <c r="H51" s="1182"/>
      <c r="I51" s="1182"/>
      <c r="J51" s="2665"/>
      <c r="K51" s="2666"/>
      <c r="L51" s="2666"/>
      <c r="M51" s="1182"/>
      <c r="N51" s="1182"/>
      <c r="O51" s="1182"/>
      <c r="P51" s="1182"/>
      <c r="Q51" s="1182"/>
      <c r="R51" s="1182"/>
    </row>
    <row r="52" spans="1:22" s="1931" customFormat="1">
      <c r="A52" s="1757"/>
      <c r="B52" s="1757"/>
      <c r="C52" s="1757"/>
      <c r="D52" s="1757"/>
      <c r="E52" s="1757"/>
      <c r="F52" s="1182"/>
      <c r="G52" s="1757"/>
      <c r="H52" s="1757"/>
      <c r="I52" s="1757"/>
      <c r="J52" s="2668"/>
      <c r="K52" s="2666"/>
      <c r="L52" s="2666"/>
      <c r="M52" s="2666"/>
      <c r="N52" s="1757"/>
      <c r="O52" s="1757"/>
      <c r="P52" s="1757"/>
      <c r="Q52" s="1757"/>
      <c r="R52" s="1757"/>
    </row>
    <row r="53" spans="1:22" s="1931" customFormat="1">
      <c r="A53" s="1757"/>
      <c r="B53" s="1757"/>
      <c r="C53" s="1757"/>
      <c r="D53" s="1757"/>
      <c r="E53" s="1757"/>
      <c r="F53" s="1182"/>
      <c r="G53" s="1757"/>
      <c r="H53" s="1757"/>
      <c r="I53" s="1757"/>
      <c r="J53" s="2668"/>
      <c r="K53" s="2666"/>
      <c r="L53" s="2666"/>
      <c r="M53" s="2666"/>
      <c r="N53" s="1757"/>
      <c r="O53" s="1757"/>
      <c r="P53" s="1757"/>
      <c r="Q53" s="1757"/>
      <c r="R53" s="1757"/>
    </row>
    <row r="54" spans="1:22" s="1931" customFormat="1">
      <c r="A54" s="1757"/>
      <c r="B54" s="1757"/>
      <c r="C54" s="1757"/>
      <c r="D54" s="1757"/>
      <c r="E54" s="1757"/>
      <c r="F54" s="1182"/>
      <c r="G54" s="1757"/>
      <c r="H54" s="1757"/>
      <c r="I54" s="1757"/>
      <c r="J54" s="2668"/>
      <c r="K54" s="2666"/>
      <c r="L54" s="2666"/>
      <c r="M54" s="2666"/>
      <c r="N54" s="1757"/>
      <c r="O54" s="1757"/>
      <c r="P54" s="1757"/>
      <c r="Q54" s="1757"/>
      <c r="R54" s="1757"/>
    </row>
    <row r="55" spans="1:22" s="1931" customFormat="1">
      <c r="A55" s="1757"/>
      <c r="B55" s="1757"/>
      <c r="C55" s="1757"/>
      <c r="D55" s="1757"/>
      <c r="E55" s="1757"/>
      <c r="F55" s="1182"/>
      <c r="G55" s="1757"/>
      <c r="H55" s="1757"/>
      <c r="I55" s="1757"/>
      <c r="J55" s="2668"/>
      <c r="K55" s="2666"/>
      <c r="L55" s="2666"/>
      <c r="M55" s="2666"/>
      <c r="N55" s="1757"/>
      <c r="O55" s="1757"/>
      <c r="P55" s="1757"/>
      <c r="Q55" s="1757"/>
      <c r="R55" s="1757"/>
    </row>
    <row r="56" spans="1:22" s="1931" customFormat="1">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9" sqref="I19"/>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4" width="9.5" style="1760" customWidth="1"/>
    <col min="15" max="15" width="9.875" style="1760" customWidth="1"/>
    <col min="16" max="16" width="9.75" style="1760" customWidth="1"/>
    <col min="17" max="17" width="9.375" style="1760" customWidth="1"/>
    <col min="18" max="18" width="9.25" style="1760" customWidth="1"/>
    <col min="19" max="19" width="10.875" style="1760" customWidth="1"/>
    <col min="20" max="21" width="10.75" style="1760" customWidth="1"/>
    <col min="22" max="22" width="10.875" style="1760" customWidth="1"/>
    <col min="23" max="27" width="10.75" style="1760" customWidth="1"/>
    <col min="28" max="28" width="10.875" style="1760" customWidth="1"/>
    <col min="29" max="29" width="11" style="1760" bestFit="1" customWidth="1"/>
    <col min="30" max="30" width="10" style="1760" bestFit="1" customWidth="1"/>
    <col min="31" max="31" width="9.75" style="1760" customWidth="1"/>
    <col min="32"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v>927.85</v>
      </c>
      <c r="B3" s="14">
        <f>IF(C3="否",G5-AT5,G5)</f>
        <v>8276.64</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1757</v>
      </c>
      <c r="B5" s="1533"/>
      <c r="C5" s="1533"/>
      <c r="D5" s="1535"/>
      <c r="E5" s="16" t="s">
        <v>1</v>
      </c>
      <c r="F5" s="16">
        <f>SUM(F13:F587)</f>
        <v>0</v>
      </c>
      <c r="G5" s="16">
        <f>SUM(G13:G587)</f>
        <v>8276.64</v>
      </c>
      <c r="H5" s="16">
        <f t="shared" ref="H5:AT5" si="0">SUM(H13:H656)</f>
        <v>8276.64</v>
      </c>
      <c r="I5" s="16">
        <f t="shared" si="0"/>
        <v>8276.64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8276.64</v>
      </c>
      <c r="BA5" s="18">
        <f t="shared" si="1"/>
        <v>8276.64</v>
      </c>
      <c r="BB5" s="18">
        <f t="shared" si="1"/>
        <v>8276.64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6" customFormat="1" ht="12.75">
      <c r="A6" s="15" t="s">
        <v>1758</v>
      </c>
      <c r="B6" s="1773"/>
      <c r="C6" s="1773"/>
      <c r="D6" s="1774"/>
      <c r="E6" s="16">
        <f>H6+AC6+AT6</f>
        <v>927.85</v>
      </c>
      <c r="F6" s="16" t="s">
        <v>1</v>
      </c>
      <c r="G6" s="16" t="s">
        <v>2</v>
      </c>
      <c r="H6" s="20">
        <f>SUMIF(I$12:AB$12,"总值",I6:AB6)</f>
        <v>927.85</v>
      </c>
      <c r="I6" s="16">
        <f t="shared" ref="I6:AB6" si="2">ROUND($A$3*I5/$B$3,2)</f>
        <v>927.85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927.85</v>
      </c>
      <c r="AZ6" s="16" t="s">
        <v>3</v>
      </c>
      <c r="BA6" s="16">
        <f>ROUND($AY$6*BA5/$AZ$5,2)</f>
        <v>927.85</v>
      </c>
      <c r="BB6" s="16">
        <f>ROUND($AY$6*BB5/$AZ$5,2)</f>
        <v>927.85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6" customFormat="1" ht="24.75">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1777</v>
      </c>
      <c r="I9" s="1790" t="s">
        <v>3079</v>
      </c>
      <c r="J9" s="918"/>
      <c r="K9" s="1790"/>
      <c r="L9" s="918"/>
      <c r="M9" s="1790"/>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ht="12.75">
      <c r="A10" s="1781"/>
      <c r="B10" s="1781"/>
      <c r="C10" s="1781"/>
      <c r="D10" s="1781"/>
      <c r="E10" s="1781"/>
      <c r="F10" s="1781"/>
      <c r="G10" s="1202"/>
      <c r="H10" s="28"/>
      <c r="I10" s="1790" t="s">
        <v>27</v>
      </c>
      <c r="J10" s="918"/>
      <c r="K10" s="1796"/>
      <c r="L10" s="918"/>
      <c r="M10" s="1796"/>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f>K9</f>
        <v>0</v>
      </c>
      <c r="BD10" s="29">
        <f>M9</f>
        <v>0</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t="s">
        <v>3080</v>
      </c>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办公</v>
      </c>
      <c r="BC11" s="1786">
        <f>K10</f>
        <v>0</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t="str">
        <f>I11</f>
        <v>办公楼</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2.75">
      <c r="A13" s="1182"/>
      <c r="B13" s="1182"/>
      <c r="C13" s="1182" t="s">
        <v>3078</v>
      </c>
      <c r="D13" s="1812" t="s">
        <v>3066</v>
      </c>
      <c r="E13" s="16">
        <f>IF($C$3="是",ROUND($A$3*G13/$B$3,2),ROUND($A$3*(G13-AT13)/$B$3,2))</f>
        <v>927.85</v>
      </c>
      <c r="F13" s="32"/>
      <c r="G13" s="33">
        <f>H13+AC13+AT13</f>
        <v>8276.64</v>
      </c>
      <c r="H13" s="20">
        <f>SUMIF(I$12:AB$12,"总值",I13:AB13)</f>
        <v>8276.64</v>
      </c>
      <c r="I13" s="1813">
        <v>8276.64</v>
      </c>
      <c r="J13" s="1813"/>
      <c r="K13" s="1813"/>
      <c r="L13" s="1813"/>
      <c r="M13" s="1813"/>
      <c r="N13" s="1813"/>
      <c r="O13" s="1813"/>
      <c r="P13" s="1813"/>
      <c r="Q13" s="1813"/>
      <c r="R13" s="1813"/>
      <c r="S13" s="1813"/>
      <c r="T13" s="1813"/>
      <c r="U13" s="1813"/>
      <c r="V13" s="1813"/>
      <c r="W13" s="1813"/>
      <c r="X13" s="1813"/>
      <c r="Y13" s="1813"/>
      <c r="Z13" s="1813"/>
      <c r="AA13" s="1813"/>
      <c r="AB13" s="1813"/>
      <c r="AC13" s="16">
        <f>SUMIF(AD$12:AS$12,"总值",AD13:AS13)</f>
        <v>0</v>
      </c>
      <c r="AD13" s="1814"/>
      <c r="AE13" s="1814"/>
      <c r="AF13" s="1814"/>
      <c r="AG13" s="1814"/>
      <c r="AH13" s="1814"/>
      <c r="AI13" s="1814"/>
      <c r="AJ13" s="1814"/>
      <c r="AK13" s="1814"/>
      <c r="AL13" s="1814"/>
      <c r="AM13" s="1814"/>
      <c r="AN13" s="1814"/>
      <c r="AO13" s="1814"/>
      <c r="AP13" s="1814"/>
      <c r="AQ13" s="1814"/>
      <c r="AR13" s="1814"/>
      <c r="AS13" s="1814"/>
      <c r="AT13" s="1815"/>
      <c r="AU13" s="1816"/>
      <c r="AV13" s="11">
        <f t="shared" ref="AV13:AX17" si="6">A13</f>
        <v>0</v>
      </c>
      <c r="AW13" s="11">
        <f t="shared" si="6"/>
        <v>0</v>
      </c>
      <c r="AX13" s="11" t="str">
        <f t="shared" si="6"/>
        <v>6层</v>
      </c>
      <c r="AY13" s="1535">
        <f>ROUND($AY$6*AZ13/$AZ$5,2)</f>
        <v>927.85</v>
      </c>
      <c r="AZ13" s="16">
        <f>BA13+BL13</f>
        <v>8276.64</v>
      </c>
      <c r="BA13" s="16">
        <f>SUM(BB13:BK13)</f>
        <v>8276.64</v>
      </c>
      <c r="BB13" s="16">
        <f>IF($D13="是",I13-J13,0)</f>
        <v>8276.64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6" customFormat="1" ht="12.75">
      <c r="A14" s="1182"/>
      <c r="B14" s="1182"/>
      <c r="C14" s="1757"/>
      <c r="D14" s="1812"/>
      <c r="E14" s="16">
        <f>IF($C$3="是",ROUND($A$3*G14/$B$3,2),ROUND($A$3*(G14-AT14)/$B$3,2))</f>
        <v>0</v>
      </c>
      <c r="F14" s="32"/>
      <c r="G14" s="33">
        <f>H14+AC14+AT14</f>
        <v>0</v>
      </c>
      <c r="H14" s="20">
        <f>SUMIF(I$12:AB$12,"总值",I14:AB14)</f>
        <v>0</v>
      </c>
      <c r="I14" s="1813"/>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f t="shared" si="6"/>
        <v>0</v>
      </c>
      <c r="AY14" s="153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2.75">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2.75">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2.75">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19" t="s">
        <v>0</v>
      </c>
      <c r="B1" s="3119" t="s">
        <v>4</v>
      </c>
      <c r="C1" s="3119" t="s">
        <v>5</v>
      </c>
      <c r="D1" s="3120" t="s">
        <v>53</v>
      </c>
      <c r="E1" s="3120" t="s">
        <v>54</v>
      </c>
      <c r="F1" s="3120"/>
      <c r="G1" s="3120"/>
      <c r="H1" s="3120"/>
      <c r="I1" s="3120"/>
      <c r="J1" s="3120"/>
      <c r="K1" s="3120"/>
      <c r="L1" s="3120"/>
      <c r="M1" s="3120"/>
    </row>
    <row r="2" spans="1:13" ht="27" customHeight="1">
      <c r="A2" s="3119"/>
      <c r="B2" s="3119"/>
      <c r="C2" s="3119"/>
      <c r="D2" s="3120"/>
      <c r="E2" s="3120" t="s">
        <v>37</v>
      </c>
      <c r="F2" s="3120" t="s">
        <v>38</v>
      </c>
      <c r="G2" s="3120"/>
      <c r="H2" s="3120"/>
      <c r="I2" s="3120"/>
      <c r="J2" s="3120" t="s">
        <v>39</v>
      </c>
      <c r="K2" s="3120"/>
      <c r="L2" s="3120"/>
      <c r="M2" s="3120"/>
    </row>
    <row r="3" spans="1:13" ht="28.5">
      <c r="A3" s="3119"/>
      <c r="B3" s="3119"/>
      <c r="C3" s="3119"/>
      <c r="D3" s="3120"/>
      <c r="E3" s="312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20" t="s">
        <v>55</v>
      </c>
      <c r="B9" s="3120"/>
      <c r="C9" s="312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F20" sqref="F20"/>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8"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1816</v>
      </c>
      <c r="B1" s="1301"/>
      <c r="C1" s="1301"/>
      <c r="D1" s="1301"/>
      <c r="E1" s="1301"/>
      <c r="F1" s="1301"/>
      <c r="G1" s="1301"/>
      <c r="H1" s="1301"/>
      <c r="I1" s="1301"/>
      <c r="J1" s="1301"/>
      <c r="K1" s="1301"/>
      <c r="L1" s="1301"/>
      <c r="M1" s="1301"/>
      <c r="N1" s="1301"/>
      <c r="O1" s="1301"/>
      <c r="P1" s="1301"/>
    </row>
    <row r="2" spans="1:16" ht="15">
      <c r="A2" s="3130" t="s">
        <v>1817</v>
      </c>
      <c r="B2" s="3130"/>
      <c r="C2" s="3130"/>
      <c r="D2" s="904" t="s">
        <v>1793</v>
      </c>
      <c r="E2" s="1826" t="s">
        <v>1794</v>
      </c>
      <c r="F2" s="2888"/>
      <c r="G2" s="2879"/>
      <c r="H2" s="2880"/>
      <c r="I2" s="2550" t="s">
        <v>1818</v>
      </c>
      <c r="J2" s="2888"/>
      <c r="K2" s="2888"/>
      <c r="L2" s="2888"/>
      <c r="M2" s="2888"/>
      <c r="N2" s="2890"/>
      <c r="O2" s="2888"/>
      <c r="P2" s="2888"/>
    </row>
    <row r="3" spans="1:16" ht="15.75" thickBot="1">
      <c r="A3" s="3131" t="s">
        <v>1791</v>
      </c>
      <c r="B3" s="3131"/>
      <c r="C3" s="3131"/>
      <c r="D3" s="46">
        <f>'数据-基础表'!AY6</f>
        <v>927.85</v>
      </c>
      <c r="E3" s="46">
        <f>'数据-基础表'!AZ5</f>
        <v>8276.64</v>
      </c>
      <c r="F3" s="2888"/>
      <c r="G3" s="1307"/>
      <c r="H3" s="1157" t="s">
        <v>1792</v>
      </c>
      <c r="I3" s="964">
        <f>ROUND('数据-基础表'!B3/'数据-基础表'!A3,2)</f>
        <v>8.92</v>
      </c>
      <c r="J3" s="2888"/>
      <c r="K3" s="2888"/>
      <c r="L3" s="2888"/>
      <c r="M3" s="2888"/>
      <c r="N3" s="2890"/>
      <c r="O3" s="2888"/>
      <c r="P3" s="2888"/>
    </row>
    <row r="4" spans="1:16" ht="15">
      <c r="A4" s="3132"/>
      <c r="B4" s="3133"/>
      <c r="C4" s="3134"/>
      <c r="D4" s="1828" t="s">
        <v>1793</v>
      </c>
      <c r="E4" s="1829" t="s">
        <v>1794</v>
      </c>
      <c r="F4" s="2888"/>
      <c r="G4" s="2881" t="s">
        <v>1819</v>
      </c>
      <c r="H4" s="1157" t="s">
        <v>1799</v>
      </c>
      <c r="I4" s="964">
        <f>ROUND(SUMIF('数据-基础表'!I9:AS9,"地上",'数据-基础表'!I5:AS5)/'数据-基础表'!A3,2)</f>
        <v>8.92</v>
      </c>
      <c r="J4" s="2888"/>
      <c r="K4" s="2888"/>
      <c r="L4" s="2888"/>
      <c r="M4" s="2888"/>
      <c r="N4" s="2890"/>
      <c r="O4" s="2888"/>
      <c r="P4" s="2888"/>
    </row>
    <row r="5" spans="1:16">
      <c r="A5" s="47" t="s">
        <v>1795</v>
      </c>
      <c r="B5" s="3135" t="s">
        <v>1796</v>
      </c>
      <c r="C5" s="3135"/>
      <c r="D5" s="48">
        <f>ROUND($D$3*E5/$E$3,2)</f>
        <v>0</v>
      </c>
      <c r="E5" s="49">
        <f>SUMIF('数据-基础表'!$11:$11,"住宅",'数据-基础表'!$5:$5)</f>
        <v>0</v>
      </c>
      <c r="F5" s="2888"/>
      <c r="G5" s="1307"/>
      <c r="H5" s="1157" t="s">
        <v>1792</v>
      </c>
      <c r="I5" s="964">
        <f>ROUND(E31/D31,2)</f>
        <v>8.92</v>
      </c>
      <c r="J5" s="2888"/>
      <c r="K5" s="2888"/>
      <c r="L5" s="2888"/>
      <c r="M5" s="2888"/>
      <c r="N5" s="2888"/>
      <c r="O5" s="2888"/>
      <c r="P5" s="2888"/>
    </row>
    <row r="6" spans="1:16" ht="15" thickBot="1">
      <c r="A6" s="1831"/>
      <c r="B6" s="3135" t="s">
        <v>1797</v>
      </c>
      <c r="C6" s="3135"/>
      <c r="D6" s="48">
        <f>ROUND($D$3*E6/$E$3,2)</f>
        <v>927.85</v>
      </c>
      <c r="E6" s="49">
        <f>E3-E5</f>
        <v>8276.64</v>
      </c>
      <c r="F6" s="2888"/>
      <c r="G6" s="2882" t="s">
        <v>1798</v>
      </c>
      <c r="H6" s="1308" t="s">
        <v>1799</v>
      </c>
      <c r="I6" s="2883">
        <f>ROUND(F31/D31,2)</f>
        <v>8.92</v>
      </c>
      <c r="J6" s="2888"/>
      <c r="K6" s="2888"/>
      <c r="L6" s="2888"/>
      <c r="M6" s="2888"/>
      <c r="N6" s="2888"/>
      <c r="O6" s="2888"/>
      <c r="P6" s="2888"/>
    </row>
    <row r="7" spans="1:16" ht="15.75" thickBot="1">
      <c r="A7" s="3127"/>
      <c r="B7" s="3128"/>
      <c r="C7" s="3129"/>
      <c r="D7" s="1828" t="s">
        <v>1793</v>
      </c>
      <c r="E7" s="1832" t="s">
        <v>1800</v>
      </c>
      <c r="F7" s="2888"/>
      <c r="G7" s="2884" t="s">
        <v>1801</v>
      </c>
      <c r="H7" s="2885"/>
      <c r="I7" s="2886"/>
      <c r="J7" s="2888"/>
      <c r="K7" s="2888"/>
      <c r="L7" s="2888"/>
      <c r="M7" s="2888"/>
      <c r="N7" s="2888"/>
      <c r="O7" s="2888"/>
      <c r="P7" s="2888"/>
    </row>
    <row r="8" spans="1:16">
      <c r="A8" s="47" t="s">
        <v>1802</v>
      </c>
      <c r="B8" s="50" t="s">
        <v>1803</v>
      </c>
      <c r="C8" s="48" t="s">
        <v>1804</v>
      </c>
      <c r="D8" s="48">
        <f t="shared" ref="D8:D15" si="0">ROUND($D$3*E8/$E$3,2)</f>
        <v>927.85</v>
      </c>
      <c r="E8" s="51">
        <f>SUMIF('数据-基础表'!BB10:BK10,"地上",'数据-基础表'!BB5:BK5)</f>
        <v>8276.64</v>
      </c>
      <c r="F8" s="2888"/>
      <c r="G8" s="2889"/>
      <c r="H8" s="2889"/>
      <c r="I8" s="2888"/>
      <c r="J8" s="2888"/>
      <c r="K8" s="2888"/>
      <c r="L8" s="2888"/>
      <c r="M8" s="2888"/>
      <c r="N8" s="2888"/>
      <c r="O8" s="2888"/>
      <c r="P8" s="2888"/>
    </row>
    <row r="9" spans="1:16">
      <c r="A9" s="1833"/>
      <c r="B9" s="1834"/>
      <c r="C9" s="48" t="s">
        <v>1805</v>
      </c>
      <c r="D9" s="48">
        <f t="shared" si="0"/>
        <v>0</v>
      </c>
      <c r="E9" s="52">
        <v>0</v>
      </c>
      <c r="F9" s="2888"/>
      <c r="G9" s="2889"/>
      <c r="H9" s="2889"/>
      <c r="I9" s="2888"/>
      <c r="J9" s="2888"/>
      <c r="K9" s="2888"/>
      <c r="L9" s="2888"/>
      <c r="M9" s="2888"/>
      <c r="N9" s="2888"/>
      <c r="O9" s="2888"/>
      <c r="P9" s="2888"/>
    </row>
    <row r="10" spans="1:16">
      <c r="A10" s="1833"/>
      <c r="B10" s="1834"/>
      <c r="C10" s="48" t="s">
        <v>1814</v>
      </c>
      <c r="D10" s="48">
        <f t="shared" si="0"/>
        <v>0</v>
      </c>
      <c r="E10" s="51">
        <f>SUMPRODUCT(('数据-基础表'!BB10:BK10="地下")*('数据-基础表'!BB11:BK11="商业")*('数据-基础表'!BB5:BK5))</f>
        <v>0</v>
      </c>
      <c r="F10" s="2888"/>
      <c r="G10" s="2889"/>
      <c r="H10" s="2889"/>
      <c r="I10" s="2888"/>
      <c r="J10" s="2888"/>
      <c r="K10" s="2888"/>
      <c r="L10" s="2888"/>
      <c r="M10" s="2888"/>
      <c r="N10" s="2888"/>
      <c r="O10" s="2888"/>
      <c r="P10" s="2888"/>
    </row>
    <row r="11" spans="1:16">
      <c r="A11" s="1833"/>
      <c r="B11" s="1834"/>
      <c r="C11" s="48" t="s">
        <v>1806</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c r="A12" s="1833"/>
      <c r="B12" s="1834"/>
      <c r="C12" s="48" t="s">
        <v>1807</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c r="A13" s="1833"/>
      <c r="B13" s="1834"/>
      <c r="C13" s="48" t="s">
        <v>1808</v>
      </c>
      <c r="D13" s="48">
        <f t="shared" si="0"/>
        <v>0</v>
      </c>
      <c r="E13" s="51">
        <f>SUMPRODUCT(('数据-基础表'!BB10:BK10="地下")*('数据-基础表'!BB11:BK11="车库")*('数据-基础表'!BB5:BK5))</f>
        <v>0</v>
      </c>
      <c r="F13" s="2888"/>
      <c r="G13" s="2889"/>
      <c r="H13" s="2889"/>
      <c r="I13" s="2888"/>
      <c r="J13" s="2888"/>
      <c r="K13" s="2888"/>
      <c r="L13" s="2888"/>
      <c r="M13" s="2888"/>
      <c r="N13" s="2888"/>
      <c r="O13" s="2888"/>
      <c r="P13" s="2888"/>
    </row>
    <row r="14" spans="1:16">
      <c r="A14" s="1833"/>
      <c r="B14" s="1834"/>
      <c r="C14" s="48" t="s">
        <v>1820</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c r="A15" s="1833"/>
      <c r="B15" s="1834"/>
      <c r="C15" s="48" t="s">
        <v>1815</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75" thickBot="1">
      <c r="A16" s="1831"/>
      <c r="B16" s="1834"/>
      <c r="C16" s="50" t="s">
        <v>1809</v>
      </c>
      <c r="D16" s="50">
        <f>SUM(D8:D15)</f>
        <v>927.85</v>
      </c>
      <c r="E16" s="53">
        <f>SUM(E8:E15)</f>
        <v>8276.64</v>
      </c>
      <c r="F16" s="2888"/>
      <c r="G16" s="2889"/>
      <c r="H16" s="1835" t="s">
        <v>1821</v>
      </c>
      <c r="I16" s="1836"/>
      <c r="J16" s="1301"/>
      <c r="K16" s="3124" t="s">
        <v>1821</v>
      </c>
      <c r="L16" s="3125"/>
      <c r="M16" s="3125"/>
      <c r="N16" s="3125"/>
      <c r="O16" s="3125"/>
      <c r="P16" s="3126"/>
    </row>
    <row r="17" spans="1:19" ht="15">
      <c r="A17" s="1837" t="s">
        <v>1822</v>
      </c>
      <c r="B17" s="1838" t="s">
        <v>1823</v>
      </c>
      <c r="C17" s="1839" t="s">
        <v>1824</v>
      </c>
      <c r="D17" s="1840" t="s">
        <v>1812</v>
      </c>
      <c r="E17" s="1841" t="s">
        <v>1813</v>
      </c>
      <c r="F17" s="1842"/>
      <c r="G17" s="1843"/>
      <c r="H17" s="1844" t="s">
        <v>1825</v>
      </c>
      <c r="I17" s="1845" t="s">
        <v>1810</v>
      </c>
      <c r="J17" s="1301"/>
      <c r="K17" s="3121" t="s">
        <v>1826</v>
      </c>
      <c r="L17" s="3122"/>
      <c r="M17" s="3123"/>
      <c r="N17" s="3121" t="s">
        <v>1827</v>
      </c>
      <c r="O17" s="3122"/>
      <c r="P17" s="3123"/>
      <c r="R17" s="1827" t="s">
        <v>1828</v>
      </c>
      <c r="S17" s="60"/>
    </row>
    <row r="18" spans="1:19" ht="15">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c r="A19" s="1854"/>
      <c r="B19" s="50" t="s">
        <v>1811</v>
      </c>
      <c r="C19" s="3045" t="s">
        <v>3081</v>
      </c>
      <c r="D19" s="48">
        <f>ROUND($D$3*E19/$E$3,2)</f>
        <v>927.85</v>
      </c>
      <c r="E19" s="56">
        <f t="shared" ref="E19:E26" si="1">SUM(F19:G19)</f>
        <v>8276.64</v>
      </c>
      <c r="F19" s="3028">
        <f>'数据-基础表'!I13</f>
        <v>8276.64</v>
      </c>
      <c r="G19" s="3029"/>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6"/>
      <c r="O19" s="1857"/>
      <c r="P19" s="1312">
        <f>N19+O19</f>
        <v>0</v>
      </c>
      <c r="R19" s="1157">
        <f t="shared" ref="R19:S26" si="5">D19+H19</f>
        <v>927.85</v>
      </c>
      <c r="S19" s="1158">
        <f t="shared" si="5"/>
        <v>8276.64</v>
      </c>
    </row>
    <row r="20" spans="1:19">
      <c r="A20" s="1858"/>
      <c r="B20" s="50" t="s">
        <v>1839</v>
      </c>
      <c r="C20" s="1855"/>
      <c r="D20" s="48">
        <f t="shared" ref="D20:D26" si="6">ROUND($D$3*E20/$E$3,2)</f>
        <v>0</v>
      </c>
      <c r="E20" s="56">
        <f t="shared" si="1"/>
        <v>0</v>
      </c>
      <c r="F20" s="3028"/>
      <c r="G20" s="3029"/>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c r="A21" s="1858"/>
      <c r="B21" s="50" t="s">
        <v>1839</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c r="A22" s="1858"/>
      <c r="B22" s="50" t="s">
        <v>1839</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c r="A23" s="1858"/>
      <c r="B23" s="50" t="s">
        <v>1839</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c r="A24" s="1858"/>
      <c r="B24" s="50" t="s">
        <v>1839</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c r="A25" s="1858"/>
      <c r="B25" s="50" t="s">
        <v>1839</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c r="A26" s="1858"/>
      <c r="B26" s="50" t="s">
        <v>1839</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75" thickBot="1">
      <c r="A27" s="1858"/>
      <c r="B27" s="48"/>
      <c r="C27" s="1861" t="s">
        <v>1840</v>
      </c>
      <c r="D27" s="1302">
        <f>SUM(D19:D26)</f>
        <v>927.85</v>
      </c>
      <c r="E27" s="1303">
        <f>IF(SUM(E19:E26)='数据-基础表'!BA5,SUM(E19:E26),IF(F27="地上面积有误","面积有误","地下面积有误"))</f>
        <v>8276.64</v>
      </c>
      <c r="F27" s="1302">
        <f>IF(SUM(F19:F26)=E8,SUM(F19:F26),"地上面积有误")</f>
        <v>8276.64</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927.85</v>
      </c>
      <c r="S27" s="1157">
        <f>IF(SUM(S19:S26)=$E$3,SUM(S19:S26),SUM(S19:S26)&amp;"误差"&amp;ROUND(SUM(S19:S26)-E3,2))</f>
        <v>8276.64</v>
      </c>
    </row>
    <row r="28" spans="1:19">
      <c r="A28" s="1858"/>
      <c r="B28" s="50" t="s">
        <v>1841</v>
      </c>
      <c r="C28" s="1169" t="s">
        <v>1842</v>
      </c>
      <c r="D28" s="48">
        <f>ROUND($D$3*E28/$E$3,2)</f>
        <v>0</v>
      </c>
      <c r="E28" s="56">
        <f>SUM(F28:G28)</f>
        <v>0</v>
      </c>
      <c r="F28" s="60">
        <f>'数据-基础表'!BQ5+'数据-基础表'!BS5</f>
        <v>0</v>
      </c>
      <c r="G28" s="61">
        <f>'数据-基础表'!BR5+'数据-基础表'!BT5</f>
        <v>0</v>
      </c>
      <c r="H28" s="2888"/>
      <c r="I28" s="2888"/>
      <c r="J28" s="2888"/>
      <c r="K28" s="2888"/>
      <c r="L28" s="2888"/>
      <c r="M28" s="2888"/>
      <c r="N28" s="2888"/>
      <c r="O28" s="2888"/>
      <c r="P28" s="2888"/>
    </row>
    <row r="29" spans="1:19">
      <c r="A29" s="1858"/>
      <c r="B29" s="50" t="s">
        <v>1841</v>
      </c>
      <c r="C29" s="1862" t="s">
        <v>1843</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ht="15">
      <c r="A30" s="1858"/>
      <c r="B30" s="50"/>
      <c r="C30" s="1863" t="s">
        <v>1840</v>
      </c>
      <c r="D30" s="1302">
        <f>SUM(D28:D29)</f>
        <v>0</v>
      </c>
      <c r="E30" s="1302">
        <f>SUM(E28:E29)</f>
        <v>0</v>
      </c>
      <c r="F30" s="1302">
        <f>SUM(F28:F29)</f>
        <v>0</v>
      </c>
      <c r="G30" s="1304">
        <f>SUM(G28:G29)</f>
        <v>0</v>
      </c>
      <c r="H30" s="2888"/>
      <c r="I30" s="2888"/>
      <c r="J30" s="2888"/>
      <c r="K30" s="2888"/>
      <c r="L30" s="2888"/>
      <c r="M30" s="2888"/>
      <c r="N30" s="2888"/>
      <c r="O30" s="2888"/>
      <c r="P30" s="2888"/>
    </row>
    <row r="31" spans="1:19" ht="15.75" thickBot="1">
      <c r="A31" s="1864"/>
      <c r="B31" s="1865"/>
      <c r="C31" s="944" t="s">
        <v>1844</v>
      </c>
      <c r="D31" s="685">
        <f>D27+D30</f>
        <v>927.85</v>
      </c>
      <c r="E31" s="685">
        <f>E27+E30</f>
        <v>8276.64</v>
      </c>
      <c r="F31" s="686">
        <f>F27+F30</f>
        <v>8276.64</v>
      </c>
      <c r="G31" s="687">
        <f>G27+G30</f>
        <v>0</v>
      </c>
      <c r="H31" s="2888"/>
      <c r="I31" s="2888"/>
      <c r="J31" s="2888"/>
      <c r="K31" s="2888"/>
      <c r="L31" s="2888"/>
      <c r="M31" s="2888"/>
      <c r="N31" s="2888"/>
      <c r="O31" s="2888"/>
      <c r="P31" s="2888"/>
    </row>
    <row r="32" spans="1:19">
      <c r="A32" s="1830"/>
      <c r="B32" s="1830" t="s">
        <v>1845</v>
      </c>
      <c r="C32" s="1830"/>
      <c r="D32" s="1830"/>
      <c r="E32" s="1184">
        <f>SUMIF(C19:C26,"*住宅*",E19:E26)</f>
        <v>0</v>
      </c>
      <c r="F32" s="1830"/>
      <c r="G32" s="1830"/>
      <c r="H32" s="2888"/>
      <c r="I32" s="2888"/>
      <c r="J32" s="2888"/>
      <c r="K32" s="2888"/>
      <c r="L32" s="2888"/>
      <c r="M32" s="2888"/>
      <c r="N32" s="2888"/>
      <c r="O32" s="2888"/>
      <c r="P32" s="2888"/>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R30" sqref="R30"/>
    </sheetView>
  </sheetViews>
  <sheetFormatPr defaultColWidth="13.75" defaultRowHeight="12.75"/>
  <cols>
    <col min="1" max="1" width="20.875" style="1933" customWidth="1"/>
    <col min="2" max="2" width="12" style="1870" customWidth="1"/>
    <col min="3" max="3" width="12.75" style="1870" customWidth="1"/>
    <col min="4" max="4" width="9.125" style="1934" customWidth="1"/>
    <col min="5" max="5" width="15" style="1870" bestFit="1" customWidth="1"/>
    <col min="6" max="10" width="8.875" style="1870" customWidth="1"/>
    <col min="11" max="12" width="12.375" style="1788" customWidth="1"/>
    <col min="13" max="13" width="8.625" style="1870" customWidth="1"/>
    <col min="14" max="14" width="11.875" style="1870" customWidth="1"/>
    <col min="15" max="15" width="8.5" style="1870" customWidth="1"/>
    <col min="16" max="17" width="10.875" style="1870" customWidth="1"/>
    <col min="18" max="19" width="12.5" style="1870" customWidth="1"/>
    <col min="20" max="20" width="12.125" style="1870" customWidth="1"/>
    <col min="21" max="21" width="7.5" style="1870" customWidth="1"/>
    <col min="22" max="22" width="6.375" style="1870" customWidth="1"/>
    <col min="23" max="30" width="6.75" style="1870" customWidth="1"/>
    <col min="31" max="31" width="8" style="1870" customWidth="1"/>
    <col min="32" max="34" width="7.25" style="1870" customWidth="1"/>
    <col min="35" max="39" width="8" style="1870" customWidth="1"/>
    <col min="40" max="40" width="13.75" style="1869"/>
    <col min="41" max="41" width="11.625" style="1869" customWidth="1"/>
    <col min="42" max="42" width="9.75" style="1869" customWidth="1"/>
    <col min="43" max="67" width="13.75" style="1869"/>
    <col min="68" max="16384" width="13.75" style="1870"/>
  </cols>
  <sheetData>
    <row r="1" spans="1:67" ht="19.5" thickBot="1">
      <c r="A1" s="1867" t="s">
        <v>1846</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75" thickBot="1">
      <c r="A2" s="1871" t="s">
        <v>1847</v>
      </c>
      <c r="B2" s="1176">
        <f>项目基本情况!D3</f>
        <v>44076</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1848</v>
      </c>
      <c r="B4" s="1876"/>
      <c r="C4" s="1877"/>
      <c r="D4" s="1878"/>
      <c r="E4" s="1877" t="s">
        <v>1849</v>
      </c>
      <c r="F4" s="1877"/>
      <c r="G4" s="1877"/>
      <c r="H4" s="1877"/>
      <c r="I4" s="1877"/>
      <c r="J4" s="1879"/>
      <c r="K4" s="1880"/>
      <c r="L4" s="1881"/>
      <c r="M4" s="1877"/>
      <c r="N4" s="1877" t="s">
        <v>1850</v>
      </c>
      <c r="O4" s="1877"/>
      <c r="P4" s="1877"/>
      <c r="Q4" s="1877"/>
      <c r="R4" s="1877"/>
      <c r="S4" s="1879"/>
      <c r="T4" s="2887" t="str">
        <f>'数据-汇总表'!I17</f>
        <v>按面积比例</v>
      </c>
      <c r="U4" s="1876" t="s">
        <v>1851</v>
      </c>
      <c r="V4" s="1877"/>
      <c r="W4" s="1877"/>
      <c r="X4" s="1877"/>
      <c r="Y4" s="1879"/>
      <c r="Z4" s="1839" t="s">
        <v>1852</v>
      </c>
      <c r="AA4" s="1839"/>
      <c r="AB4" s="1839"/>
      <c r="AC4" s="1839"/>
      <c r="AD4" s="1839"/>
      <c r="AE4" s="1837" t="s">
        <v>1853</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c r="A5" s="1883" t="s">
        <v>1854</v>
      </c>
      <c r="B5" s="1884" t="s">
        <v>1855</v>
      </c>
      <c r="C5" s="1885" t="s">
        <v>1856</v>
      </c>
      <c r="D5" s="1886" t="s">
        <v>1857</v>
      </c>
      <c r="E5" s="1178" t="s">
        <v>1858</v>
      </c>
      <c r="F5" s="1887" t="s">
        <v>1859</v>
      </c>
      <c r="G5" s="1178" t="s">
        <v>1860</v>
      </c>
      <c r="H5" s="1178" t="s">
        <v>1861</v>
      </c>
      <c r="I5" s="1178" t="s">
        <v>1862</v>
      </c>
      <c r="J5" s="1888" t="s">
        <v>1863</v>
      </c>
      <c r="K5" s="1889" t="s">
        <v>1864</v>
      </c>
      <c r="L5" s="1890" t="s">
        <v>1865</v>
      </c>
      <c r="M5" s="1891" t="s">
        <v>1866</v>
      </c>
      <c r="N5" s="1892" t="s">
        <v>3082</v>
      </c>
      <c r="O5" s="1890" t="s">
        <v>1867</v>
      </c>
      <c r="P5" s="1893" t="s">
        <v>1868</v>
      </c>
      <c r="Q5" s="65" t="s">
        <v>1869</v>
      </c>
      <c r="R5" s="1894" t="s">
        <v>1870</v>
      </c>
      <c r="S5" s="1895" t="s">
        <v>1871</v>
      </c>
      <c r="T5" s="1896" t="s">
        <v>1872</v>
      </c>
      <c r="U5" s="1177" t="s">
        <v>1873</v>
      </c>
      <c r="V5" s="1178" t="s">
        <v>1874</v>
      </c>
      <c r="W5" s="1178" t="s">
        <v>1875</v>
      </c>
      <c r="X5" s="67"/>
      <c r="Y5" s="66" t="s">
        <v>1876</v>
      </c>
      <c r="Z5" s="1897" t="s">
        <v>1873</v>
      </c>
      <c r="AA5" s="1178" t="s">
        <v>1874</v>
      </c>
      <c r="AB5" s="1178" t="s">
        <v>1875</v>
      </c>
      <c r="AC5" s="67"/>
      <c r="AD5" s="67" t="s">
        <v>1876</v>
      </c>
      <c r="AE5" s="1177" t="s">
        <v>1877</v>
      </c>
      <c r="AF5" s="1178" t="s">
        <v>1878</v>
      </c>
      <c r="AG5" s="66" t="s">
        <v>1879</v>
      </c>
      <c r="AH5" s="1177" t="s">
        <v>1880</v>
      </c>
      <c r="AI5" s="1897" t="s">
        <v>1881</v>
      </c>
      <c r="AJ5" s="1897" t="s">
        <v>1882</v>
      </c>
      <c r="AK5" s="1178" t="s">
        <v>1883</v>
      </c>
      <c r="AL5" s="1178" t="s">
        <v>1884</v>
      </c>
      <c r="AM5" s="66" t="s">
        <v>1885</v>
      </c>
      <c r="AN5" s="1898" t="s">
        <v>1886</v>
      </c>
      <c r="AO5" s="1749" t="s">
        <v>1887</v>
      </c>
      <c r="AP5" s="1159" t="s">
        <v>1888</v>
      </c>
      <c r="AQ5" s="1899" t="s">
        <v>1889</v>
      </c>
      <c r="AR5" s="1899" t="s">
        <v>1890</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900" t="str">
        <f>'数据-汇总表'!C19</f>
        <v>办公</v>
      </c>
      <c r="B6" s="1901" t="str">
        <f>IF(A6=0,"","经营性")</f>
        <v>经营性</v>
      </c>
      <c r="C6" s="1902" t="s">
        <v>27</v>
      </c>
      <c r="D6" s="967">
        <f>SUMIF(项目基本情况!D$12:I$12,C6,项目基本情况!D$14:I$14)</f>
        <v>50</v>
      </c>
      <c r="E6" s="966">
        <f>IF(B6="","",SUMIF(项目基本情况!D$12:I$12,C6,项目基本情况!D$13:I$13))</f>
        <v>55330</v>
      </c>
      <c r="F6" s="68">
        <f>SUMIF(项目基本情况!D$12:I$12,C6,项目基本情况!D$15:I$15)</f>
        <v>30.83</v>
      </c>
      <c r="G6" s="69">
        <f>IF(ISERROR(ROUND(POWER(1+H6,D6-F6)*(POWER(1+H6,F6)-1)/(POWER(1+H6,D6)-1),3)),0,ROUND(POWER(1+H6,D6-F6)*(POWER(1+H6,F6)-1)/(POWER(1+H6,D6)-1),3))</f>
        <v>0.85899999999999999</v>
      </c>
      <c r="H6" s="741">
        <f>[1]基准地价修正!G20</f>
        <v>5.1999999999999998E-2</v>
      </c>
      <c r="I6" s="741">
        <v>5.5E-2</v>
      </c>
      <c r="J6" s="70">
        <v>8.5000000000000006E-2</v>
      </c>
      <c r="K6" s="1161">
        <f>SUMIF('数据-汇总表'!C$19:C$33,A6,'数据-汇总表'!E$19:E$33)</f>
        <v>8276.64</v>
      </c>
      <c r="L6" s="742">
        <v>3000</v>
      </c>
      <c r="M6" s="71">
        <f t="shared" ref="M6:M14" si="0">ROUND(K6*L6/10000,0)</f>
        <v>2483</v>
      </c>
      <c r="N6" s="740">
        <f>ROUND(1-(2020-2003)/60,2)</f>
        <v>0.72</v>
      </c>
      <c r="O6" s="71" t="str">
        <f>IF($N$5="成新度","——",ROUND(M6*N6,0))</f>
        <v>——</v>
      </c>
      <c r="P6" s="72" t="str">
        <f>IF($N$5="成新度","——",M6-O6)</f>
        <v>——</v>
      </c>
      <c r="Q6" s="743">
        <v>0.2</v>
      </c>
      <c r="R6" s="73">
        <f ca="1">SUMIF('数据-汇总表'!C$19:C$33,A6,'数据-汇总表'!R$19:R$27)</f>
        <v>927.85</v>
      </c>
      <c r="S6" s="54">
        <f>IF('数据-汇总表'!$I$17="按面积比例",SUMIF('数据-汇总表'!C$19:C$33,A6,'数据-汇总表'!K$19:K$33),SUMIF('数据-汇总表'!C$19:C$33,A6,'数据-汇总表'!N$19:N$33))</f>
        <v>0</v>
      </c>
      <c r="T6" s="1334">
        <f>ROUND($L$14*S6/10000,0)</f>
        <v>0</v>
      </c>
      <c r="U6" s="74">
        <v>4.8</v>
      </c>
      <c r="V6" s="75">
        <v>2.5000000000000001E-2</v>
      </c>
      <c r="W6" s="75">
        <v>0.15</v>
      </c>
      <c r="X6" s="1171"/>
      <c r="Y6" s="76">
        <f>N6</f>
        <v>0.72</v>
      </c>
      <c r="Z6" s="77"/>
      <c r="AA6" s="70"/>
      <c r="AB6" s="70"/>
      <c r="AC6" s="1171"/>
      <c r="AD6" s="78"/>
      <c r="AE6" s="1172">
        <f ca="1">IF(AN6="",0,SUMIF(INDIRECT("'"&amp;AN6&amp;"'"&amp;"!E:E"),$AE$5,INDIRECT("'"&amp;AN6&amp;"'"&amp;"!F:F")))</f>
        <v>30.83</v>
      </c>
      <c r="AF6" s="1534"/>
      <c r="AG6" s="143">
        <f>IF(AF6="",0,AE6-AF6)</f>
        <v>0</v>
      </c>
      <c r="AH6" s="79"/>
      <c r="AI6" s="81">
        <v>365</v>
      </c>
      <c r="AJ6" s="82"/>
      <c r="AK6" s="83">
        <v>1.4999999999999999E-2</v>
      </c>
      <c r="AL6" s="84">
        <v>2E-3</v>
      </c>
      <c r="AM6" s="85">
        <v>1.4999999999999999E-2</v>
      </c>
      <c r="AN6" s="1903" t="s">
        <v>3083</v>
      </c>
      <c r="AO6" s="55">
        <f ca="1">SUMIF(INDIRECT("'"&amp;AN6&amp;"'"&amp;"!A:A"),"总价",INDIRECT("'"&amp;AN6&amp;"'"&amp;"!B:B"))</f>
        <v>18556</v>
      </c>
      <c r="AP6" s="1904">
        <f>IF(C6="住宅",K6*L6,0)</f>
        <v>0</v>
      </c>
      <c r="AQ6" s="55">
        <f>ROUND($L$14*$N$14*S6/10000,0)</f>
        <v>0</v>
      </c>
      <c r="AR6" s="55">
        <f>ROUND($L$14*(1-$N$14)*S6/10000,0)</f>
        <v>0</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25">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25">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25">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25">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25">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25">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25">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25">
      <c r="A14" s="1905" t="s">
        <v>1891</v>
      </c>
      <c r="B14" s="1901" t="s">
        <v>1892</v>
      </c>
      <c r="C14" s="1906"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7">
      <c r="A15" s="1905" t="s">
        <v>1893</v>
      </c>
      <c r="B15" s="1901" t="s">
        <v>1892</v>
      </c>
      <c r="C15" s="1906"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75" thickBot="1">
      <c r="A16" s="1907" t="s">
        <v>1895</v>
      </c>
      <c r="B16" s="93"/>
      <c r="C16" s="942"/>
      <c r="D16" s="1908"/>
      <c r="E16" s="93"/>
      <c r="F16" s="93"/>
      <c r="G16" s="94">
        <f>ROUND(SUMPRODUCT(G6:G13,K6:K13)/SUMPRODUCT((G6:G13&gt;0)*(K6:K13)),3)</f>
        <v>0.85899999999999999</v>
      </c>
      <c r="H16" s="95">
        <f>ROUND(SUMPRODUCT(H6:H13,K6:K13)/SUMPRODUCT((H6:H13&gt;0)*(K6:K13)),3)</f>
        <v>5.1999999999999998E-2</v>
      </c>
      <c r="I16" s="96"/>
      <c r="J16" s="96"/>
      <c r="K16" s="97">
        <f>SUM(K6:K15)</f>
        <v>8276.64</v>
      </c>
      <c r="L16" s="98">
        <f>ROUND(M16*10000/SUM(K6:K14),0)</f>
        <v>3000</v>
      </c>
      <c r="M16" s="98">
        <f>SUM(M6:M14)</f>
        <v>2483</v>
      </c>
      <c r="N16" s="99">
        <f>ROUND(SUMPRODUCT(M6:M14,N6:N14)/M16,3)</f>
        <v>0.72</v>
      </c>
      <c r="O16" s="98">
        <f>SUM(O6:O14)</f>
        <v>0</v>
      </c>
      <c r="P16" s="98">
        <f>SUM(P6:P14)</f>
        <v>0</v>
      </c>
      <c r="Q16" s="100">
        <f>ROUND(SUMPRODUCT(Q6:Q13,K6:K13)/SUMPRODUCT((Q6:Q13&gt;0)*(K6:K13)),2)</f>
        <v>0.2</v>
      </c>
      <c r="R16" s="1165">
        <f ca="1">SUM(R6:R13)</f>
        <v>927.85</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5" thickBot="1">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c r="A18" s="64" t="s">
        <v>1896</v>
      </c>
      <c r="B18" s="2916"/>
      <c r="C18" s="2904"/>
      <c r="D18" s="2907"/>
      <c r="E18" s="2904"/>
      <c r="F18" s="2904"/>
      <c r="G18" s="2904"/>
      <c r="H18" s="2904"/>
      <c r="I18" s="2904"/>
      <c r="J18" s="2904"/>
      <c r="K18" s="2903"/>
      <c r="L18" s="2903"/>
      <c r="M18" s="2902"/>
      <c r="N18" s="2902"/>
      <c r="O18" s="2902"/>
      <c r="P18" s="2902"/>
      <c r="Q18" s="2902"/>
      <c r="R18" s="2902"/>
      <c r="S18" s="2902"/>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25">
      <c r="A19" s="1910" t="s">
        <v>1897</v>
      </c>
      <c r="B19" s="108"/>
      <c r="C19" s="3032" t="s">
        <v>3054</v>
      </c>
      <c r="D19" s="2907"/>
      <c r="E19" s="2904"/>
      <c r="F19" s="2904"/>
      <c r="G19" s="2904"/>
      <c r="H19" s="2904"/>
      <c r="I19" s="2904"/>
      <c r="J19" s="2904"/>
      <c r="K19" s="2903"/>
      <c r="L19" s="2903"/>
      <c r="M19" s="2902"/>
      <c r="N19" s="2902"/>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25">
      <c r="A20" s="1911" t="s">
        <v>1898</v>
      </c>
      <c r="B20" s="109">
        <v>2</v>
      </c>
      <c r="C20" s="3033" t="s">
        <v>3052</v>
      </c>
      <c r="D20" s="2907"/>
      <c r="E20" s="2904"/>
      <c r="F20" s="2904"/>
      <c r="G20" s="2904"/>
      <c r="H20" s="2904"/>
      <c r="I20" s="2904"/>
      <c r="J20" s="2904"/>
      <c r="K20" s="2903"/>
      <c r="L20" s="2903"/>
      <c r="M20" s="2902"/>
      <c r="N20" s="2902"/>
      <c r="O20" s="2902"/>
      <c r="P20" s="2902"/>
      <c r="Q20" s="2902"/>
      <c r="R20" s="2902"/>
      <c r="S20" s="2902"/>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25">
      <c r="A21" s="1912" t="s">
        <v>1899</v>
      </c>
      <c r="B21" s="109">
        <v>2</v>
      </c>
      <c r="C21" s="2904"/>
      <c r="D21" s="2907"/>
      <c r="E21" s="2904"/>
      <c r="F21" s="2904"/>
      <c r="G21" s="2904"/>
      <c r="H21" s="2904"/>
      <c r="I21" s="2904"/>
      <c r="J21" s="2904"/>
      <c r="K21" s="2903"/>
      <c r="L21" s="2903"/>
      <c r="M21" s="2902"/>
      <c r="N21" s="2902"/>
      <c r="O21" s="2902"/>
      <c r="P21" s="2902"/>
      <c r="Q21" s="2902"/>
      <c r="R21" s="2902"/>
      <c r="S21" s="2902"/>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25">
      <c r="A22" s="1911" t="s">
        <v>1900</v>
      </c>
      <c r="B22" s="110">
        <f>B19+B20</f>
        <v>2</v>
      </c>
      <c r="C22" s="2904"/>
      <c r="D22" s="2907"/>
      <c r="E22" s="2904"/>
      <c r="F22" s="2904"/>
      <c r="G22" s="2904"/>
      <c r="H22" s="2904"/>
      <c r="I22" s="2904"/>
      <c r="J22" s="2904"/>
      <c r="K22" s="2903"/>
      <c r="L22" s="2903"/>
      <c r="M22" s="2902"/>
      <c r="N22" s="2902"/>
      <c r="O22" s="2902"/>
      <c r="P22" s="2902"/>
      <c r="Q22" s="2902"/>
      <c r="R22" s="2902"/>
      <c r="S22" s="2902"/>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25">
      <c r="A23" s="1912" t="s">
        <v>1901</v>
      </c>
      <c r="B23" s="110">
        <f>B19+B21</f>
        <v>2</v>
      </c>
      <c r="C23" s="2904"/>
      <c r="D23" s="2907"/>
      <c r="E23" s="2904"/>
      <c r="F23" s="2904"/>
      <c r="G23" s="2904"/>
      <c r="H23" s="2904"/>
      <c r="I23" s="2904"/>
      <c r="J23" s="2904"/>
      <c r="K23" s="2903"/>
      <c r="L23" s="2903"/>
      <c r="M23" s="2902"/>
      <c r="N23" s="2902"/>
      <c r="O23" s="2902"/>
      <c r="P23" s="2902"/>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c r="A24" s="1913" t="s">
        <v>1902</v>
      </c>
      <c r="B24" s="111">
        <f>B20-B21</f>
        <v>0</v>
      </c>
      <c r="C24" s="2904"/>
      <c r="D24" s="2907"/>
      <c r="E24" s="2904"/>
      <c r="F24" s="2904"/>
      <c r="G24" s="2904"/>
      <c r="H24" s="2904"/>
      <c r="I24" s="2904"/>
      <c r="J24" s="2904"/>
      <c r="K24" s="2903"/>
      <c r="L24" s="2903"/>
      <c r="M24" s="2902"/>
      <c r="N24" s="2902"/>
      <c r="O24" s="2902"/>
      <c r="P24" s="2902"/>
      <c r="Q24" s="2902"/>
      <c r="R24" s="2902"/>
      <c r="S24" s="2902"/>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5" thickBot="1">
      <c r="A25" s="1744"/>
      <c r="B25" s="1875"/>
      <c r="C25" s="2904"/>
      <c r="D25" s="2907"/>
      <c r="E25" s="2904"/>
      <c r="F25" s="2904"/>
      <c r="G25" s="2904"/>
      <c r="H25" s="2904"/>
      <c r="I25" s="2904"/>
      <c r="J25" s="2904"/>
      <c r="K25" s="2903"/>
      <c r="L25" s="2903"/>
      <c r="M25" s="2902"/>
      <c r="N25" s="2902"/>
      <c r="O25" s="2902"/>
      <c r="P25" s="2902"/>
      <c r="Q25" s="2902"/>
      <c r="R25" s="2902"/>
      <c r="S25" s="2902"/>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c r="A26" s="1871" t="s">
        <v>1903</v>
      </c>
      <c r="B26" s="1914" t="s">
        <v>1904</v>
      </c>
      <c r="C26" s="2908" t="s">
        <v>1905</v>
      </c>
      <c r="D26" s="2907"/>
      <c r="E26" s="2904"/>
      <c r="F26" s="2904"/>
      <c r="G26" s="2904"/>
      <c r="H26" s="2904"/>
      <c r="I26" s="2904"/>
      <c r="J26" s="2904"/>
      <c r="K26" s="2903"/>
      <c r="L26" s="2903"/>
      <c r="M26" s="2902"/>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7.75">
      <c r="A27" s="1915" t="s">
        <v>1906</v>
      </c>
      <c r="B27" s="112"/>
      <c r="C27" s="3034" t="s">
        <v>3056</v>
      </c>
      <c r="D27" s="2910"/>
      <c r="E27" s="2890"/>
      <c r="F27" s="2890"/>
      <c r="G27" s="2904"/>
      <c r="H27" s="2904"/>
      <c r="I27" s="2904"/>
      <c r="J27" s="2904"/>
      <c r="K27" s="2903"/>
      <c r="L27" s="2903"/>
      <c r="M27" s="2902"/>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7.75">
      <c r="A28" s="1917" t="s">
        <v>1907</v>
      </c>
      <c r="B28" s="115">
        <v>200</v>
      </c>
      <c r="C28" s="2911"/>
      <c r="D28" s="2910"/>
      <c r="E28" s="2890"/>
      <c r="F28" s="2890"/>
      <c r="G28" s="2904"/>
      <c r="H28" s="2904"/>
      <c r="I28" s="2904"/>
      <c r="J28" s="2904"/>
      <c r="K28" s="2903"/>
      <c r="L28" s="2903"/>
      <c r="M28" s="2902"/>
      <c r="N28" s="2902"/>
      <c r="O28" s="2902"/>
      <c r="P28" s="2902"/>
      <c r="Q28" s="2902"/>
      <c r="R28" s="2902"/>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8.5" thickBot="1">
      <c r="A29" s="1918" t="s">
        <v>1908</v>
      </c>
      <c r="B29" s="117">
        <f ca="1">成本法!C10</f>
        <v>166</v>
      </c>
      <c r="C29" s="3035" t="s">
        <v>3042</v>
      </c>
      <c r="D29" s="2910"/>
      <c r="E29" s="2890"/>
      <c r="F29" s="2890"/>
      <c r="G29" s="2904"/>
      <c r="H29" s="2904"/>
      <c r="I29" s="2904"/>
      <c r="J29" s="2904"/>
      <c r="K29" s="2903"/>
      <c r="L29" s="2903"/>
      <c r="M29" s="2902"/>
      <c r="N29" s="2902"/>
      <c r="O29" s="2902"/>
      <c r="P29" s="2902"/>
      <c r="Q29" s="2902"/>
      <c r="R29" s="2902"/>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7">
      <c r="A30" s="1919" t="s">
        <v>1909</v>
      </c>
      <c r="B30" s="680">
        <v>200</v>
      </c>
      <c r="C30" s="2911"/>
      <c r="D30" s="2910"/>
      <c r="E30" s="2890"/>
      <c r="F30" s="2890"/>
      <c r="G30" s="2904"/>
      <c r="H30" s="2904"/>
      <c r="I30" s="2904"/>
      <c r="J30" s="2904"/>
      <c r="K30" s="2903"/>
      <c r="L30" s="2903"/>
      <c r="M30" s="2902"/>
      <c r="N30" s="2902"/>
      <c r="O30" s="2902"/>
      <c r="P30" s="2902"/>
      <c r="Q30" s="2902"/>
      <c r="R30" s="2902"/>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7">
      <c r="A31" s="1917" t="s">
        <v>1910</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7.75" thickBot="1">
      <c r="A32" s="1920" t="s">
        <v>1911</v>
      </c>
      <c r="B32" s="681"/>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25">
      <c r="A33" s="1915" t="s">
        <v>1912</v>
      </c>
      <c r="B33" s="682">
        <v>0.03</v>
      </c>
      <c r="C33" s="3036" t="s">
        <v>3043</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25">
      <c r="A34" s="1917" t="s">
        <v>1913</v>
      </c>
      <c r="B34" s="118">
        <v>0</v>
      </c>
      <c r="C34" s="3036" t="s">
        <v>3044</v>
      </c>
      <c r="D34" s="2915" t="s">
        <v>3053</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25">
      <c r="A35" s="1917" t="s">
        <v>1914</v>
      </c>
      <c r="B35" s="115">
        <v>200</v>
      </c>
      <c r="C35" s="3036" t="s">
        <v>3045</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1915</v>
      </c>
      <c r="B36" s="119">
        <v>1.4999999999999999E-2</v>
      </c>
      <c r="C36" s="3036" t="s">
        <v>3046</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25">
      <c r="A37" s="1919" t="s">
        <v>1916</v>
      </c>
      <c r="B37" s="120">
        <v>0.02</v>
      </c>
      <c r="C37" s="3036" t="s">
        <v>3047</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25">
      <c r="A38" s="1917" t="s">
        <v>1917</v>
      </c>
      <c r="B38" s="118">
        <v>0.02</v>
      </c>
      <c r="C38" s="3036" t="s">
        <v>3047</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25">
      <c r="A39" s="1920" t="s">
        <v>1918</v>
      </c>
      <c r="B39" s="323">
        <f ca="1">存贷款利率!I1</f>
        <v>1.4999999999999999E-2</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c r="A40" s="1920" t="s">
        <v>1919</v>
      </c>
      <c r="B40" s="1210">
        <f ca="1">存贷款利率!G1</f>
        <v>4.7500000000000001E-2</v>
      </c>
      <c r="C40" s="3036" t="s">
        <v>3048</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25">
      <c r="A41" s="1915" t="s">
        <v>1920</v>
      </c>
      <c r="B41" s="121">
        <f>B42+B43</f>
        <v>5.6000000000000001E-2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25">
      <c r="A42" s="1921" t="s">
        <v>1921</v>
      </c>
      <c r="B42" s="122">
        <v>0.05</v>
      </c>
      <c r="C42" s="2914">
        <f>IF(B2&lt;DATE(2016,5,1),0,B42)</f>
        <v>0.05</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25">
      <c r="A43" s="1921" t="s">
        <v>1922</v>
      </c>
      <c r="B43" s="123">
        <f>B42*(B44+B45+B46)+B47</f>
        <v>6.000000000000001E-3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25">
      <c r="A44" s="1922" t="s">
        <v>1923</v>
      </c>
      <c r="B44" s="124">
        <v>7.0000000000000007E-2</v>
      </c>
      <c r="C44" s="3036" t="s">
        <v>3057</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25">
      <c r="A45" s="1922" t="s">
        <v>1924</v>
      </c>
      <c r="B45" s="122">
        <v>0.03</v>
      </c>
      <c r="C45" s="3035" t="s">
        <v>3049</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25">
      <c r="A46" s="1922" t="s">
        <v>1925</v>
      </c>
      <c r="B46" s="122">
        <v>0.02</v>
      </c>
      <c r="C46" s="3035" t="s">
        <v>3050</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c r="A47" s="1923" t="s">
        <v>1926</v>
      </c>
      <c r="B47" s="125">
        <v>0</v>
      </c>
      <c r="C47" s="3038" t="s">
        <v>3058</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25">
      <c r="A48" s="1924" t="s">
        <v>1927</v>
      </c>
      <c r="B48" s="126">
        <v>0.03</v>
      </c>
      <c r="C48" s="3035" t="s">
        <v>3049</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c r="A49" s="1920" t="s">
        <v>1928</v>
      </c>
      <c r="B49" s="122">
        <v>5.0000000000000001E-4</v>
      </c>
      <c r="C49" s="3035" t="s">
        <v>3051</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25">
      <c r="A50" s="1925" t="s">
        <v>1929</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c r="A51" s="1918" t="s">
        <v>1930</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25">
      <c r="A52" s="1925" t="s">
        <v>1931</v>
      </c>
      <c r="B52" s="129">
        <f>SUMIF(A54:A63,B53,B54:B63)</f>
        <v>24</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7">
      <c r="A53" s="1917" t="s">
        <v>1932</v>
      </c>
      <c r="B53" s="1926" t="s">
        <v>269</v>
      </c>
      <c r="C53" s="2890" t="s">
        <v>1933</v>
      </c>
      <c r="D53" s="3037" t="s">
        <v>3055</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25">
      <c r="A54" s="1927" t="s">
        <v>1934</v>
      </c>
      <c r="B54" s="80"/>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25">
      <c r="A55" s="1927" t="s">
        <v>1935</v>
      </c>
      <c r="B55" s="80">
        <v>24</v>
      </c>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25">
      <c r="A56" s="1927" t="s">
        <v>1936</v>
      </c>
      <c r="B56" s="80"/>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25">
      <c r="A57" s="1927" t="s">
        <v>1937</v>
      </c>
      <c r="B57" s="80"/>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25">
      <c r="A58" s="1927" t="s">
        <v>1938</v>
      </c>
      <c r="B58" s="80"/>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25">
      <c r="A59" s="1927" t="s">
        <v>1939</v>
      </c>
      <c r="B59" s="80"/>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25">
      <c r="A60" s="1927" t="s">
        <v>1940</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25">
      <c r="A61" s="1927" t="s">
        <v>1941</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25">
      <c r="A62" s="1927" t="s">
        <v>1942</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c r="A63" s="1928" t="s">
        <v>1943</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4" customWidth="1"/>
    <col min="2" max="2" width="24.5" style="1759" customWidth="1"/>
    <col min="3" max="3" width="24.5" style="2738" customWidth="1"/>
    <col min="4" max="4" width="2.625" style="2738" customWidth="1"/>
    <col min="5" max="5" width="5.875" style="2738" customWidth="1"/>
    <col min="6" max="6" width="27" style="1759" customWidth="1"/>
    <col min="7" max="7" width="27" style="2739" customWidth="1"/>
    <col min="8" max="8" width="11.875" style="2719" customWidth="1"/>
    <col min="9" max="9" width="16.75" style="2720" customWidth="1"/>
    <col min="10" max="10" width="2.625" style="2719" customWidth="1"/>
    <col min="11" max="11" width="11.875" style="2719" customWidth="1"/>
    <col min="12" max="12" width="16.75" style="2720" customWidth="1"/>
    <col min="13" max="13" width="2.625" style="2719" customWidth="1"/>
    <col min="14" max="14" width="11.875" style="2719" customWidth="1"/>
    <col min="15" max="15" width="16.75" style="2720" customWidth="1"/>
    <col min="16" max="16" width="2.625" style="2719" customWidth="1"/>
    <col min="17" max="17" width="11.875" style="2719" customWidth="1"/>
    <col min="18" max="18" width="16.75" style="2721" customWidth="1"/>
    <col min="19" max="29" width="9" style="907"/>
    <col min="30" max="16384" width="9" style="1874"/>
  </cols>
  <sheetData>
    <row r="1" spans="1:29" s="2685" customFormat="1" ht="18.75" thickBot="1">
      <c r="A1" s="3136" t="s">
        <v>3034</v>
      </c>
      <c r="B1" s="3137"/>
      <c r="C1" s="3137"/>
      <c r="D1" s="3137"/>
      <c r="E1" s="3137"/>
      <c r="F1" s="3137"/>
      <c r="G1" s="3137"/>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5" thickBot="1">
      <c r="A2" s="2686"/>
      <c r="B2" s="2687"/>
      <c r="C2" s="2688" t="s">
        <v>3029</v>
      </c>
      <c r="D2" s="2689"/>
      <c r="E2" s="2686"/>
      <c r="F2" s="2690"/>
      <c r="G2" s="2688" t="s">
        <v>3030</v>
      </c>
      <c r="H2" s="907"/>
      <c r="I2" s="907"/>
      <c r="J2" s="907"/>
      <c r="K2" s="907"/>
      <c r="L2" s="907"/>
      <c r="M2" s="907"/>
      <c r="N2" s="907"/>
      <c r="O2" s="907"/>
      <c r="P2" s="907"/>
      <c r="Q2" s="907"/>
      <c r="R2" s="907"/>
    </row>
    <row r="3" spans="1:29" ht="48">
      <c r="A3" s="2669" t="s">
        <v>3031</v>
      </c>
      <c r="B3" s="2691" t="s">
        <v>3000</v>
      </c>
      <c r="C3" s="2692" t="s">
        <v>3032</v>
      </c>
      <c r="D3" s="2693"/>
      <c r="E3" s="2670" t="s">
        <v>3031</v>
      </c>
      <c r="F3" s="2694" t="s">
        <v>3001</v>
      </c>
      <c r="G3" s="2695" t="s">
        <v>3033</v>
      </c>
      <c r="H3" s="907"/>
      <c r="I3" s="907"/>
      <c r="J3" s="907"/>
      <c r="K3" s="907"/>
      <c r="L3" s="907"/>
      <c r="M3" s="907"/>
      <c r="N3" s="907"/>
      <c r="O3" s="907"/>
      <c r="P3" s="907"/>
      <c r="Q3" s="907"/>
      <c r="R3" s="907"/>
    </row>
    <row r="4" spans="1:29" ht="36.75">
      <c r="A4" s="2670"/>
      <c r="B4" s="329" t="s">
        <v>3002</v>
      </c>
      <c r="C4" s="2696" t="s">
        <v>3003</v>
      </c>
      <c r="D4" s="2693"/>
      <c r="E4" s="2697"/>
      <c r="F4" s="1559" t="s">
        <v>3004</v>
      </c>
      <c r="G4" s="2698" t="s">
        <v>3005</v>
      </c>
      <c r="H4" s="907"/>
      <c r="I4" s="907"/>
      <c r="J4" s="907"/>
      <c r="K4" s="907"/>
      <c r="L4" s="907"/>
      <c r="M4" s="907"/>
      <c r="N4" s="907"/>
      <c r="O4" s="907"/>
      <c r="P4" s="907"/>
      <c r="Q4" s="907"/>
      <c r="R4" s="907"/>
    </row>
    <row r="5" spans="1:29" ht="36.75">
      <c r="A5" s="2670"/>
      <c r="B5" s="329" t="s">
        <v>3006</v>
      </c>
      <c r="C5" s="2696" t="s">
        <v>3007</v>
      </c>
      <c r="D5" s="2693"/>
      <c r="E5" s="2697"/>
      <c r="F5" s="329" t="s">
        <v>3008</v>
      </c>
      <c r="G5" s="2698" t="s">
        <v>3009</v>
      </c>
      <c r="H5" s="907"/>
      <c r="I5" s="907"/>
      <c r="J5" s="907"/>
      <c r="K5" s="907"/>
      <c r="L5" s="907"/>
      <c r="M5" s="907"/>
      <c r="N5" s="907"/>
      <c r="O5" s="907"/>
      <c r="P5" s="907"/>
      <c r="Q5" s="907"/>
      <c r="R5" s="907"/>
    </row>
    <row r="6" spans="1:29" ht="36">
      <c r="A6" s="2670"/>
      <c r="B6" s="329" t="s">
        <v>3010</v>
      </c>
      <c r="C6" s="2698" t="s">
        <v>3005</v>
      </c>
      <c r="D6" s="2693"/>
      <c r="E6" s="2697"/>
      <c r="F6" s="329" t="s">
        <v>3011</v>
      </c>
      <c r="G6" s="2698" t="s">
        <v>3012</v>
      </c>
      <c r="H6" s="907"/>
      <c r="I6" s="907"/>
      <c r="J6" s="907"/>
      <c r="K6" s="907"/>
      <c r="L6" s="907"/>
      <c r="M6" s="907"/>
      <c r="N6" s="907"/>
      <c r="O6" s="907"/>
      <c r="P6" s="907"/>
      <c r="Q6" s="907"/>
      <c r="R6" s="907"/>
    </row>
    <row r="7" spans="1:29" ht="24.75" thickBot="1">
      <c r="A7" s="2670"/>
      <c r="B7" s="329" t="s">
        <v>3008</v>
      </c>
      <c r="C7" s="2698" t="s">
        <v>3009</v>
      </c>
      <c r="D7" s="2699"/>
      <c r="E7" s="2700"/>
      <c r="F7" s="2701" t="s">
        <v>3013</v>
      </c>
      <c r="G7" s="2702" t="s">
        <v>3014</v>
      </c>
      <c r="H7" s="907"/>
      <c r="I7" s="907"/>
      <c r="J7" s="907"/>
      <c r="K7" s="907"/>
      <c r="L7" s="907"/>
      <c r="M7" s="907"/>
      <c r="N7" s="907"/>
      <c r="O7" s="907"/>
      <c r="P7" s="907"/>
      <c r="Q7" s="907"/>
      <c r="R7" s="907"/>
    </row>
    <row r="8" spans="1:29">
      <c r="A8" s="2670"/>
      <c r="B8" s="329" t="s">
        <v>3011</v>
      </c>
      <c r="C8" s="2698" t="s">
        <v>3012</v>
      </c>
      <c r="D8" s="2699"/>
      <c r="E8" s="2699"/>
      <c r="F8" s="2703"/>
      <c r="G8" s="2703"/>
      <c r="H8" s="907"/>
      <c r="I8" s="907"/>
      <c r="J8" s="907"/>
      <c r="K8" s="907"/>
      <c r="L8" s="907"/>
      <c r="M8" s="907"/>
      <c r="N8" s="907"/>
      <c r="O8" s="907"/>
      <c r="P8" s="907"/>
      <c r="Q8" s="907"/>
      <c r="R8" s="907"/>
    </row>
    <row r="9" spans="1:29" ht="24">
      <c r="A9" s="2670"/>
      <c r="B9" s="329" t="s">
        <v>3015</v>
      </c>
      <c r="C9" s="2696" t="s">
        <v>3016</v>
      </c>
      <c r="D9" s="2693"/>
      <c r="E9" s="2699"/>
      <c r="F9" s="2703"/>
      <c r="G9" s="2703"/>
      <c r="H9" s="907"/>
      <c r="I9" s="907"/>
      <c r="J9" s="907"/>
      <c r="K9" s="907"/>
      <c r="L9" s="907"/>
      <c r="M9" s="907"/>
      <c r="N9" s="907"/>
      <c r="O9" s="907"/>
      <c r="P9" s="907"/>
      <c r="Q9" s="907"/>
      <c r="R9" s="907"/>
    </row>
    <row r="10" spans="1:29" s="2709" customFormat="1" ht="15" thickBot="1">
      <c r="A10" s="2671"/>
      <c r="B10" s="2704" t="s">
        <v>3017</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8">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75" thickBot="1">
      <c r="A13" s="2718" t="s">
        <v>3035</v>
      </c>
      <c r="B13" s="2712"/>
      <c r="C13" s="2712"/>
      <c r="D13" s="2710"/>
      <c r="E13" s="2712"/>
      <c r="F13" s="2712"/>
      <c r="G13" s="2712"/>
    </row>
    <row r="14" spans="1:29" ht="15" thickBot="1">
      <c r="A14" s="2722"/>
      <c r="B14" s="2722"/>
      <c r="C14" s="2723" t="s">
        <v>3018</v>
      </c>
      <c r="D14" s="2693"/>
      <c r="E14" s="2724"/>
      <c r="F14" s="2724"/>
      <c r="G14" s="2688" t="s">
        <v>3019</v>
      </c>
    </row>
    <row r="15" spans="1:29" ht="51">
      <c r="A15" s="2672" t="s">
        <v>3020</v>
      </c>
      <c r="B15" s="2725" t="s">
        <v>3000</v>
      </c>
      <c r="C15" s="2726" t="str">
        <f>C3</f>
        <v>估价对象周边居住用地比例、居住小区规模和社区发展完善程度，综合评价居住社区成熟度一般</v>
      </c>
      <c r="D15" s="2693"/>
      <c r="E15" s="2673" t="s">
        <v>3021</v>
      </c>
      <c r="F15" s="2725" t="s">
        <v>3022</v>
      </c>
      <c r="G15" s="2727" t="str">
        <f>G3</f>
        <v>估价对象位于XX开发区，园区建设成熟度XX，产业集聚程度XX</v>
      </c>
    </row>
    <row r="16" spans="1:29" ht="38.25">
      <c r="A16" s="2674"/>
      <c r="B16" s="2728" t="s">
        <v>3002</v>
      </c>
      <c r="C16" s="2729" t="str">
        <f>C4</f>
        <v>估价对象位于XX商圈，周边商业氛围成熟，人流量大，商业繁华度好</v>
      </c>
      <c r="D16" s="2693"/>
      <c r="E16" s="2675"/>
      <c r="F16" s="2730" t="s">
        <v>3004</v>
      </c>
      <c r="G16" s="2731" t="str">
        <f>G4</f>
        <v>估价对象周边道路状况、公共交通通达情况、停车便捷程度，综合评价交通便捷度较好</v>
      </c>
    </row>
    <row r="17" spans="1:18" ht="38.25">
      <c r="A17" s="2674"/>
      <c r="B17" s="2728" t="s">
        <v>3006</v>
      </c>
      <c r="C17" s="2729" t="str">
        <f>C5</f>
        <v>估价对象位于XX商圈，周边办公楼项目较多，入驻率高，办公集聚程度较好</v>
      </c>
      <c r="D17" s="2699"/>
      <c r="E17" s="2675"/>
      <c r="F17" s="2730" t="s">
        <v>3023</v>
      </c>
      <c r="G17" s="2732"/>
    </row>
    <row r="18" spans="1:18" ht="38.25">
      <c r="A18" s="2674"/>
      <c r="B18" s="2730" t="s">
        <v>3010</v>
      </c>
      <c r="C18" s="2731" t="str">
        <f>C6</f>
        <v>估价对象周边道路状况、公共交通通达情况、停车便捷程度，综合评价交通便捷度较好</v>
      </c>
      <c r="D18" s="2699"/>
      <c r="E18" s="2675"/>
      <c r="F18" s="2730" t="s">
        <v>3013</v>
      </c>
      <c r="G18" s="2731" t="str">
        <f>G7</f>
        <v>该园区内是否有污染型企业，绿化情况，卫生条件，整体环境状况判断</v>
      </c>
    </row>
    <row r="19" spans="1:18" ht="25.5">
      <c r="A19" s="2674"/>
      <c r="B19" s="2730" t="s">
        <v>3024</v>
      </c>
      <c r="C19" s="2732"/>
      <c r="D19" s="2693"/>
      <c r="E19" s="2675"/>
      <c r="F19" s="329" t="s">
        <v>3008</v>
      </c>
      <c r="G19" s="2731" t="str">
        <f>G5</f>
        <v>估价对象所在区域公共配套设施齐备情况</v>
      </c>
    </row>
    <row r="20" spans="1:18" ht="25.5">
      <c r="A20" s="2674"/>
      <c r="B20" s="2730" t="s">
        <v>3025</v>
      </c>
      <c r="C20" s="2729" t="str">
        <f>C9</f>
        <v>区域自然环境：；人文环境；综合评价环境状况一般</v>
      </c>
      <c r="D20" s="2699"/>
      <c r="E20" s="2675"/>
      <c r="F20" s="329" t="s">
        <v>3011</v>
      </c>
      <c r="G20" s="2731" t="str">
        <f>G6</f>
        <v>估价对象所在区域基础设施水平</v>
      </c>
    </row>
    <row r="21" spans="1:18" ht="25.5">
      <c r="A21" s="2674"/>
      <c r="B21" s="329" t="s">
        <v>3008</v>
      </c>
      <c r="C21" s="2731" t="str">
        <f>C7</f>
        <v>估价对象所在区域公共配套设施齐备情况</v>
      </c>
      <c r="D21" s="2693"/>
      <c r="E21" s="2675"/>
      <c r="F21" s="2730" t="s">
        <v>3026</v>
      </c>
      <c r="G21" s="2733"/>
    </row>
    <row r="22" spans="1:18" ht="13.5" customHeight="1">
      <c r="A22" s="2674"/>
      <c r="B22" s="329" t="s">
        <v>3011</v>
      </c>
      <c r="C22" s="2731" t="str">
        <f>C8</f>
        <v>估价对象所在区域基础设施水平</v>
      </c>
      <c r="D22" s="2693"/>
      <c r="E22" s="2675"/>
      <c r="F22" s="2730" t="s">
        <v>3017</v>
      </c>
      <c r="G22" s="2732"/>
    </row>
    <row r="23" spans="1:18" s="907" customFormat="1" ht="15" thickBot="1">
      <c r="A23" s="2674"/>
      <c r="B23" s="2730" t="s">
        <v>3026</v>
      </c>
      <c r="C23" s="2733"/>
      <c r="D23" s="1929"/>
      <c r="E23" s="2676"/>
      <c r="F23" s="2734" t="s">
        <v>3027</v>
      </c>
      <c r="G23" s="2735"/>
      <c r="H23" s="2719"/>
      <c r="I23" s="2720"/>
      <c r="J23" s="2719"/>
      <c r="K23" s="2719"/>
      <c r="L23" s="2720"/>
      <c r="M23" s="2719"/>
      <c r="N23" s="2719"/>
      <c r="O23" s="2720"/>
      <c r="P23" s="2719"/>
      <c r="Q23" s="2719"/>
      <c r="R23" s="2721"/>
    </row>
    <row r="24" spans="1:18" s="907" customFormat="1" ht="15" thickBot="1">
      <c r="A24" s="2677"/>
      <c r="B24" s="2734" t="s">
        <v>3028</v>
      </c>
      <c r="C24" s="2736">
        <f>C10</f>
        <v>0</v>
      </c>
      <c r="D24" s="1929"/>
      <c r="E24" s="2667"/>
      <c r="F24" s="2667"/>
      <c r="G24" s="2737"/>
      <c r="H24" s="2719"/>
      <c r="I24" s="2720"/>
      <c r="J24" s="2719"/>
      <c r="K24" s="2719"/>
      <c r="L24" s="2720"/>
      <c r="M24" s="2719"/>
      <c r="N24" s="2719"/>
      <c r="O24" s="2720"/>
      <c r="P24" s="2719"/>
      <c r="Q24" s="2719"/>
      <c r="R24" s="2721"/>
    </row>
    <row r="25" spans="1:18" s="907" customFormat="1">
      <c r="B25" s="2719"/>
      <c r="C25" s="2719"/>
      <c r="D25" s="2719"/>
      <c r="H25" s="2719"/>
      <c r="I25" s="2720"/>
      <c r="J25" s="2719"/>
      <c r="K25" s="2719"/>
      <c r="L25" s="2720"/>
      <c r="M25" s="2719"/>
      <c r="N25" s="2719"/>
      <c r="O25" s="2720"/>
      <c r="P25" s="2719"/>
      <c r="Q25" s="2719"/>
      <c r="R25" s="2721"/>
    </row>
    <row r="26" spans="1:18" s="907" customFormat="1">
      <c r="B26" s="2719"/>
      <c r="C26" s="2719"/>
      <c r="D26" s="2719"/>
      <c r="H26" s="2719"/>
      <c r="I26" s="2720"/>
      <c r="J26" s="2719"/>
      <c r="K26" s="2719"/>
      <c r="L26" s="2720"/>
      <c r="M26" s="2719"/>
      <c r="N26" s="2719"/>
      <c r="O26" s="2720"/>
      <c r="P26" s="2719"/>
      <c r="Q26" s="2719"/>
      <c r="R26" s="2721"/>
    </row>
    <row r="27" spans="1:18" s="907" customFormat="1">
      <c r="B27" s="2719"/>
      <c r="C27" s="2719"/>
      <c r="D27" s="2719"/>
      <c r="H27" s="2719"/>
      <c r="I27" s="2720"/>
      <c r="J27" s="2719"/>
      <c r="K27" s="2719"/>
      <c r="L27" s="2720"/>
      <c r="M27" s="2719"/>
      <c r="N27" s="2719"/>
      <c r="O27" s="2720"/>
      <c r="P27" s="2719"/>
      <c r="Q27" s="2719"/>
      <c r="R27" s="2721"/>
    </row>
    <row r="28" spans="1:18" s="907" customFormat="1">
      <c r="B28" s="2719"/>
      <c r="C28" s="2719"/>
      <c r="D28" s="2719"/>
      <c r="H28" s="2719"/>
      <c r="I28" s="2720"/>
      <c r="J28" s="2719"/>
      <c r="K28" s="2719"/>
      <c r="L28" s="2720"/>
      <c r="M28" s="2719"/>
      <c r="N28" s="2719"/>
      <c r="O28" s="2720"/>
      <c r="P28" s="2719"/>
      <c r="Q28" s="2719"/>
      <c r="R28" s="2721"/>
    </row>
    <row r="29" spans="1:18" s="907" customFormat="1">
      <c r="B29" s="2719"/>
      <c r="C29" s="2719"/>
      <c r="D29" s="2719"/>
      <c r="H29" s="2719"/>
      <c r="I29" s="2720"/>
      <c r="J29" s="2719"/>
      <c r="K29" s="2719"/>
      <c r="L29" s="2720"/>
      <c r="M29" s="2719"/>
      <c r="N29" s="2719"/>
      <c r="O29" s="2720"/>
      <c r="P29" s="2719"/>
      <c r="Q29" s="2719"/>
      <c r="R29" s="2721"/>
    </row>
    <row r="30" spans="1:18" s="907" customFormat="1">
      <c r="B30" s="2719"/>
      <c r="C30" s="2719"/>
      <c r="D30" s="2719"/>
      <c r="H30" s="2719"/>
      <c r="I30" s="2720"/>
      <c r="J30" s="2719"/>
      <c r="K30" s="2719"/>
      <c r="L30" s="2720"/>
      <c r="M30" s="2719"/>
      <c r="N30" s="2719"/>
      <c r="O30" s="2720"/>
      <c r="P30" s="2719"/>
      <c r="Q30" s="2719"/>
      <c r="R30" s="2721"/>
    </row>
    <row r="31" spans="1:18" s="907" customFormat="1">
      <c r="B31" s="2719"/>
      <c r="C31" s="2719"/>
      <c r="D31" s="2719"/>
      <c r="H31" s="2719"/>
      <c r="I31" s="2720"/>
      <c r="J31" s="2719"/>
      <c r="K31" s="2719"/>
      <c r="L31" s="2720"/>
      <c r="M31" s="2719"/>
      <c r="N31" s="2719"/>
      <c r="O31" s="2720"/>
      <c r="P31" s="2719"/>
      <c r="Q31" s="2719"/>
      <c r="R31" s="2721"/>
    </row>
    <row r="32" spans="1:18" s="907" customFormat="1">
      <c r="B32" s="2719"/>
      <c r="C32" s="2719"/>
      <c r="D32" s="2719"/>
      <c r="H32" s="2719"/>
      <c r="I32" s="2720"/>
      <c r="J32" s="2719"/>
      <c r="K32" s="2719"/>
      <c r="L32" s="2720"/>
      <c r="M32" s="2719"/>
      <c r="N32" s="2719"/>
      <c r="O32" s="2720"/>
      <c r="P32" s="2719"/>
      <c r="Q32" s="2719"/>
      <c r="R32" s="2721"/>
    </row>
    <row r="33" spans="2:18" s="907" customFormat="1">
      <c r="B33" s="2719"/>
      <c r="C33" s="2719"/>
      <c r="D33" s="2719"/>
      <c r="H33" s="2719"/>
      <c r="I33" s="2720"/>
      <c r="J33" s="2719"/>
      <c r="K33" s="2719"/>
      <c r="L33" s="2720"/>
      <c r="M33" s="2719"/>
      <c r="N33" s="2719"/>
      <c r="O33" s="2720"/>
      <c r="P33" s="2719"/>
      <c r="Q33" s="2719"/>
      <c r="R33" s="2721"/>
    </row>
    <row r="34" spans="2:18" s="907" customFormat="1">
      <c r="B34" s="2719"/>
      <c r="C34" s="2719"/>
      <c r="D34" s="2719"/>
      <c r="H34" s="2719"/>
      <c r="I34" s="2720"/>
      <c r="J34" s="2719"/>
      <c r="K34" s="2719"/>
      <c r="L34" s="2720"/>
      <c r="M34" s="2719"/>
      <c r="N34" s="2719"/>
      <c r="O34" s="2720"/>
      <c r="P34" s="2719"/>
      <c r="Q34" s="2719"/>
      <c r="R34" s="2721"/>
    </row>
    <row r="35" spans="2:18" s="907" customFormat="1">
      <c r="B35" s="2719"/>
      <c r="C35" s="2719"/>
      <c r="D35" s="2719"/>
      <c r="H35" s="2719"/>
      <c r="I35" s="2720"/>
      <c r="J35" s="2719"/>
      <c r="K35" s="2719"/>
      <c r="L35" s="2720"/>
      <c r="M35" s="2719"/>
      <c r="N35" s="2719"/>
      <c r="O35" s="2720"/>
      <c r="P35" s="2719"/>
      <c r="Q35" s="2719"/>
      <c r="R35" s="2721"/>
    </row>
    <row r="36" spans="2:18" s="907" customFormat="1">
      <c r="B36" s="2719"/>
      <c r="C36" s="2719"/>
      <c r="D36" s="2719"/>
      <c r="H36" s="2719"/>
      <c r="I36" s="2720"/>
      <c r="J36" s="2719"/>
      <c r="K36" s="2719"/>
      <c r="L36" s="2720"/>
      <c r="M36" s="2719"/>
      <c r="N36" s="2719"/>
      <c r="O36" s="2720"/>
      <c r="P36" s="2719"/>
      <c r="Q36" s="2719"/>
      <c r="R36" s="2721"/>
    </row>
    <row r="37" spans="2:18" s="907" customFormat="1">
      <c r="B37" s="2719"/>
      <c r="C37" s="2719"/>
      <c r="D37" s="2719"/>
      <c r="H37" s="2719"/>
      <c r="I37" s="2720"/>
      <c r="J37" s="2719"/>
      <c r="K37" s="2719"/>
      <c r="L37" s="2720"/>
      <c r="M37" s="2719"/>
      <c r="N37" s="2719"/>
      <c r="O37" s="2720"/>
      <c r="P37" s="2719"/>
      <c r="Q37" s="2719"/>
      <c r="R37" s="2721"/>
    </row>
    <row r="38" spans="2:18" s="907" customFormat="1">
      <c r="B38" s="2719"/>
      <c r="C38" s="2719"/>
      <c r="D38" s="2719"/>
      <c r="E38" s="2719"/>
      <c r="F38" s="2719"/>
      <c r="G38" s="2720"/>
      <c r="H38" s="2719"/>
      <c r="I38" s="2720"/>
      <c r="J38" s="2719"/>
      <c r="K38" s="2719"/>
      <c r="L38" s="2720"/>
      <c r="M38" s="2719"/>
      <c r="N38" s="2719"/>
      <c r="O38" s="2720"/>
      <c r="P38" s="2719"/>
      <c r="Q38" s="2719"/>
      <c r="R38" s="2721"/>
    </row>
    <row r="39" spans="2:18" s="907" customFormat="1">
      <c r="B39" s="2719"/>
      <c r="C39" s="2719"/>
      <c r="D39" s="2719"/>
      <c r="E39" s="2719"/>
      <c r="F39" s="2719"/>
      <c r="G39" s="2720"/>
      <c r="H39" s="2719"/>
      <c r="I39" s="2720"/>
      <c r="J39" s="2719"/>
      <c r="K39" s="2719"/>
      <c r="L39" s="2720"/>
      <c r="M39" s="2719"/>
      <c r="N39" s="2719"/>
      <c r="O39" s="2720"/>
      <c r="P39" s="2719"/>
      <c r="Q39" s="2719"/>
      <c r="R39" s="2721"/>
    </row>
    <row r="40" spans="2:18" s="907" customFormat="1">
      <c r="B40" s="2719"/>
      <c r="C40" s="2719"/>
      <c r="D40" s="2719"/>
      <c r="E40" s="2719"/>
      <c r="F40" s="2719"/>
      <c r="G40" s="2720"/>
      <c r="H40" s="2719"/>
      <c r="I40" s="2720"/>
      <c r="J40" s="2719"/>
      <c r="K40" s="2719"/>
      <c r="L40" s="2720"/>
      <c r="M40" s="2719"/>
      <c r="N40" s="2719"/>
      <c r="O40" s="2720"/>
      <c r="P40" s="2719"/>
      <c r="Q40" s="2719"/>
      <c r="R40" s="2721"/>
    </row>
    <row r="41" spans="2:18" s="907" customFormat="1">
      <c r="B41" s="2719"/>
      <c r="C41" s="2719"/>
      <c r="D41" s="2719"/>
      <c r="E41" s="2719"/>
      <c r="F41" s="2719"/>
      <c r="G41" s="2720"/>
      <c r="H41" s="2719"/>
      <c r="I41" s="2720"/>
      <c r="J41" s="2719"/>
      <c r="K41" s="2719"/>
      <c r="L41" s="2720"/>
      <c r="M41" s="2719"/>
      <c r="N41" s="2719"/>
      <c r="O41" s="2720"/>
      <c r="P41" s="2719"/>
      <c r="Q41" s="2719"/>
      <c r="R41" s="2721"/>
    </row>
    <row r="42" spans="2:18" s="907" customFormat="1">
      <c r="B42" s="2719"/>
      <c r="C42" s="2719"/>
      <c r="D42" s="2719"/>
      <c r="E42" s="2719"/>
      <c r="F42" s="2719"/>
      <c r="G42" s="2720"/>
      <c r="H42" s="2719"/>
      <c r="I42" s="2720"/>
      <c r="J42" s="2719"/>
      <c r="K42" s="2719"/>
      <c r="L42" s="2720"/>
      <c r="M42" s="2719"/>
      <c r="N42" s="2719"/>
      <c r="O42" s="2720"/>
      <c r="P42" s="2719"/>
      <c r="Q42" s="2719"/>
      <c r="R42" s="2721"/>
    </row>
    <row r="43" spans="2:18" s="907" customFormat="1">
      <c r="B43" s="2719"/>
      <c r="C43" s="2719"/>
      <c r="D43" s="2719"/>
      <c r="E43" s="2719"/>
      <c r="F43" s="2719"/>
      <c r="G43" s="2720"/>
      <c r="H43" s="2719"/>
      <c r="I43" s="2720"/>
      <c r="J43" s="2719"/>
      <c r="K43" s="2719"/>
      <c r="L43" s="2720"/>
      <c r="M43" s="2719"/>
      <c r="N43" s="2719"/>
      <c r="O43" s="2720"/>
      <c r="P43" s="2719"/>
      <c r="Q43" s="2719"/>
      <c r="R43" s="2721"/>
    </row>
    <row r="44" spans="2:18" s="907" customFormat="1">
      <c r="B44" s="2719"/>
      <c r="C44" s="2719"/>
      <c r="D44" s="2719"/>
      <c r="E44" s="2719"/>
      <c r="F44" s="2719"/>
      <c r="G44" s="2720"/>
      <c r="H44" s="2719"/>
      <c r="I44" s="2720"/>
      <c r="J44" s="2719"/>
      <c r="K44" s="2719"/>
      <c r="L44" s="2720"/>
      <c r="M44" s="2719"/>
      <c r="N44" s="2719"/>
      <c r="O44" s="2720"/>
      <c r="P44" s="2719"/>
      <c r="Q44" s="2719"/>
      <c r="R44" s="2721"/>
    </row>
    <row r="45" spans="2:18" s="907" customFormat="1">
      <c r="B45" s="2719"/>
      <c r="C45" s="2719"/>
      <c r="D45" s="2719"/>
      <c r="E45" s="2719"/>
      <c r="F45" s="2719"/>
      <c r="G45" s="2720"/>
      <c r="H45" s="2719"/>
      <c r="I45" s="2720"/>
      <c r="J45" s="2719"/>
      <c r="K45" s="2719"/>
      <c r="L45" s="2720"/>
      <c r="M45" s="2719"/>
      <c r="N45" s="2719"/>
      <c r="O45" s="2720"/>
      <c r="P45" s="2719"/>
      <c r="Q45" s="2719"/>
      <c r="R45" s="2721"/>
    </row>
    <row r="46" spans="2:18" s="907" customFormat="1">
      <c r="B46" s="2719"/>
      <c r="C46" s="2719"/>
      <c r="D46" s="2719"/>
      <c r="E46" s="2719"/>
      <c r="F46" s="2719"/>
      <c r="G46" s="2720"/>
      <c r="H46" s="2719"/>
      <c r="I46" s="2720"/>
      <c r="J46" s="2719"/>
      <c r="K46" s="2719"/>
      <c r="L46" s="2720"/>
      <c r="M46" s="2719"/>
      <c r="N46" s="2719"/>
      <c r="O46" s="2720"/>
      <c r="P46" s="2719"/>
      <c r="Q46" s="2719"/>
      <c r="R46" s="2721"/>
    </row>
    <row r="47" spans="2:18" s="907" customFormat="1">
      <c r="B47" s="2719"/>
      <c r="C47" s="2719"/>
      <c r="D47" s="2719"/>
      <c r="E47" s="2719"/>
      <c r="F47" s="2719"/>
      <c r="G47" s="2720"/>
      <c r="H47" s="2719"/>
      <c r="I47" s="2720"/>
      <c r="J47" s="2719"/>
      <c r="K47" s="2719"/>
      <c r="L47" s="2720"/>
      <c r="M47" s="2719"/>
      <c r="N47" s="2719"/>
      <c r="O47" s="2720"/>
      <c r="P47" s="2719"/>
      <c r="Q47" s="2719"/>
      <c r="R47" s="2721"/>
    </row>
    <row r="48" spans="2:18" s="907" customFormat="1">
      <c r="B48" s="2719"/>
      <c r="C48" s="2719"/>
      <c r="D48" s="2719"/>
      <c r="E48" s="2719"/>
      <c r="F48" s="2719"/>
      <c r="G48" s="2720"/>
      <c r="H48" s="2719"/>
      <c r="I48" s="2720"/>
      <c r="J48" s="2719"/>
      <c r="K48" s="2719"/>
      <c r="L48" s="2720"/>
      <c r="M48" s="2719"/>
      <c r="N48" s="2719"/>
      <c r="O48" s="2720"/>
      <c r="P48" s="2719"/>
      <c r="Q48" s="2719"/>
      <c r="R48" s="2721"/>
    </row>
    <row r="49" spans="2:18" s="907" customFormat="1">
      <c r="B49" s="2719"/>
      <c r="C49" s="2719"/>
      <c r="D49" s="2719"/>
      <c r="E49" s="2719"/>
      <c r="F49" s="2719"/>
      <c r="G49" s="2720"/>
      <c r="H49" s="2719"/>
      <c r="I49" s="2720"/>
      <c r="J49" s="2719"/>
      <c r="K49" s="2719"/>
      <c r="L49" s="2720"/>
      <c r="M49" s="2719"/>
      <c r="N49" s="2719"/>
      <c r="O49" s="2720"/>
      <c r="P49" s="2719"/>
      <c r="Q49" s="2719"/>
      <c r="R49" s="2721"/>
    </row>
    <row r="50" spans="2:18" s="907" customFormat="1">
      <c r="B50" s="2719"/>
      <c r="C50" s="2719"/>
      <c r="D50" s="2719"/>
      <c r="E50" s="2719"/>
      <c r="F50" s="2719"/>
      <c r="G50" s="2720"/>
      <c r="H50" s="2719"/>
      <c r="I50" s="2720"/>
      <c r="J50" s="2719"/>
      <c r="K50" s="2719"/>
      <c r="L50" s="2720"/>
      <c r="M50" s="2719"/>
      <c r="N50" s="2719"/>
      <c r="O50" s="2720"/>
      <c r="P50" s="2719"/>
      <c r="Q50" s="2719"/>
      <c r="R50" s="2721"/>
    </row>
    <row r="51" spans="2:18" s="907" customFormat="1">
      <c r="B51" s="2719"/>
      <c r="C51" s="2719"/>
      <c r="D51" s="2719"/>
      <c r="E51" s="2719"/>
      <c r="F51" s="2719"/>
      <c r="G51" s="2720"/>
      <c r="H51" s="2719"/>
      <c r="I51" s="2720"/>
      <c r="J51" s="2719"/>
      <c r="K51" s="2719"/>
      <c r="L51" s="2720"/>
      <c r="M51" s="2719"/>
      <c r="N51" s="2719"/>
      <c r="O51" s="2720"/>
      <c r="P51" s="2719"/>
      <c r="Q51" s="2719"/>
      <c r="R51" s="2721"/>
    </row>
    <row r="52" spans="2:18" s="907" customFormat="1">
      <c r="B52" s="2719"/>
      <c r="C52" s="2719"/>
      <c r="D52" s="2719"/>
      <c r="E52" s="2719"/>
      <c r="F52" s="2719"/>
      <c r="G52" s="2720"/>
      <c r="H52" s="2719"/>
      <c r="I52" s="2720"/>
      <c r="J52" s="2719"/>
      <c r="K52" s="2719"/>
      <c r="L52" s="2720"/>
      <c r="M52" s="2719"/>
      <c r="N52" s="2719"/>
      <c r="O52" s="2720"/>
      <c r="P52" s="2719"/>
      <c r="Q52" s="2719"/>
      <c r="R52" s="2721"/>
    </row>
    <row r="53" spans="2:18" s="907" customFormat="1">
      <c r="B53" s="2719"/>
      <c r="C53" s="2719"/>
      <c r="D53" s="2719"/>
      <c r="E53" s="2719"/>
      <c r="F53" s="2719"/>
      <c r="G53" s="2720"/>
      <c r="H53" s="2719"/>
      <c r="I53" s="2720"/>
      <c r="J53" s="2719"/>
      <c r="K53" s="2719"/>
      <c r="L53" s="2720"/>
      <c r="M53" s="2719"/>
      <c r="N53" s="2719"/>
      <c r="O53" s="2720"/>
      <c r="P53" s="2719"/>
      <c r="Q53" s="2719"/>
      <c r="R53" s="2721"/>
    </row>
    <row r="54" spans="2:18" s="907" customFormat="1">
      <c r="B54" s="2719"/>
      <c r="C54" s="2719"/>
      <c r="D54" s="2719"/>
      <c r="E54" s="2719"/>
      <c r="F54" s="2719"/>
      <c r="G54" s="2720"/>
      <c r="H54" s="2719"/>
      <c r="I54" s="2720"/>
      <c r="J54" s="2719"/>
      <c r="K54" s="2719"/>
      <c r="L54" s="2720"/>
      <c r="M54" s="2719"/>
      <c r="N54" s="2719"/>
      <c r="O54" s="2720"/>
      <c r="P54" s="2719"/>
      <c r="Q54" s="2719"/>
      <c r="R54" s="2721"/>
    </row>
    <row r="55" spans="2:18" s="907" customFormat="1">
      <c r="B55" s="2719"/>
      <c r="C55" s="2719"/>
      <c r="D55" s="2719"/>
      <c r="E55" s="2719"/>
      <c r="F55" s="2719"/>
      <c r="G55" s="2720"/>
      <c r="H55" s="2719"/>
      <c r="I55" s="2720"/>
      <c r="J55" s="2719"/>
      <c r="K55" s="2719"/>
      <c r="L55" s="2720"/>
      <c r="M55" s="2719"/>
      <c r="N55" s="2719"/>
      <c r="O55" s="2720"/>
      <c r="P55" s="2719"/>
      <c r="Q55" s="2719"/>
      <c r="R55" s="2721"/>
    </row>
    <row r="56" spans="2:18" s="907" customFormat="1">
      <c r="B56" s="2719"/>
      <c r="C56" s="2719"/>
      <c r="D56" s="2719"/>
      <c r="E56" s="2719"/>
      <c r="F56" s="2719"/>
      <c r="G56" s="2720"/>
      <c r="H56" s="2719"/>
      <c r="I56" s="2720"/>
      <c r="J56" s="2719"/>
      <c r="K56" s="2719"/>
      <c r="L56" s="2720"/>
      <c r="M56" s="2719"/>
      <c r="N56" s="2719"/>
      <c r="O56" s="2720"/>
      <c r="P56" s="2719"/>
      <c r="Q56" s="2719"/>
      <c r="R56" s="2721"/>
    </row>
    <row r="57" spans="2:18" s="907" customFormat="1">
      <c r="B57" s="2719"/>
      <c r="C57" s="2719"/>
      <c r="D57" s="2719"/>
      <c r="E57" s="2719"/>
      <c r="F57" s="2719"/>
      <c r="G57" s="2720"/>
      <c r="H57" s="2719"/>
      <c r="I57" s="2720"/>
      <c r="J57" s="2719"/>
      <c r="K57" s="2719"/>
      <c r="L57" s="2720"/>
      <c r="M57" s="2719"/>
      <c r="N57" s="2719"/>
      <c r="O57" s="2720"/>
      <c r="P57" s="2719"/>
      <c r="Q57" s="2719"/>
      <c r="R57" s="2721"/>
    </row>
    <row r="58" spans="2:18" s="907" customFormat="1">
      <c r="B58" s="2719"/>
      <c r="C58" s="2719"/>
      <c r="D58" s="2719"/>
      <c r="E58" s="2719"/>
      <c r="F58" s="2719"/>
      <c r="G58" s="2720"/>
      <c r="H58" s="2719"/>
      <c r="I58" s="2720"/>
      <c r="J58" s="2719"/>
      <c r="K58" s="2719"/>
      <c r="L58" s="2720"/>
      <c r="M58" s="2719"/>
      <c r="N58" s="2719"/>
      <c r="O58" s="2720"/>
      <c r="P58" s="2719"/>
      <c r="Q58" s="2719"/>
      <c r="R58" s="2721"/>
    </row>
    <row r="59" spans="2:18" s="907" customFormat="1">
      <c r="B59" s="2719"/>
      <c r="C59" s="2719"/>
      <c r="D59" s="2719"/>
      <c r="E59" s="2719"/>
      <c r="F59" s="2719"/>
      <c r="G59" s="2720"/>
      <c r="H59" s="2719"/>
      <c r="I59" s="2720"/>
      <c r="J59" s="2719"/>
      <c r="K59" s="2719"/>
      <c r="L59" s="2720"/>
      <c r="M59" s="2719"/>
      <c r="N59" s="2719"/>
      <c r="O59" s="2720"/>
      <c r="P59" s="2719"/>
      <c r="Q59" s="2719"/>
      <c r="R59" s="2721"/>
    </row>
    <row r="60" spans="2:18" s="907" customFormat="1">
      <c r="B60" s="2719"/>
      <c r="C60" s="2719"/>
      <c r="D60" s="2719"/>
      <c r="E60" s="2719"/>
      <c r="F60" s="2719"/>
      <c r="G60" s="2720"/>
      <c r="H60" s="2719"/>
      <c r="I60" s="2720"/>
      <c r="J60" s="2719"/>
      <c r="K60" s="2719"/>
      <c r="L60" s="2720"/>
      <c r="M60" s="2719"/>
      <c r="N60" s="2719"/>
      <c r="O60" s="2720"/>
      <c r="P60" s="2719"/>
      <c r="Q60" s="2719"/>
      <c r="R60" s="2721"/>
    </row>
    <row r="61" spans="2:18" s="907" customFormat="1">
      <c r="B61" s="2719"/>
      <c r="C61" s="2719"/>
      <c r="D61" s="2719"/>
      <c r="E61" s="2719"/>
      <c r="F61" s="2719"/>
      <c r="G61" s="2720"/>
      <c r="H61" s="2719"/>
      <c r="I61" s="2720"/>
      <c r="J61" s="2719"/>
      <c r="K61" s="2719"/>
      <c r="L61" s="2720"/>
      <c r="M61" s="2719"/>
      <c r="N61" s="2719"/>
      <c r="O61" s="2720"/>
      <c r="P61" s="2719"/>
      <c r="Q61" s="2719"/>
      <c r="R61" s="2721"/>
    </row>
    <row r="62" spans="2:18" s="907" customFormat="1">
      <c r="B62" s="2719"/>
      <c r="C62" s="2719"/>
      <c r="D62" s="2719"/>
      <c r="E62" s="2719"/>
      <c r="F62" s="2719"/>
      <c r="G62" s="2720"/>
      <c r="H62" s="2719"/>
      <c r="I62" s="2720"/>
      <c r="J62" s="2719"/>
      <c r="K62" s="2719"/>
      <c r="L62" s="2720"/>
      <c r="M62" s="2719"/>
      <c r="N62" s="2719"/>
      <c r="O62" s="2720"/>
      <c r="P62" s="2719"/>
      <c r="Q62" s="2719"/>
      <c r="R62" s="2721"/>
    </row>
    <row r="63" spans="2:18" s="907" customFormat="1">
      <c r="B63" s="2719"/>
      <c r="C63" s="2719"/>
      <c r="D63" s="2719"/>
      <c r="E63" s="2719"/>
      <c r="F63" s="2719"/>
      <c r="G63" s="2720"/>
      <c r="H63" s="2719"/>
      <c r="I63" s="2720"/>
      <c r="J63" s="2719"/>
      <c r="K63" s="2719"/>
      <c r="L63" s="2720"/>
      <c r="M63" s="2719"/>
      <c r="N63" s="2719"/>
      <c r="O63" s="2720"/>
      <c r="P63" s="2719"/>
      <c r="Q63" s="2719"/>
      <c r="R63" s="2721"/>
    </row>
    <row r="64" spans="2:18" s="907" customFormat="1">
      <c r="B64" s="2719"/>
      <c r="C64" s="2719"/>
      <c r="D64" s="2719"/>
      <c r="E64" s="2719"/>
      <c r="F64" s="2719"/>
      <c r="G64" s="2720"/>
      <c r="H64" s="2719"/>
      <c r="I64" s="2720"/>
      <c r="J64" s="2719"/>
      <c r="K64" s="2719"/>
      <c r="L64" s="2720"/>
      <c r="M64" s="2719"/>
      <c r="N64" s="2719"/>
      <c r="O64" s="2720"/>
      <c r="P64" s="2719"/>
      <c r="Q64" s="2719"/>
      <c r="R64" s="2721"/>
    </row>
    <row r="65" spans="2:18" s="907" customFormat="1">
      <c r="B65" s="2719"/>
      <c r="C65" s="2719"/>
      <c r="D65" s="2719"/>
      <c r="E65" s="2719"/>
      <c r="F65" s="2719"/>
      <c r="G65" s="2720"/>
      <c r="H65" s="2719"/>
      <c r="I65" s="2720"/>
      <c r="J65" s="2719"/>
      <c r="K65" s="2719"/>
      <c r="L65" s="2720"/>
      <c r="M65" s="2719"/>
      <c r="N65" s="2719"/>
      <c r="O65" s="2720"/>
      <c r="P65" s="2719"/>
      <c r="Q65" s="2719"/>
      <c r="R65" s="2721"/>
    </row>
    <row r="66" spans="2:18" s="907" customFormat="1">
      <c r="B66" s="2719"/>
      <c r="C66" s="2719"/>
      <c r="D66" s="2719"/>
      <c r="E66" s="2719"/>
      <c r="F66" s="2719"/>
      <c r="G66" s="2720"/>
      <c r="H66" s="2719"/>
      <c r="I66" s="2720"/>
      <c r="J66" s="2719"/>
      <c r="K66" s="2719"/>
      <c r="L66" s="2720"/>
      <c r="M66" s="2719"/>
      <c r="N66" s="2719"/>
      <c r="O66" s="2720"/>
      <c r="P66" s="2719"/>
      <c r="Q66" s="2719"/>
      <c r="R66" s="2721"/>
    </row>
    <row r="67" spans="2:18" s="907" customFormat="1">
      <c r="B67" s="2719"/>
      <c r="C67" s="2719"/>
      <c r="D67" s="2719"/>
      <c r="E67" s="2719"/>
      <c r="F67" s="2719"/>
      <c r="G67" s="2720"/>
      <c r="H67" s="2719"/>
      <c r="I67" s="2720"/>
      <c r="J67" s="2719"/>
      <c r="K67" s="2719"/>
      <c r="L67" s="2720"/>
      <c r="M67" s="2719"/>
      <c r="N67" s="2719"/>
      <c r="O67" s="2720"/>
      <c r="P67" s="2719"/>
      <c r="Q67" s="2719"/>
      <c r="R67" s="2721"/>
    </row>
    <row r="68" spans="2:18" s="907" customFormat="1">
      <c r="B68" s="2719"/>
      <c r="C68" s="2719"/>
      <c r="D68" s="2719"/>
      <c r="E68" s="2719"/>
      <c r="F68" s="2719"/>
      <c r="G68" s="2720"/>
      <c r="H68" s="2719"/>
      <c r="I68" s="2720"/>
      <c r="J68" s="2719"/>
      <c r="K68" s="2719"/>
      <c r="L68" s="2720"/>
      <c r="M68" s="2719"/>
      <c r="N68" s="2719"/>
      <c r="O68" s="2720"/>
      <c r="P68" s="2719"/>
      <c r="Q68" s="2719"/>
      <c r="R68" s="2721"/>
    </row>
    <row r="69" spans="2:18" s="907" customFormat="1">
      <c r="B69" s="2719"/>
      <c r="C69" s="2719"/>
      <c r="D69" s="2719"/>
      <c r="E69" s="2719"/>
      <c r="F69" s="2719"/>
      <c r="G69" s="2720"/>
      <c r="H69" s="2719"/>
      <c r="I69" s="2720"/>
      <c r="J69" s="2719"/>
      <c r="K69" s="2719"/>
      <c r="L69" s="2720"/>
      <c r="M69" s="2719"/>
      <c r="N69" s="2719"/>
      <c r="O69" s="2720"/>
      <c r="P69" s="2719"/>
      <c r="Q69" s="2719"/>
      <c r="R69" s="2721"/>
    </row>
    <row r="70" spans="2:18" s="907" customFormat="1">
      <c r="B70" s="2719"/>
      <c r="C70" s="2719"/>
      <c r="D70" s="2719"/>
      <c r="E70" s="2719"/>
      <c r="F70" s="2719"/>
      <c r="G70" s="2720"/>
      <c r="H70" s="2719"/>
      <c r="I70" s="2720"/>
      <c r="J70" s="2719"/>
      <c r="K70" s="2719"/>
      <c r="L70" s="2720"/>
      <c r="M70" s="2719"/>
      <c r="N70" s="2719"/>
      <c r="O70" s="2720"/>
      <c r="P70" s="2719"/>
      <c r="Q70" s="2719"/>
      <c r="R70" s="2721"/>
    </row>
    <row r="71" spans="2:18" s="907" customFormat="1">
      <c r="B71" s="2719"/>
      <c r="C71" s="2719"/>
      <c r="D71" s="2719"/>
      <c r="E71" s="2719"/>
      <c r="F71" s="2719"/>
      <c r="G71" s="2720"/>
      <c r="H71" s="2719"/>
      <c r="I71" s="2720"/>
      <c r="J71" s="2719"/>
      <c r="K71" s="2719"/>
      <c r="L71" s="2720"/>
      <c r="M71" s="2719"/>
      <c r="N71" s="2719"/>
      <c r="O71" s="2720"/>
      <c r="P71" s="2719"/>
      <c r="Q71" s="2719"/>
      <c r="R71" s="2721"/>
    </row>
    <row r="72" spans="2:18" s="907" customFormat="1">
      <c r="B72" s="2719"/>
      <c r="C72" s="2719"/>
      <c r="D72" s="2719"/>
      <c r="E72" s="2719"/>
      <c r="F72" s="2719"/>
      <c r="G72" s="2720"/>
      <c r="H72" s="2719"/>
      <c r="I72" s="2720"/>
      <c r="J72" s="2719"/>
      <c r="K72" s="2719"/>
      <c r="L72" s="2720"/>
      <c r="M72" s="2719"/>
      <c r="N72" s="2719"/>
      <c r="O72" s="2720"/>
      <c r="P72" s="2719"/>
      <c r="Q72" s="2719"/>
      <c r="R72" s="2721"/>
    </row>
    <row r="73" spans="2:18" s="907" customFormat="1">
      <c r="B73" s="2719"/>
      <c r="C73" s="2719"/>
      <c r="D73" s="2719"/>
      <c r="E73" s="2719"/>
      <c r="F73" s="2719"/>
      <c r="G73" s="2720"/>
      <c r="H73" s="2719"/>
      <c r="I73" s="2720"/>
      <c r="J73" s="2719"/>
      <c r="K73" s="2719"/>
      <c r="L73" s="2720"/>
      <c r="M73" s="2719"/>
      <c r="N73" s="2719"/>
      <c r="O73" s="2720"/>
      <c r="P73" s="2719"/>
      <c r="Q73" s="2719"/>
      <c r="R73" s="2721"/>
    </row>
    <row r="74" spans="2:18" s="907" customFormat="1">
      <c r="B74" s="2719"/>
      <c r="C74" s="2719"/>
      <c r="D74" s="2719"/>
      <c r="E74" s="2719"/>
      <c r="F74" s="2719"/>
      <c r="G74" s="2720"/>
      <c r="H74" s="2719"/>
      <c r="I74" s="2720"/>
      <c r="J74" s="2719"/>
      <c r="K74" s="2719"/>
      <c r="L74" s="2720"/>
      <c r="M74" s="2719"/>
      <c r="N74" s="2719"/>
      <c r="O74" s="2720"/>
      <c r="P74" s="2719"/>
      <c r="Q74" s="2719"/>
      <c r="R74" s="2721"/>
    </row>
    <row r="75" spans="2:18" s="907" customFormat="1">
      <c r="B75" s="2719"/>
      <c r="C75" s="2719"/>
      <c r="D75" s="2719"/>
      <c r="E75" s="2719"/>
      <c r="F75" s="2719"/>
      <c r="G75" s="2720"/>
      <c r="H75" s="2719"/>
      <c r="I75" s="2720"/>
      <c r="J75" s="2719"/>
      <c r="K75" s="2719"/>
      <c r="L75" s="2720"/>
      <c r="M75" s="2719"/>
      <c r="N75" s="2719"/>
      <c r="O75" s="2720"/>
      <c r="P75" s="2719"/>
      <c r="Q75" s="2719"/>
      <c r="R75" s="2721"/>
    </row>
    <row r="76" spans="2:18" s="907" customFormat="1">
      <c r="B76" s="2719"/>
      <c r="C76" s="2719"/>
      <c r="D76" s="2719"/>
      <c r="E76" s="2719"/>
      <c r="F76" s="2719"/>
      <c r="G76" s="2720"/>
      <c r="H76" s="2719"/>
      <c r="I76" s="2720"/>
      <c r="J76" s="2719"/>
      <c r="K76" s="2719"/>
      <c r="L76" s="2720"/>
      <c r="M76" s="2719"/>
      <c r="N76" s="2719"/>
      <c r="O76" s="2720"/>
      <c r="P76" s="2719"/>
      <c r="Q76" s="2719"/>
      <c r="R76" s="2721"/>
    </row>
    <row r="77" spans="2:18" s="907" customFormat="1">
      <c r="B77" s="2719"/>
      <c r="C77" s="2719"/>
      <c r="D77" s="2719"/>
      <c r="E77" s="2719"/>
      <c r="F77" s="2719"/>
      <c r="G77" s="2720"/>
      <c r="H77" s="2719"/>
      <c r="I77" s="2720"/>
      <c r="J77" s="2719"/>
      <c r="K77" s="2719"/>
      <c r="L77" s="2720"/>
      <c r="M77" s="2719"/>
      <c r="N77" s="2719"/>
      <c r="O77" s="2720"/>
      <c r="P77" s="2719"/>
      <c r="Q77" s="2719"/>
      <c r="R77" s="2721"/>
    </row>
    <row r="78" spans="2:18" s="907" customFormat="1">
      <c r="B78" s="2719"/>
      <c r="C78" s="2719"/>
      <c r="D78" s="2719"/>
      <c r="E78" s="2719"/>
      <c r="F78" s="2719"/>
      <c r="G78" s="2720"/>
      <c r="H78" s="2719"/>
      <c r="I78" s="2720"/>
      <c r="J78" s="2719"/>
      <c r="K78" s="2719"/>
      <c r="L78" s="2720"/>
      <c r="M78" s="2719"/>
      <c r="N78" s="2719"/>
      <c r="O78" s="2720"/>
      <c r="P78" s="2719"/>
      <c r="Q78" s="2719"/>
      <c r="R78" s="2721"/>
    </row>
    <row r="79" spans="2:18" s="907" customFormat="1">
      <c r="B79" s="2719"/>
      <c r="C79" s="2719"/>
      <c r="D79" s="2719"/>
      <c r="E79" s="2719"/>
      <c r="F79" s="2719"/>
      <c r="G79" s="2720"/>
      <c r="H79" s="2719"/>
      <c r="I79" s="2720"/>
      <c r="J79" s="2719"/>
      <c r="K79" s="2719"/>
      <c r="L79" s="2720"/>
      <c r="M79" s="2719"/>
      <c r="N79" s="2719"/>
      <c r="O79" s="2720"/>
      <c r="P79" s="2719"/>
      <c r="Q79" s="2719"/>
      <c r="R79" s="2721"/>
    </row>
    <row r="80" spans="2:18" s="907" customFormat="1">
      <c r="B80" s="2719"/>
      <c r="C80" s="2719"/>
      <c r="D80" s="2719"/>
      <c r="E80" s="2719"/>
      <c r="F80" s="2719"/>
      <c r="G80" s="2720"/>
      <c r="H80" s="2719"/>
      <c r="I80" s="2720"/>
      <c r="J80" s="2719"/>
      <c r="K80" s="2719"/>
      <c r="L80" s="2720"/>
      <c r="M80" s="2719"/>
      <c r="N80" s="2719"/>
      <c r="O80" s="2720"/>
      <c r="P80" s="2719"/>
      <c r="Q80" s="2719"/>
      <c r="R80" s="2721"/>
    </row>
    <row r="81" spans="2:18" s="907" customFormat="1">
      <c r="B81" s="2719"/>
      <c r="C81" s="2719"/>
      <c r="D81" s="2719"/>
      <c r="E81" s="2719"/>
      <c r="F81" s="2719"/>
      <c r="G81" s="2720"/>
      <c r="H81" s="2719"/>
      <c r="I81" s="2720"/>
      <c r="J81" s="2719"/>
      <c r="K81" s="2719"/>
      <c r="L81" s="2720"/>
      <c r="M81" s="2719"/>
      <c r="N81" s="2719"/>
      <c r="O81" s="2720"/>
      <c r="P81" s="2719"/>
      <c r="Q81" s="2719"/>
      <c r="R81" s="2721"/>
    </row>
    <row r="82" spans="2:18" s="907" customFormat="1">
      <c r="B82" s="2719"/>
      <c r="C82" s="2719"/>
      <c r="D82" s="2719"/>
      <c r="E82" s="2719"/>
      <c r="F82" s="2719"/>
      <c r="G82" s="2720"/>
      <c r="H82" s="2719"/>
      <c r="I82" s="2720"/>
      <c r="J82" s="2719"/>
      <c r="K82" s="2719"/>
      <c r="L82" s="2720"/>
      <c r="M82" s="2719"/>
      <c r="N82" s="2719"/>
      <c r="O82" s="2720"/>
      <c r="P82" s="2719"/>
      <c r="Q82" s="2719"/>
      <c r="R82" s="2721"/>
    </row>
    <row r="83" spans="2:18" s="907" customFormat="1">
      <c r="B83" s="2719"/>
      <c r="C83" s="2719"/>
      <c r="D83" s="2719"/>
      <c r="E83" s="2719"/>
      <c r="F83" s="2719"/>
      <c r="G83" s="2720"/>
      <c r="H83" s="2719"/>
      <c r="I83" s="2720"/>
      <c r="J83" s="2719"/>
      <c r="K83" s="2719"/>
      <c r="L83" s="2720"/>
      <c r="M83" s="2719"/>
      <c r="N83" s="2719"/>
      <c r="O83" s="2720"/>
      <c r="P83" s="2719"/>
      <c r="Q83" s="2719"/>
      <c r="R83" s="2721"/>
    </row>
    <row r="84" spans="2:18" s="907" customFormat="1">
      <c r="B84" s="2719"/>
      <c r="C84" s="2719"/>
      <c r="D84" s="2719"/>
      <c r="E84" s="2719"/>
      <c r="F84" s="2719"/>
      <c r="G84" s="2720"/>
      <c r="H84" s="2719"/>
      <c r="I84" s="2720"/>
      <c r="J84" s="2719"/>
      <c r="K84" s="2719"/>
      <c r="L84" s="2720"/>
      <c r="M84" s="2719"/>
      <c r="N84" s="2719"/>
      <c r="O84" s="2720"/>
      <c r="P84" s="2719"/>
      <c r="Q84" s="2719"/>
      <c r="R84" s="2721"/>
    </row>
    <row r="85" spans="2:18" s="907" customFormat="1">
      <c r="B85" s="2719"/>
      <c r="C85" s="2719"/>
      <c r="D85" s="2719"/>
      <c r="E85" s="2719"/>
      <c r="F85" s="2719"/>
      <c r="G85" s="2720"/>
      <c r="H85" s="2719"/>
      <c r="I85" s="2720"/>
      <c r="J85" s="2719"/>
      <c r="K85" s="2719"/>
      <c r="L85" s="2720"/>
      <c r="M85" s="2719"/>
      <c r="N85" s="2719"/>
      <c r="O85" s="2720"/>
      <c r="P85" s="2719"/>
      <c r="Q85" s="2719"/>
      <c r="R85" s="2721"/>
    </row>
    <row r="86" spans="2:18" s="907" customFormat="1">
      <c r="B86" s="2719"/>
      <c r="C86" s="2719"/>
      <c r="D86" s="2719"/>
      <c r="E86" s="2719"/>
      <c r="F86" s="2719"/>
      <c r="G86" s="2720"/>
      <c r="H86" s="2719"/>
      <c r="I86" s="2720"/>
      <c r="J86" s="2719"/>
      <c r="K86" s="2719"/>
      <c r="L86" s="2720"/>
      <c r="M86" s="2719"/>
      <c r="N86" s="2719"/>
      <c r="O86" s="2720"/>
      <c r="P86" s="2719"/>
      <c r="Q86" s="2719"/>
      <c r="R86" s="2721"/>
    </row>
    <row r="87" spans="2:18" s="907" customFormat="1">
      <c r="B87" s="2719"/>
      <c r="C87" s="2719"/>
      <c r="D87" s="2719"/>
      <c r="E87" s="2719"/>
      <c r="F87" s="2719"/>
      <c r="G87" s="2720"/>
      <c r="H87" s="2719"/>
      <c r="I87" s="2720"/>
      <c r="J87" s="2719"/>
      <c r="K87" s="2719"/>
      <c r="L87" s="2720"/>
      <c r="M87" s="2719"/>
      <c r="N87" s="2719"/>
      <c r="O87" s="2720"/>
      <c r="P87" s="2719"/>
      <c r="Q87" s="2719"/>
      <c r="R87" s="2721"/>
    </row>
    <row r="88" spans="2:18" s="907" customFormat="1">
      <c r="B88" s="2719"/>
      <c r="C88" s="2719"/>
      <c r="D88" s="2719"/>
      <c r="E88" s="2719"/>
      <c r="F88" s="2719"/>
      <c r="G88" s="2720"/>
      <c r="H88" s="2719"/>
      <c r="I88" s="2720"/>
      <c r="J88" s="2719"/>
      <c r="K88" s="2719"/>
      <c r="L88" s="2720"/>
      <c r="M88" s="2719"/>
      <c r="N88" s="2719"/>
      <c r="O88" s="2720"/>
      <c r="P88" s="2719"/>
      <c r="Q88" s="2719"/>
      <c r="R88" s="2721"/>
    </row>
    <row r="89" spans="2:18" s="907" customFormat="1">
      <c r="B89" s="2719"/>
      <c r="C89" s="2719"/>
      <c r="D89" s="2719"/>
      <c r="E89" s="2719"/>
      <c r="F89" s="2719"/>
      <c r="G89" s="2720"/>
      <c r="H89" s="2719"/>
      <c r="I89" s="2720"/>
      <c r="J89" s="2719"/>
      <c r="K89" s="2719"/>
      <c r="L89" s="2720"/>
      <c r="M89" s="2719"/>
      <c r="N89" s="2719"/>
      <c r="O89" s="2720"/>
      <c r="P89" s="2719"/>
      <c r="Q89" s="2719"/>
      <c r="R89" s="2721"/>
    </row>
    <row r="90" spans="2:18" s="907" customFormat="1">
      <c r="B90" s="2719"/>
      <c r="C90" s="2719"/>
      <c r="D90" s="2719"/>
      <c r="E90" s="2719"/>
      <c r="F90" s="2719"/>
      <c r="G90" s="2720"/>
      <c r="H90" s="2719"/>
      <c r="I90" s="2720"/>
      <c r="J90" s="2719"/>
      <c r="K90" s="2719"/>
      <c r="L90" s="2720"/>
      <c r="M90" s="2719"/>
      <c r="N90" s="2719"/>
      <c r="O90" s="2720"/>
      <c r="P90" s="2719"/>
      <c r="Q90" s="2719"/>
      <c r="R90" s="2721"/>
    </row>
    <row r="91" spans="2:18" s="907" customFormat="1">
      <c r="B91" s="2719"/>
      <c r="C91" s="2719"/>
      <c r="D91" s="2719"/>
      <c r="E91" s="2719"/>
      <c r="F91" s="2719"/>
      <c r="G91" s="2720"/>
      <c r="H91" s="2719"/>
      <c r="I91" s="2720"/>
      <c r="J91" s="2719"/>
      <c r="K91" s="2719"/>
      <c r="L91" s="2720"/>
      <c r="M91" s="2719"/>
      <c r="N91" s="2719"/>
      <c r="O91" s="2720"/>
      <c r="P91" s="2719"/>
      <c r="Q91" s="2719"/>
      <c r="R91" s="2721"/>
    </row>
    <row r="92" spans="2:18" s="907" customFormat="1">
      <c r="B92" s="2719"/>
      <c r="C92" s="2719"/>
      <c r="D92" s="2719"/>
      <c r="E92" s="2719"/>
      <c r="F92" s="2719"/>
      <c r="G92" s="2720"/>
      <c r="H92" s="2719"/>
      <c r="I92" s="2720"/>
      <c r="J92" s="2719"/>
      <c r="K92" s="2719"/>
      <c r="L92" s="2720"/>
      <c r="M92" s="2719"/>
      <c r="N92" s="2719"/>
      <c r="O92" s="2720"/>
      <c r="P92" s="2719"/>
      <c r="Q92" s="2719"/>
      <c r="R92" s="2721"/>
    </row>
    <row r="93" spans="2:18" s="907" customFormat="1">
      <c r="B93" s="2719"/>
      <c r="C93" s="2719"/>
      <c r="D93" s="2719"/>
      <c r="E93" s="2719"/>
      <c r="F93" s="2719"/>
      <c r="G93" s="2720"/>
      <c r="H93" s="2719"/>
      <c r="I93" s="2720"/>
      <c r="J93" s="2719"/>
      <c r="K93" s="2719"/>
      <c r="L93" s="2720"/>
      <c r="M93" s="2719"/>
      <c r="N93" s="2719"/>
      <c r="O93" s="2720"/>
      <c r="P93" s="2719"/>
      <c r="Q93" s="2719"/>
      <c r="R93" s="2721"/>
    </row>
    <row r="94" spans="2:18" s="907" customFormat="1">
      <c r="B94" s="2719"/>
      <c r="C94" s="2719"/>
      <c r="D94" s="2719"/>
      <c r="E94" s="2719"/>
      <c r="F94" s="2719"/>
      <c r="G94" s="2720"/>
      <c r="H94" s="2719"/>
      <c r="I94" s="2720"/>
      <c r="J94" s="2719"/>
      <c r="K94" s="2719"/>
      <c r="L94" s="2720"/>
      <c r="M94" s="2719"/>
      <c r="N94" s="2719"/>
      <c r="O94" s="2720"/>
      <c r="P94" s="2719"/>
      <c r="Q94" s="2719"/>
      <c r="R94" s="2721"/>
    </row>
    <row r="95" spans="2:18" s="907" customFormat="1">
      <c r="B95" s="2719"/>
      <c r="C95" s="2719"/>
      <c r="D95" s="2719"/>
      <c r="E95" s="2719"/>
      <c r="F95" s="2719"/>
      <c r="G95" s="2720"/>
      <c r="H95" s="2719"/>
      <c r="I95" s="2720"/>
      <c r="J95" s="2719"/>
      <c r="K95" s="2719"/>
      <c r="L95" s="2720"/>
      <c r="M95" s="2719"/>
      <c r="N95" s="2719"/>
      <c r="O95" s="2720"/>
      <c r="P95" s="2719"/>
      <c r="Q95" s="2719"/>
      <c r="R95" s="2721"/>
    </row>
    <row r="96" spans="2:18" s="907" customFormat="1">
      <c r="B96" s="2719"/>
      <c r="C96" s="2719"/>
      <c r="D96" s="2719"/>
      <c r="E96" s="2719"/>
      <c r="F96" s="2719"/>
      <c r="G96" s="2720"/>
      <c r="H96" s="2719"/>
      <c r="I96" s="2720"/>
      <c r="J96" s="2719"/>
      <c r="K96" s="2719"/>
      <c r="L96" s="2720"/>
      <c r="M96" s="2719"/>
      <c r="N96" s="2719"/>
      <c r="O96" s="2720"/>
      <c r="P96" s="2719"/>
      <c r="Q96" s="2719"/>
      <c r="R96" s="2721"/>
    </row>
    <row r="97" spans="2:18" s="907" customFormat="1">
      <c r="B97" s="2719"/>
      <c r="C97" s="2719"/>
      <c r="D97" s="2719"/>
      <c r="E97" s="2719"/>
      <c r="F97" s="2719"/>
      <c r="G97" s="2720"/>
      <c r="H97" s="2719"/>
      <c r="I97" s="2720"/>
      <c r="J97" s="2719"/>
      <c r="K97" s="2719"/>
      <c r="L97" s="2720"/>
      <c r="M97" s="2719"/>
      <c r="N97" s="2719"/>
      <c r="O97" s="2720"/>
      <c r="P97" s="2719"/>
      <c r="Q97" s="2719"/>
      <c r="R97" s="2721"/>
    </row>
    <row r="98" spans="2:18" s="907" customFormat="1">
      <c r="B98" s="2719"/>
      <c r="C98" s="2719"/>
      <c r="D98" s="2719"/>
      <c r="E98" s="2719"/>
      <c r="F98" s="2719"/>
      <c r="G98" s="2720"/>
      <c r="H98" s="2719"/>
      <c r="I98" s="2720"/>
      <c r="J98" s="2719"/>
      <c r="K98" s="2719"/>
      <c r="L98" s="2720"/>
      <c r="M98" s="2719"/>
      <c r="N98" s="2719"/>
      <c r="O98" s="2720"/>
      <c r="P98" s="2719"/>
      <c r="Q98" s="2719"/>
      <c r="R98" s="2721"/>
    </row>
    <row r="99" spans="2:18" s="907" customFormat="1">
      <c r="B99" s="2719"/>
      <c r="C99" s="2719"/>
      <c r="D99" s="2719"/>
      <c r="E99" s="2719"/>
      <c r="F99" s="2719"/>
      <c r="G99" s="2720"/>
      <c r="H99" s="2719"/>
      <c r="I99" s="2720"/>
      <c r="J99" s="2719"/>
      <c r="K99" s="2719"/>
      <c r="L99" s="2720"/>
      <c r="M99" s="2719"/>
      <c r="N99" s="2719"/>
      <c r="O99" s="2720"/>
      <c r="P99" s="2719"/>
      <c r="Q99" s="2719"/>
      <c r="R99" s="2721"/>
    </row>
    <row r="100" spans="2:18" s="907" customFormat="1">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c r="B185" s="2719"/>
      <c r="C185" s="2719"/>
      <c r="D185" s="2719"/>
      <c r="E185" s="2719"/>
      <c r="F185" s="2719"/>
      <c r="G185" s="2720"/>
      <c r="H185" s="2719"/>
      <c r="I185" s="2720"/>
      <c r="J185" s="2719"/>
      <c r="K185" s="2719"/>
      <c r="L185" s="2720"/>
      <c r="M185" s="2719"/>
      <c r="N185" s="2719"/>
      <c r="O185" s="2720"/>
      <c r="P185" s="2719"/>
      <c r="Q185" s="2719"/>
      <c r="R185" s="2721"/>
    </row>
    <row r="186" spans="1:18">
      <c r="A186" s="907"/>
      <c r="B186" s="2719"/>
      <c r="C186" s="2719"/>
      <c r="E186" s="2719"/>
      <c r="F186" s="2719"/>
      <c r="G186" s="2720"/>
    </row>
    <row r="187" spans="1:18">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41" customWidth="1"/>
    <col min="2" max="9" width="15.75" style="2741" customWidth="1"/>
    <col min="10" max="16384" width="9" style="2741"/>
  </cols>
  <sheetData>
    <row r="1" spans="1:11" ht="16.5">
      <c r="A1" s="2740" t="s">
        <v>1331</v>
      </c>
      <c r="B1" s="2740">
        <f>SUM(B14:B23)</f>
        <v>8276.64</v>
      </c>
      <c r="C1" s="2917"/>
      <c r="D1" s="2917"/>
      <c r="E1" s="2917"/>
      <c r="F1" s="2917"/>
      <c r="G1" s="2918"/>
      <c r="H1" s="2919"/>
      <c r="I1" s="2919"/>
      <c r="J1" s="2919"/>
      <c r="K1" s="2919"/>
    </row>
    <row r="2" spans="1:11" ht="16.5">
      <c r="A2" s="2740" t="s">
        <v>1319</v>
      </c>
      <c r="B2" s="2740">
        <f>SUM(C14:C23)</f>
        <v>927.85</v>
      </c>
      <c r="C2" s="2917"/>
      <c r="D2" s="2917"/>
      <c r="E2" s="2917"/>
      <c r="F2" s="2917"/>
      <c r="G2" s="2918"/>
      <c r="H2" s="2919"/>
      <c r="I2" s="2919"/>
      <c r="J2" s="2919"/>
      <c r="K2" s="2919"/>
    </row>
    <row r="3" spans="1:11" ht="16.5">
      <c r="A3" s="2740" t="s">
        <v>1328</v>
      </c>
      <c r="B3" s="2742">
        <f>项目基本情况!D3</f>
        <v>44076</v>
      </c>
      <c r="C3" s="2917"/>
      <c r="D3" s="2917"/>
      <c r="E3" s="2917"/>
      <c r="F3" s="2917"/>
      <c r="G3" s="2918"/>
      <c r="H3" s="2919"/>
      <c r="I3" s="2919"/>
      <c r="J3" s="2919"/>
      <c r="K3" s="2919"/>
    </row>
    <row r="4" spans="1:11" ht="33">
      <c r="A4" s="2740" t="s">
        <v>1327</v>
      </c>
      <c r="B4" s="2740" t="s">
        <v>1326</v>
      </c>
      <c r="C4" s="2740" t="s">
        <v>1325</v>
      </c>
      <c r="D4" s="2740" t="s">
        <v>1324</v>
      </c>
      <c r="E4" s="2917"/>
      <c r="F4" s="2918"/>
      <c r="G4" s="2918"/>
      <c r="H4" s="2919"/>
      <c r="I4" s="2919"/>
      <c r="J4" s="2919"/>
      <c r="K4" s="2919"/>
    </row>
    <row r="5" spans="1:11" ht="16.5">
      <c r="A5" s="2740" t="s">
        <v>1323</v>
      </c>
      <c r="B5" s="2740">
        <f ca="1">SUM(D14:D23)</f>
        <v>23373</v>
      </c>
      <c r="C5" s="2740">
        <f ca="1">ROUND(B5*10000/$B$1,0)</f>
        <v>28240</v>
      </c>
      <c r="D5" s="2740">
        <f ca="1">ROUND(B5*10000/$B$2,0)</f>
        <v>251905</v>
      </c>
      <c r="E5" s="2917"/>
      <c r="F5" s="2918"/>
      <c r="G5" s="2918"/>
      <c r="H5" s="2919"/>
      <c r="I5" s="2919"/>
      <c r="J5" s="2919"/>
      <c r="K5" s="2919"/>
    </row>
    <row r="6" spans="1:11" ht="16.5">
      <c r="A6" s="2740" t="s">
        <v>1322</v>
      </c>
      <c r="B6" s="2740">
        <f ca="1">SUM(G14:G23)</f>
        <v>23373</v>
      </c>
      <c r="C6" s="2740">
        <f ca="1">ROUND(B6*10000/$B$1,0)</f>
        <v>28240</v>
      </c>
      <c r="D6" s="2740">
        <f ca="1">ROUND(B6*10000/$B$2,0)</f>
        <v>251905</v>
      </c>
      <c r="E6" s="2917"/>
      <c r="F6" s="2918"/>
      <c r="G6" s="2918"/>
      <c r="H6" s="2919"/>
      <c r="I6" s="2919"/>
      <c r="J6" s="2919"/>
      <c r="K6" s="2919"/>
    </row>
    <row r="7" spans="1:11" ht="16.5">
      <c r="A7" s="2740" t="s">
        <v>1330</v>
      </c>
      <c r="B7" s="2740">
        <f>SUM(H14:H23)</f>
        <v>0</v>
      </c>
      <c r="C7" s="2740">
        <f>ROUND(B7*10000/$B$1,0)</f>
        <v>0</v>
      </c>
      <c r="D7" s="2740">
        <f>ROUND(B7*10000/$B$2,0)</f>
        <v>0</v>
      </c>
      <c r="E7" s="2917"/>
      <c r="F7" s="2918"/>
      <c r="G7" s="2918"/>
      <c r="H7" s="2919"/>
      <c r="I7" s="2919"/>
      <c r="J7" s="2919"/>
      <c r="K7" s="2919"/>
    </row>
    <row r="8" spans="1:11" ht="16.5">
      <c r="A8" s="2740" t="s">
        <v>1252</v>
      </c>
      <c r="B8" s="2740">
        <f>SUM(I14:I23)</f>
        <v>0</v>
      </c>
      <c r="C8" s="2740">
        <f>ROUND(B8*10000/$B$1,0)</f>
        <v>0</v>
      </c>
      <c r="D8" s="2740">
        <f>ROUND(B8*10000/$B$2,0)</f>
        <v>0</v>
      </c>
      <c r="E8" s="2917"/>
      <c r="F8" s="2918"/>
      <c r="G8" s="2918"/>
      <c r="H8" s="2919"/>
      <c r="I8" s="2919"/>
      <c r="J8" s="2919"/>
      <c r="K8" s="2919"/>
    </row>
    <row r="9" spans="1:11" ht="16.5">
      <c r="A9" s="2740" t="s">
        <v>1321</v>
      </c>
      <c r="B9" s="2748"/>
      <c r="C9" s="2917"/>
      <c r="D9" s="2917"/>
      <c r="E9" s="2917"/>
      <c r="F9" s="2918"/>
      <c r="G9" s="2918"/>
      <c r="H9" s="2919"/>
      <c r="I9" s="2919"/>
      <c r="J9" s="2919"/>
      <c r="K9" s="2919"/>
    </row>
    <row r="10" spans="1:11" ht="16.5">
      <c r="A10" s="2740" t="s">
        <v>1320</v>
      </c>
      <c r="B10" s="2748"/>
      <c r="C10" s="2917"/>
      <c r="D10" s="2917"/>
      <c r="E10" s="2917"/>
      <c r="F10" s="2918"/>
      <c r="G10" s="2918"/>
      <c r="H10" s="2919"/>
      <c r="I10" s="2919"/>
      <c r="J10" s="2919"/>
      <c r="K10" s="2919"/>
    </row>
    <row r="11" spans="1:11" ht="16.5">
      <c r="A11" s="2740" t="s">
        <v>1336</v>
      </c>
      <c r="B11" s="2748"/>
      <c r="C11" s="2917"/>
      <c r="D11" s="2917"/>
      <c r="E11" s="2917"/>
      <c r="F11" s="2918"/>
      <c r="G11" s="2918"/>
      <c r="H11" s="2919"/>
      <c r="I11" s="2919"/>
      <c r="J11" s="2919"/>
      <c r="K11" s="2919"/>
    </row>
    <row r="12" spans="1:11" ht="16.5">
      <c r="A12" s="2917"/>
      <c r="B12" s="2917"/>
      <c r="C12" s="2917"/>
      <c r="D12" s="2917"/>
      <c r="E12" s="2917"/>
      <c r="F12" s="2918"/>
      <c r="G12" s="2918"/>
      <c r="H12" s="2919"/>
      <c r="I12" s="2919"/>
      <c r="J12" s="2919"/>
      <c r="K12" s="2919"/>
    </row>
    <row r="13" spans="1:11" ht="33">
      <c r="A13" s="2743" t="s">
        <v>1335</v>
      </c>
      <c r="B13" s="2744" t="s">
        <v>1332</v>
      </c>
      <c r="C13" s="2744" t="s">
        <v>1334</v>
      </c>
      <c r="D13" s="2744" t="s">
        <v>1333</v>
      </c>
      <c r="E13" s="2740" t="s">
        <v>1325</v>
      </c>
      <c r="F13" s="2740" t="s">
        <v>1324</v>
      </c>
      <c r="G13" s="2744" t="s">
        <v>1318</v>
      </c>
      <c r="H13" s="2744" t="s">
        <v>1329</v>
      </c>
      <c r="I13" s="2744" t="s">
        <v>1317</v>
      </c>
      <c r="J13" s="2918"/>
      <c r="K13" s="2919"/>
    </row>
    <row r="14" spans="1:11" ht="16.5">
      <c r="A14" s="2745" t="s">
        <v>1316</v>
      </c>
      <c r="B14" s="2746">
        <f>结果表!B118</f>
        <v>8276.64</v>
      </c>
      <c r="C14" s="2746">
        <f>结果表!C118</f>
        <v>927.85</v>
      </c>
      <c r="D14" s="2746">
        <f ca="1">结果表!H118</f>
        <v>23373</v>
      </c>
      <c r="E14" s="2746">
        <f ca="1">ROUND(D14*10000/B14,0)</f>
        <v>28240</v>
      </c>
      <c r="F14" s="2746">
        <f ca="1">ROUND(D14*10000/C14,0)</f>
        <v>251905</v>
      </c>
      <c r="G14" s="2746">
        <f ca="1">结果表!D122</f>
        <v>23373</v>
      </c>
      <c r="H14" s="2746" t="str">
        <f>结果表!D124</f>
        <v>——</v>
      </c>
      <c r="I14" s="2746" t="str">
        <f>结果表!D126</f>
        <v>——</v>
      </c>
      <c r="J14" s="2918"/>
      <c r="K14" s="2919"/>
    </row>
    <row r="15" spans="1:11" ht="16.5">
      <c r="A15" s="2745" t="s">
        <v>1315</v>
      </c>
      <c r="B15" s="2747"/>
      <c r="C15" s="2747"/>
      <c r="D15" s="2747"/>
      <c r="E15" s="2746" t="e">
        <f t="shared" ref="E15:E23" si="0">ROUND(D15*10000/B15,0)</f>
        <v>#DIV/0!</v>
      </c>
      <c r="F15" s="2746" t="e">
        <f t="shared" ref="F15:F23" si="1">ROUND(D15*10000/C15,0)</f>
        <v>#DIV/0!</v>
      </c>
      <c r="G15" s="1502"/>
      <c r="H15" s="1502"/>
      <c r="I15" s="2747"/>
      <c r="J15" s="2918"/>
      <c r="K15" s="2919"/>
    </row>
    <row r="16" spans="1:11" ht="16.5">
      <c r="A16" s="2745" t="s">
        <v>1314</v>
      </c>
      <c r="B16" s="2747"/>
      <c r="C16" s="2747"/>
      <c r="D16" s="2747"/>
      <c r="E16" s="2746" t="e">
        <f t="shared" si="0"/>
        <v>#DIV/0!</v>
      </c>
      <c r="F16" s="2746" t="e">
        <f t="shared" si="1"/>
        <v>#DIV/0!</v>
      </c>
      <c r="G16" s="1502"/>
      <c r="H16" s="1502"/>
      <c r="I16" s="2747"/>
      <c r="J16" s="2919"/>
      <c r="K16" s="2919"/>
    </row>
    <row r="17" spans="1:11" ht="16.5">
      <c r="A17" s="2745" t="s">
        <v>1313</v>
      </c>
      <c r="B17" s="2747"/>
      <c r="C17" s="2747"/>
      <c r="D17" s="2747"/>
      <c r="E17" s="2746" t="e">
        <f t="shared" si="0"/>
        <v>#DIV/0!</v>
      </c>
      <c r="F17" s="2746" t="e">
        <f t="shared" si="1"/>
        <v>#DIV/0!</v>
      </c>
      <c r="G17" s="1502"/>
      <c r="H17" s="1502"/>
      <c r="I17" s="2747"/>
      <c r="J17" s="2919"/>
      <c r="K17" s="2919"/>
    </row>
    <row r="18" spans="1:11" ht="16.5">
      <c r="A18" s="2745" t="s">
        <v>1312</v>
      </c>
      <c r="B18" s="2747"/>
      <c r="C18" s="2747"/>
      <c r="D18" s="2747"/>
      <c r="E18" s="2746" t="e">
        <f t="shared" si="0"/>
        <v>#DIV/0!</v>
      </c>
      <c r="F18" s="2746" t="e">
        <f t="shared" si="1"/>
        <v>#DIV/0!</v>
      </c>
      <c r="G18" s="2747"/>
      <c r="H18" s="2747"/>
      <c r="I18" s="2747"/>
      <c r="J18" s="2919"/>
      <c r="K18" s="2919"/>
    </row>
    <row r="19" spans="1:11" ht="16.5">
      <c r="A19" s="2745" t="s">
        <v>1311</v>
      </c>
      <c r="B19" s="2747"/>
      <c r="C19" s="2747"/>
      <c r="D19" s="2747"/>
      <c r="E19" s="2746" t="e">
        <f t="shared" si="0"/>
        <v>#DIV/0!</v>
      </c>
      <c r="F19" s="2746" t="e">
        <f t="shared" si="1"/>
        <v>#DIV/0!</v>
      </c>
      <c r="G19" s="2747"/>
      <c r="H19" s="2747"/>
      <c r="I19" s="2747"/>
      <c r="J19" s="2919"/>
      <c r="K19" s="2919"/>
    </row>
    <row r="20" spans="1:11" ht="16.5">
      <c r="A20" s="2745" t="s">
        <v>1310</v>
      </c>
      <c r="B20" s="2747"/>
      <c r="C20" s="2747"/>
      <c r="D20" s="2747"/>
      <c r="E20" s="2746" t="e">
        <f t="shared" si="0"/>
        <v>#DIV/0!</v>
      </c>
      <c r="F20" s="2746" t="e">
        <f t="shared" si="1"/>
        <v>#DIV/0!</v>
      </c>
      <c r="G20" s="2747"/>
      <c r="H20" s="2747"/>
      <c r="I20" s="2747"/>
      <c r="J20" s="2919"/>
      <c r="K20" s="2919"/>
    </row>
    <row r="21" spans="1:11" ht="16.5">
      <c r="A21" s="2745" t="s">
        <v>1309</v>
      </c>
      <c r="B21" s="2747"/>
      <c r="C21" s="2747"/>
      <c r="D21" s="2747"/>
      <c r="E21" s="2746" t="e">
        <f t="shared" si="0"/>
        <v>#DIV/0!</v>
      </c>
      <c r="F21" s="2746" t="e">
        <f t="shared" si="1"/>
        <v>#DIV/0!</v>
      </c>
      <c r="G21" s="2747"/>
      <c r="H21" s="2747"/>
      <c r="I21" s="2747"/>
      <c r="J21" s="2919"/>
      <c r="K21" s="2919"/>
    </row>
    <row r="22" spans="1:11" ht="16.5">
      <c r="A22" s="2745" t="s">
        <v>1308</v>
      </c>
      <c r="B22" s="2747"/>
      <c r="C22" s="2747"/>
      <c r="D22" s="2747"/>
      <c r="E22" s="2746" t="e">
        <f t="shared" si="0"/>
        <v>#DIV/0!</v>
      </c>
      <c r="F22" s="2746" t="e">
        <f t="shared" si="1"/>
        <v>#DIV/0!</v>
      </c>
      <c r="G22" s="2747"/>
      <c r="H22" s="2747"/>
      <c r="I22" s="2747"/>
      <c r="J22" s="2919"/>
      <c r="K22" s="2919"/>
    </row>
    <row r="23" spans="1:11" ht="16.5">
      <c r="A23" s="2745" t="s">
        <v>1307</v>
      </c>
      <c r="B23" s="2747"/>
      <c r="C23" s="2747"/>
      <c r="D23" s="2747"/>
      <c r="E23" s="2748" t="e">
        <f t="shared" si="0"/>
        <v>#DIV/0!</v>
      </c>
      <c r="F23" s="2748" t="e">
        <f t="shared" si="1"/>
        <v>#DIV/0!</v>
      </c>
      <c r="G23" s="2747"/>
      <c r="H23" s="2747"/>
      <c r="I23" s="2747"/>
      <c r="J23" s="2919"/>
      <c r="K23" s="2919"/>
    </row>
    <row r="24" spans="1:11">
      <c r="A24" s="2919"/>
      <c r="B24" s="2919"/>
      <c r="C24" s="2919"/>
      <c r="D24" s="2919"/>
      <c r="E24" s="2919"/>
      <c r="F24" s="2919"/>
      <c r="G24" s="2919"/>
      <c r="H24" s="2919"/>
      <c r="I24" s="2919"/>
      <c r="J24" s="2919"/>
      <c r="K24" s="2919"/>
    </row>
    <row r="25" spans="1:11">
      <c r="A25" s="2919"/>
      <c r="B25" s="2919"/>
      <c r="C25" s="2919"/>
      <c r="D25" s="2919"/>
      <c r="E25" s="2919"/>
      <c r="F25" s="2919"/>
      <c r="G25" s="2919"/>
      <c r="H25" s="2919"/>
      <c r="I25" s="2919"/>
      <c r="J25" s="2919"/>
      <c r="K25" s="2919"/>
    </row>
    <row r="26" spans="1:11">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4" zoomScale="85" zoomScaleNormal="100" zoomScaleSheetLayoutView="85" zoomScalePageLayoutView="80" workbookViewId="0">
      <selection activeCell="N113" sqref="N113"/>
    </sheetView>
  </sheetViews>
  <sheetFormatPr defaultColWidth="12.625" defaultRowHeight="21.75" customHeight="1"/>
  <cols>
    <col min="1" max="2" width="12.625" style="1941"/>
    <col min="3" max="4" width="12.625" style="1941" customWidth="1"/>
    <col min="5" max="9" width="12.625" style="1941"/>
    <col min="10" max="11" width="12.625" style="734" customWidth="1"/>
    <col min="12" max="12" width="12.625" style="734"/>
    <col min="13" max="13" width="14.125" style="734" bestFit="1" customWidth="1"/>
    <col min="14" max="26" width="12.625" style="734"/>
    <col min="27" max="35" width="12.625" style="1940"/>
    <col min="36" max="16384" width="12.625" style="1941"/>
  </cols>
  <sheetData>
    <row r="1" spans="1:12" ht="21.75" customHeight="1" thickBot="1">
      <c r="A1" s="1824" t="s">
        <v>1949</v>
      </c>
      <c r="B1" s="1935"/>
      <c r="C1" s="1936"/>
      <c r="D1" s="1935"/>
      <c r="E1" s="1935"/>
      <c r="F1" s="1937" t="s">
        <v>1950</v>
      </c>
      <c r="G1" s="1748"/>
      <c r="H1" s="1938" t="str">
        <f>IF(G1="现房","——","估价对象范围")</f>
        <v>估价对象范围</v>
      </c>
      <c r="I1" s="1939"/>
    </row>
    <row r="2" spans="1:12" ht="21.75" customHeight="1" thickBot="1">
      <c r="A2" s="3208" t="str">
        <f>项目基本情况!S2</f>
        <v>北京市房地产</v>
      </c>
      <c r="B2" s="3209"/>
      <c r="C2" s="3209"/>
      <c r="D2" s="3209"/>
      <c r="E2" s="3209"/>
      <c r="F2" s="3209"/>
      <c r="G2" s="3209"/>
      <c r="H2" s="3209"/>
      <c r="I2" s="3210"/>
    </row>
    <row r="3" spans="1:12" ht="12.75">
      <c r="A3" s="3212" t="s">
        <v>1951</v>
      </c>
      <c r="B3" s="3213"/>
      <c r="C3" s="3213"/>
      <c r="D3" s="3213"/>
      <c r="E3" s="3213"/>
      <c r="F3" s="3213"/>
      <c r="G3" s="3213"/>
      <c r="H3" s="3213"/>
      <c r="I3" s="3213"/>
    </row>
    <row r="4" spans="1:12" ht="14.25">
      <c r="A4" s="1942" t="s">
        <v>1952</v>
      </c>
      <c r="B4" s="1943" t="s">
        <v>1953</v>
      </c>
      <c r="C4" s="1944" t="s">
        <v>3096</v>
      </c>
      <c r="D4" s="1944" t="s">
        <v>3083</v>
      </c>
      <c r="E4" s="3217" t="s">
        <v>1954</v>
      </c>
      <c r="F4" s="3218"/>
      <c r="G4" s="3218"/>
      <c r="H4" s="3218"/>
      <c r="I4" s="3219"/>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53" t="s">
        <v>1955</v>
      </c>
      <c r="B5" s="3211">
        <v>25</v>
      </c>
      <c r="C5" s="3214"/>
      <c r="D5" s="3202"/>
      <c r="E5" s="136" t="s">
        <v>1956</v>
      </c>
      <c r="F5" s="1945"/>
      <c r="G5" s="1945"/>
      <c r="H5" s="1945"/>
      <c r="I5" s="1559"/>
    </row>
    <row r="6" spans="1:12" ht="12.75">
      <c r="A6" s="3153"/>
      <c r="B6" s="3211"/>
      <c r="C6" s="3216"/>
      <c r="D6" s="3202"/>
      <c r="E6" s="136" t="s">
        <v>1957</v>
      </c>
      <c r="F6" s="1945"/>
      <c r="G6" s="1945"/>
      <c r="H6" s="1945"/>
      <c r="I6" s="1559"/>
    </row>
    <row r="7" spans="1:12" ht="12.75">
      <c r="A7" s="3153"/>
      <c r="B7" s="3211"/>
      <c r="C7" s="3215"/>
      <c r="D7" s="3202"/>
      <c r="E7" s="136" t="s">
        <v>1958</v>
      </c>
      <c r="F7" s="1945"/>
      <c r="G7" s="1945"/>
      <c r="H7" s="1945"/>
      <c r="I7" s="1559"/>
    </row>
    <row r="8" spans="1:12" ht="12.75">
      <c r="A8" s="3153" t="s">
        <v>1959</v>
      </c>
      <c r="B8" s="3211">
        <v>15</v>
      </c>
      <c r="C8" s="3214"/>
      <c r="D8" s="3202"/>
      <c r="E8" s="136" t="s">
        <v>1960</v>
      </c>
      <c r="F8" s="1945"/>
      <c r="G8" s="1945"/>
      <c r="H8" s="1945"/>
      <c r="I8" s="1559"/>
    </row>
    <row r="9" spans="1:12" ht="12.75">
      <c r="A9" s="3153"/>
      <c r="B9" s="3211"/>
      <c r="C9" s="3215"/>
      <c r="D9" s="3202"/>
      <c r="E9" s="136" t="s">
        <v>1961</v>
      </c>
      <c r="F9" s="1945"/>
      <c r="G9" s="1945"/>
      <c r="H9" s="1945"/>
      <c r="I9" s="1559"/>
    </row>
    <row r="10" spans="1:12" ht="12.75">
      <c r="A10" s="3153" t="s">
        <v>1962</v>
      </c>
      <c r="B10" s="3211">
        <v>15</v>
      </c>
      <c r="C10" s="3214"/>
      <c r="D10" s="3202"/>
      <c r="E10" s="136" t="s">
        <v>1963</v>
      </c>
      <c r="F10" s="1945"/>
      <c r="G10" s="1945"/>
      <c r="H10" s="1945"/>
      <c r="I10" s="1559"/>
    </row>
    <row r="11" spans="1:12" ht="12.75">
      <c r="A11" s="3153"/>
      <c r="B11" s="3211"/>
      <c r="C11" s="3215"/>
      <c r="D11" s="3202"/>
      <c r="E11" s="136" t="s">
        <v>1964</v>
      </c>
      <c r="F11" s="1945"/>
      <c r="G11" s="1945"/>
      <c r="H11" s="1945"/>
      <c r="I11" s="1559"/>
    </row>
    <row r="12" spans="1:12" ht="12.75">
      <c r="A12" s="3153" t="s">
        <v>1965</v>
      </c>
      <c r="B12" s="3211">
        <v>15</v>
      </c>
      <c r="C12" s="3214"/>
      <c r="D12" s="3202"/>
      <c r="E12" s="136" t="s">
        <v>1966</v>
      </c>
      <c r="F12" s="1945"/>
      <c r="G12" s="1945"/>
      <c r="H12" s="1945"/>
      <c r="I12" s="1559"/>
    </row>
    <row r="13" spans="1:12" ht="12.75">
      <c r="A13" s="3153"/>
      <c r="B13" s="3211"/>
      <c r="C13" s="3215"/>
      <c r="D13" s="3202"/>
      <c r="E13" s="136" t="s">
        <v>1967</v>
      </c>
      <c r="F13" s="1945"/>
      <c r="G13" s="1945"/>
      <c r="H13" s="1945"/>
      <c r="I13" s="1559"/>
    </row>
    <row r="14" spans="1:12" ht="12.75">
      <c r="A14" s="3153" t="s">
        <v>1968</v>
      </c>
      <c r="B14" s="3211">
        <v>30</v>
      </c>
      <c r="C14" s="3214">
        <v>4</v>
      </c>
      <c r="D14" s="3202">
        <v>6</v>
      </c>
      <c r="E14" s="136" t="s">
        <v>1969</v>
      </c>
      <c r="F14" s="1945"/>
      <c r="G14" s="1945"/>
      <c r="H14" s="1945"/>
      <c r="I14" s="1559"/>
    </row>
    <row r="15" spans="1:12" ht="12.75">
      <c r="A15" s="3153"/>
      <c r="B15" s="3211"/>
      <c r="C15" s="3216"/>
      <c r="D15" s="3202"/>
      <c r="E15" s="136" t="s">
        <v>1970</v>
      </c>
      <c r="F15" s="1945"/>
      <c r="G15" s="1945"/>
      <c r="H15" s="1945"/>
      <c r="I15" s="1559"/>
    </row>
    <row r="16" spans="1:12" ht="12.75">
      <c r="A16" s="3153"/>
      <c r="B16" s="3211"/>
      <c r="C16" s="3215"/>
      <c r="D16" s="3202"/>
      <c r="E16" s="136" t="s">
        <v>1971</v>
      </c>
      <c r="F16" s="1945"/>
      <c r="G16" s="1945"/>
      <c r="H16" s="1945"/>
      <c r="I16" s="1559"/>
    </row>
    <row r="17" spans="1:36" ht="15">
      <c r="A17" s="1946" t="s">
        <v>1972</v>
      </c>
      <c r="B17" s="60"/>
      <c r="C17" s="137">
        <f>SUM(C5:C16)</f>
        <v>4</v>
      </c>
      <c r="D17" s="137">
        <f>SUM(D5:D16)</f>
        <v>6</v>
      </c>
      <c r="E17" s="134"/>
      <c r="F17" s="134"/>
      <c r="G17" s="134"/>
      <c r="H17" s="134"/>
      <c r="I17" s="134"/>
      <c r="K17" s="308"/>
      <c r="L17" s="308" t="s">
        <v>1973</v>
      </c>
      <c r="M17" s="308" t="s">
        <v>1974</v>
      </c>
    </row>
    <row r="18" spans="1:36" ht="31.9" customHeight="1" thickBot="1">
      <c r="A18" s="1947" t="s">
        <v>1975</v>
      </c>
      <c r="B18" s="1948"/>
      <c r="C18" s="138">
        <f>ROUND(C17/SUM(C17:D17),2)</f>
        <v>0.4</v>
      </c>
      <c r="D18" s="138">
        <f>1-C18</f>
        <v>0.6</v>
      </c>
      <c r="E18" s="3233" t="s">
        <v>2875</v>
      </c>
      <c r="F18" s="3234"/>
      <c r="G18" s="3234"/>
      <c r="H18" s="3234"/>
      <c r="I18" s="3234"/>
      <c r="K18" s="308" t="s">
        <v>1976</v>
      </c>
      <c r="L18" s="308">
        <f>IF(C1="",'数据-汇总表'!E3,SUMIF(项目类型,C1,'数据-汇总表'!E17:E26)+SUMIF(项目类型,C1,'数据-汇总表'!I17:I26))</f>
        <v>8276.64</v>
      </c>
      <c r="M18" s="308">
        <f>IF(C1="",'数据-汇总表'!E3,SUMIF(项目类型,C1,'数据-汇总表'!E17:E26))</f>
        <v>8276.64</v>
      </c>
    </row>
    <row r="19" spans="1:36" ht="15">
      <c r="A19" s="1949" t="s">
        <v>1977</v>
      </c>
      <c r="B19" s="1950" t="s">
        <v>1978</v>
      </c>
      <c r="C19" s="139">
        <f ca="1">SUMIF(INDIRECT("'"&amp;C4&amp;"'"&amp;"!A:A"),结果表!B19,INDIRECT("'"&amp;C4&amp;"'"&amp;"!B:B"))</f>
        <v>30599</v>
      </c>
      <c r="D19" s="140">
        <f ca="1">SUMIF(INDIRECT("'"&amp;D4&amp;"'"&amp;"!A:A"),结果表!B19,INDIRECT("'"&amp;D4&amp;"'"&amp;"!B:B"))</f>
        <v>18556</v>
      </c>
      <c r="E19" s="1949" t="s">
        <v>1979</v>
      </c>
      <c r="F19" s="1950" t="s">
        <v>1978</v>
      </c>
      <c r="G19" s="141">
        <f ca="1">ROUND(C19*$C$18+D19*$D$18,0)</f>
        <v>23373</v>
      </c>
      <c r="H19" s="1951" t="s">
        <v>1980</v>
      </c>
      <c r="I19" s="134"/>
      <c r="K19" s="308" t="s">
        <v>1981</v>
      </c>
      <c r="L19" s="308">
        <f>IF(C1="",'数据-汇总表'!D3,SUMIF(项目类型,C1,'数据-汇总表'!D17:D26)+SUMIF(项目类型,C1,'数据-汇总表'!H17:H27))</f>
        <v>927.85</v>
      </c>
      <c r="M19" s="308">
        <f>IF(C1="",'数据-汇总表'!D3,SUMIF(项目类型,C1,'数据-汇总表'!D17:D26))</f>
        <v>927.85</v>
      </c>
    </row>
    <row r="20" spans="1:36" ht="15">
      <c r="A20" s="1952"/>
      <c r="B20" s="1157" t="s">
        <v>1982</v>
      </c>
      <c r="C20" s="142">
        <f ca="1">SUMIF(INDIRECT("'"&amp;C4&amp;"'"&amp;"!A:A"),结果表!B20,INDIRECT("'"&amp;C4&amp;"'"&amp;"!B:B"))</f>
        <v>36970</v>
      </c>
      <c r="D20" s="143">
        <f ca="1">SUMIF(INDIRECT("'"&amp;D4&amp;"'"&amp;"!A:A"),结果表!B20,INDIRECT("'"&amp;D4&amp;"'"&amp;"!B:B"))</f>
        <v>22420</v>
      </c>
      <c r="E20" s="1952"/>
      <c r="F20" s="1157" t="s">
        <v>1982</v>
      </c>
      <c r="G20" s="144">
        <f ca="1">ROUND(C20*$C$18+D20*$D$18,0)</f>
        <v>28240</v>
      </c>
      <c r="H20" s="917" t="s">
        <v>1983</v>
      </c>
      <c r="I20" s="134"/>
    </row>
    <row r="21" spans="1:36" ht="15" customHeight="1" thickBot="1">
      <c r="A21" s="937"/>
      <c r="B21" s="1953" t="s">
        <v>1984</v>
      </c>
      <c r="C21" s="728">
        <f ca="1">ROUND(C19*10000/L19,0)</f>
        <v>329784</v>
      </c>
      <c r="D21" s="729">
        <f ca="1">ROUND(D19*10000/L19,0)</f>
        <v>199989</v>
      </c>
      <c r="E21" s="937"/>
      <c r="F21" s="1953" t="s">
        <v>1984</v>
      </c>
      <c r="G21" s="145">
        <f ca="1">ROUND(G19*10000/L19,0)</f>
        <v>251905</v>
      </c>
      <c r="H21" s="1954" t="s">
        <v>1983</v>
      </c>
      <c r="I21" s="134"/>
    </row>
    <row r="22" spans="1:36" ht="15" thickBot="1">
      <c r="A22" s="1876" t="s">
        <v>1985</v>
      </c>
      <c r="B22" s="1955"/>
      <c r="C22" s="1956"/>
      <c r="D22" s="730">
        <f ca="1">IF(C19&lt;D19,D19/C19-1,C19/D19-1)</f>
        <v>0.64900840698426387</v>
      </c>
      <c r="E22" s="134"/>
      <c r="F22" s="134"/>
      <c r="G22" s="134"/>
      <c r="H22" s="134"/>
      <c r="I22" s="134"/>
    </row>
    <row r="23" spans="1:36" ht="13.5" thickBot="1">
      <c r="A23" s="1935"/>
      <c r="B23" s="1935"/>
      <c r="C23" s="1935"/>
      <c r="D23" s="1935"/>
      <c r="E23" s="134"/>
      <c r="F23" s="134"/>
      <c r="G23" s="134"/>
      <c r="H23" s="134"/>
      <c r="I23" s="134"/>
    </row>
    <row r="24" spans="1:36" ht="14.25">
      <c r="A24" s="3226" t="s">
        <v>1986</v>
      </c>
      <c r="B24" s="1950" t="s">
        <v>1978</v>
      </c>
      <c r="C24" s="141">
        <f>IF(B30=0,0,D30)</f>
        <v>0</v>
      </c>
      <c r="D24" s="1957"/>
      <c r="E24" s="134"/>
      <c r="F24" s="134"/>
      <c r="G24" s="134"/>
      <c r="H24" s="134"/>
      <c r="I24" s="134"/>
    </row>
    <row r="25" spans="1:36" ht="14.25">
      <c r="A25" s="3227"/>
      <c r="B25" s="1157" t="s">
        <v>1982</v>
      </c>
      <c r="C25" s="146">
        <f>IF(B30=0,0,C30)</f>
        <v>0</v>
      </c>
      <c r="D25" s="1958"/>
      <c r="E25" s="134"/>
      <c r="F25" s="134"/>
      <c r="G25" s="134"/>
      <c r="H25" s="134"/>
      <c r="I25" s="134"/>
    </row>
    <row r="26" spans="1:36" ht="13.5" customHeight="1">
      <c r="A26" s="1959" t="s">
        <v>1987</v>
      </c>
      <c r="B26" s="147" t="s">
        <v>1988</v>
      </c>
      <c r="C26" s="147" t="s">
        <v>1989</v>
      </c>
      <c r="D26" s="148" t="s">
        <v>1990</v>
      </c>
      <c r="E26" s="134"/>
      <c r="F26" s="134"/>
      <c r="G26" s="134"/>
      <c r="H26" s="134"/>
      <c r="I26" s="134"/>
    </row>
    <row r="27" spans="1:36" ht="14.25">
      <c r="A27" s="1959"/>
      <c r="B27" s="147">
        <v>0</v>
      </c>
      <c r="C27" s="147">
        <v>0</v>
      </c>
      <c r="D27" s="148">
        <f>ROUND(C27*B27/10000,0)</f>
        <v>0</v>
      </c>
      <c r="E27" s="134"/>
      <c r="F27" s="134"/>
      <c r="G27" s="134"/>
      <c r="H27" s="134"/>
      <c r="I27" s="134"/>
    </row>
    <row r="28" spans="1:36" ht="14.25">
      <c r="A28" s="1959"/>
      <c r="B28" s="147"/>
      <c r="C28" s="147"/>
      <c r="D28" s="148"/>
      <c r="E28" s="134"/>
      <c r="F28" s="134"/>
      <c r="G28" s="134"/>
      <c r="H28" s="134"/>
      <c r="I28" s="134"/>
    </row>
    <row r="29" spans="1:36" ht="14.25">
      <c r="A29" s="1959"/>
      <c r="B29" s="147"/>
      <c r="C29" s="147"/>
      <c r="D29" s="148"/>
      <c r="E29" s="134"/>
      <c r="F29" s="134"/>
      <c r="G29" s="134"/>
      <c r="H29" s="134"/>
      <c r="I29" s="134"/>
    </row>
    <row r="30" spans="1:36" ht="15" thickBot="1">
      <c r="A30" s="147" t="s">
        <v>1991</v>
      </c>
      <c r="B30" s="147"/>
      <c r="C30" s="147"/>
      <c r="D30" s="147"/>
      <c r="E30" s="2523" t="s">
        <v>2876</v>
      </c>
      <c r="F30" s="134"/>
      <c r="G30" s="134"/>
      <c r="H30" s="134"/>
      <c r="I30" s="134"/>
    </row>
    <row r="31" spans="1:36" s="2529" customFormat="1" ht="26.45" customHeight="1" thickTop="1" thickBot="1">
      <c r="A31" s="2524"/>
      <c r="B31" s="2525"/>
      <c r="C31" s="2525"/>
      <c r="D31" s="2525"/>
      <c r="E31" s="2525"/>
      <c r="F31" s="2525"/>
      <c r="G31" s="2525"/>
      <c r="H31" s="2525"/>
      <c r="I31" s="2526" t="s">
        <v>2877</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6.5" thickTop="1" thickBot="1">
      <c r="A32" s="1961" t="s">
        <v>1992</v>
      </c>
      <c r="B32" s="1962"/>
      <c r="C32" s="149">
        <f ca="1">IF(D32="总价",G19-C24,G20-C25)</f>
        <v>23373</v>
      </c>
      <c r="D32" s="1963" t="s">
        <v>3098</v>
      </c>
      <c r="E32" s="134"/>
      <c r="F32" s="134"/>
      <c r="G32" s="134"/>
      <c r="H32" s="134"/>
      <c r="I32" s="134"/>
    </row>
    <row r="33" spans="1:15" ht="15">
      <c r="A33" s="894" t="s">
        <v>1993</v>
      </c>
      <c r="B33" s="1964"/>
      <c r="C33" s="1965" t="s">
        <v>3097</v>
      </c>
      <c r="D33" s="1966" t="s">
        <v>3096</v>
      </c>
      <c r="E33" s="1967" t="s">
        <v>1994</v>
      </c>
      <c r="F33" s="1968" t="str">
        <f>IF(D32="楼面单价","取值（单价）","取值（总价）")</f>
        <v>取值（总价）</v>
      </c>
      <c r="G33" s="134"/>
      <c r="H33" s="134"/>
      <c r="I33" s="134"/>
    </row>
    <row r="34" spans="1:15" ht="15">
      <c r="A34" s="1969"/>
      <c r="B34" s="1970" t="s">
        <v>1995</v>
      </c>
      <c r="C34" s="153">
        <f ca="1">IF(C33="自定义",F34,C32-C35)</f>
        <v>21269</v>
      </c>
      <c r="D34" s="970">
        <f ca="1">IF(C33="自定义",ROUND(C34/C32,3),IF(C33="收益比率",SUMIF(INDIRECT("'"&amp;D33&amp;"'"&amp;"!b:b"),"土地收益比率",INDIRECT("'"&amp;D33&amp;"'"&amp;"!c:c")),SUMIF(INDIRECT("'"&amp;D33&amp;"'"&amp;"!b:b"),"土地成本比率",INDIRECT("'"&amp;D33&amp;"'"&amp;"!c:c"))))</f>
        <v>0.91</v>
      </c>
      <c r="E34" s="1971" t="s">
        <v>1996</v>
      </c>
      <c r="F34" s="1500"/>
      <c r="G34" s="134"/>
      <c r="H34" s="134"/>
      <c r="I34" s="134"/>
    </row>
    <row r="35" spans="1:15" ht="15.75" thickBot="1">
      <c r="A35" s="1972"/>
      <c r="B35" s="1973" t="s">
        <v>1997</v>
      </c>
      <c r="C35" s="1332">
        <f ca="1">IF(C33="自定义",F35,ROUND(C32*D35,0))</f>
        <v>2104</v>
      </c>
      <c r="D35" s="1333">
        <f ca="1">IF(C33="自定义",ROUND(C35/C32,3),IF(C33="收益比率",SUMIF(INDIRECT("'"&amp;D33&amp;"'"&amp;"!b:b"),"建筑物收益比率",INDIRECT("'"&amp;D33&amp;"'"&amp;"!c:c")),SUMIF(INDIRECT("'"&amp;D33&amp;"'"&amp;"!b:b"),"建筑物成本比率",INDIRECT("'"&amp;D33&amp;"'"&amp;"!c:c"))))</f>
        <v>0.09</v>
      </c>
      <c r="E35" s="1974" t="s">
        <v>1998</v>
      </c>
      <c r="F35" s="159"/>
      <c r="G35" s="134"/>
      <c r="H35" s="134"/>
      <c r="I35" s="134"/>
    </row>
    <row r="36" spans="1:15" ht="15.75" thickBot="1">
      <c r="A36" s="3203" t="s">
        <v>1999</v>
      </c>
      <c r="B36" s="1975" t="s">
        <v>2000</v>
      </c>
      <c r="C36" s="150"/>
      <c r="D36" s="1976"/>
      <c r="E36" s="1977"/>
      <c r="F36" s="1978"/>
      <c r="G36" s="134"/>
      <c r="H36" s="134"/>
      <c r="I36" s="134"/>
    </row>
    <row r="37" spans="1:15" ht="15.75" thickBot="1">
      <c r="A37" s="3204"/>
      <c r="B37" s="1862" t="s">
        <v>2001</v>
      </c>
      <c r="C37" s="152"/>
      <c r="D37" s="1301"/>
      <c r="E37" s="1301"/>
      <c r="F37" s="1978"/>
      <c r="G37" s="134"/>
      <c r="H37" s="134"/>
      <c r="I37" s="134"/>
    </row>
    <row r="38" spans="1:15" ht="15.75" thickBot="1">
      <c r="A38" s="3205"/>
      <c r="B38" s="1979" t="s">
        <v>2002</v>
      </c>
      <c r="C38" s="683"/>
      <c r="D38" s="1980" t="s">
        <v>2003</v>
      </c>
      <c r="E38" s="1301"/>
      <c r="F38" s="1978"/>
      <c r="G38" s="134"/>
      <c r="H38" s="134"/>
      <c r="I38" s="134"/>
    </row>
    <row r="39" spans="1:15" ht="15">
      <c r="A39" s="1952" t="s">
        <v>2004</v>
      </c>
      <c r="B39" s="1981" t="s">
        <v>2005</v>
      </c>
      <c r="C39" s="1982" t="s">
        <v>2006</v>
      </c>
      <c r="D39" s="1982" t="s">
        <v>2007</v>
      </c>
      <c r="E39" s="1983" t="s">
        <v>2008</v>
      </c>
      <c r="F39" s="1978"/>
      <c r="G39" s="134"/>
      <c r="H39" s="134"/>
      <c r="I39" s="134"/>
    </row>
    <row r="40" spans="1:15" ht="14.25">
      <c r="A40" s="1984" t="s">
        <v>2009</v>
      </c>
      <c r="B40" s="154"/>
      <c r="C40" s="155"/>
      <c r="D40" s="155"/>
      <c r="E40" s="156"/>
      <c r="F40" s="1978"/>
      <c r="G40" s="134"/>
      <c r="H40" s="134"/>
      <c r="I40" s="134"/>
    </row>
    <row r="41" spans="1:15" ht="14.25">
      <c r="A41" s="1984" t="s">
        <v>2010</v>
      </c>
      <c r="B41" s="154"/>
      <c r="C41" s="155"/>
      <c r="D41" s="155"/>
      <c r="E41" s="156"/>
      <c r="F41" s="1978"/>
      <c r="G41" s="134"/>
      <c r="H41" s="134"/>
      <c r="I41" s="134"/>
    </row>
    <row r="42" spans="1:15" ht="15" thickBot="1">
      <c r="A42" s="1985"/>
      <c r="B42" s="157"/>
      <c r="C42" s="158"/>
      <c r="D42" s="158"/>
      <c r="E42" s="159"/>
      <c r="F42" s="1978"/>
      <c r="G42" s="134"/>
      <c r="H42" s="134"/>
      <c r="I42" s="134"/>
    </row>
    <row r="43" spans="1:15" ht="12.75">
      <c r="A43" s="1764"/>
      <c r="B43" s="1764"/>
      <c r="C43" s="1764"/>
      <c r="D43" s="1764"/>
      <c r="E43" s="1764"/>
      <c r="F43" s="1986"/>
      <c r="G43" s="1986"/>
      <c r="H43" s="1986"/>
      <c r="I43" s="1987"/>
    </row>
    <row r="44" spans="1:15" ht="18.75">
      <c r="A44" s="1988" t="s">
        <v>2011</v>
      </c>
      <c r="B44" s="1989"/>
      <c r="C44" s="1989"/>
      <c r="D44" s="1990"/>
      <c r="E44" s="1990"/>
      <c r="F44" s="1991"/>
      <c r="G44" s="1991"/>
      <c r="H44" s="1991"/>
      <c r="I44" s="1991"/>
      <c r="J44" s="1992" t="s">
        <v>2012</v>
      </c>
      <c r="K44" s="1993"/>
      <c r="L44" s="1993"/>
      <c r="M44" s="1993"/>
      <c r="N44" s="1993"/>
      <c r="O44" s="1993"/>
    </row>
    <row r="45" spans="1:15" ht="14.25" customHeight="1" thickBot="1">
      <c r="A45" s="3223" t="s">
        <v>2013</v>
      </c>
      <c r="B45" s="3224"/>
      <c r="C45" s="3225"/>
      <c r="D45" s="160">
        <f ca="1">ROUND(H101*F45,0)</f>
        <v>23373</v>
      </c>
      <c r="E45" s="161" t="s">
        <v>2014</v>
      </c>
      <c r="F45" s="162">
        <v>1</v>
      </c>
      <c r="G45" s="163" t="s">
        <v>2015</v>
      </c>
      <c r="H45" s="134"/>
      <c r="I45" s="134"/>
      <c r="J45" s="3140" t="s">
        <v>2016</v>
      </c>
      <c r="K45" s="3140"/>
      <c r="L45" s="3140"/>
      <c r="M45" s="3140"/>
      <c r="N45" s="3140"/>
      <c r="O45" s="3140"/>
    </row>
    <row r="46" spans="1:15" ht="14.25" customHeight="1">
      <c r="A46" s="3220" t="s">
        <v>2017</v>
      </c>
      <c r="B46" s="3221"/>
      <c r="C46" s="3221"/>
      <c r="D46" s="3221"/>
      <c r="E46" s="3221"/>
      <c r="F46" s="3221"/>
      <c r="G46" s="3222"/>
      <c r="H46" s="1994"/>
      <c r="I46" s="164"/>
      <c r="J46" s="2751">
        <v>1</v>
      </c>
      <c r="K46" s="3141" t="s">
        <v>2018</v>
      </c>
      <c r="L46" s="3141"/>
      <c r="M46" s="3142"/>
      <c r="N46" s="3142"/>
      <c r="O46" s="3142"/>
    </row>
    <row r="47" spans="1:15" ht="12" customHeight="1">
      <c r="A47" s="165" t="s">
        <v>2019</v>
      </c>
      <c r="B47" s="166"/>
      <c r="C47" s="167"/>
      <c r="D47" s="1247" t="s">
        <v>2020</v>
      </c>
      <c r="E47" s="308" t="s">
        <v>2021</v>
      </c>
      <c r="F47" s="168" t="s">
        <v>2022</v>
      </c>
      <c r="G47" s="2774" t="s">
        <v>2023</v>
      </c>
      <c r="H47" s="2775"/>
      <c r="I47" s="164"/>
      <c r="J47" s="2751">
        <v>2</v>
      </c>
      <c r="K47" s="3141" t="s">
        <v>2024</v>
      </c>
      <c r="L47" s="3141"/>
      <c r="M47" s="3143">
        <f>'数据-取费表'!B2</f>
        <v>44076</v>
      </c>
      <c r="N47" s="3143"/>
      <c r="O47" s="3143"/>
    </row>
    <row r="48" spans="1:15" ht="25.5">
      <c r="A48" s="3206" t="s">
        <v>2025</v>
      </c>
      <c r="B48" s="3207"/>
      <c r="C48" s="3207"/>
      <c r="D48" s="2549" t="b">
        <f>IF(H48="情况1",0,IF(H48="情况2",D52,IF(H48="情况3",D53,IF(H48="情况4",D54))))</f>
        <v>0</v>
      </c>
      <c r="E48" s="2559" t="str">
        <f>IF(H48="情况4","(销售额-原购置价)×税（费）率","销售额×税（费）率")</f>
        <v>销售额×税（费）率</v>
      </c>
      <c r="F48" s="2776">
        <f>IF(H48="情况1","免征",'数据-取费表'!B41)</f>
        <v>5.6000000000000001E-2</v>
      </c>
      <c r="G48" s="2777" t="s">
        <v>2026</v>
      </c>
      <c r="H48" s="2778"/>
      <c r="I48" s="1994"/>
      <c r="J48" s="2751">
        <v>3</v>
      </c>
      <c r="K48" s="3141" t="s">
        <v>2027</v>
      </c>
      <c r="L48" s="3141"/>
      <c r="M48" s="3144">
        <f ca="1">H101</f>
        <v>23373</v>
      </c>
      <c r="N48" s="3144"/>
      <c r="O48" s="3144"/>
    </row>
    <row r="49" spans="1:35" ht="25.5" customHeight="1">
      <c r="A49" s="2558" t="s">
        <v>2028</v>
      </c>
      <c r="B49" s="3189" t="s">
        <v>2029</v>
      </c>
      <c r="C49" s="3189"/>
      <c r="D49" s="1777">
        <v>0</v>
      </c>
      <c r="E49" s="330" t="s">
        <v>2030</v>
      </c>
      <c r="F49" s="2652" t="s">
        <v>34</v>
      </c>
      <c r="G49" s="3172"/>
      <c r="H49" s="2530" t="s">
        <v>2878</v>
      </c>
      <c r="I49" s="2531"/>
      <c r="J49" s="2751">
        <v>4</v>
      </c>
      <c r="K49" s="3141" t="str">
        <f>IF(项目基本情况!E8="房地产抵押价值","房地产抵押价值","抵押担保权已注销时的房地产抵押价值")</f>
        <v>房地产抵押价值</v>
      </c>
      <c r="L49" s="3141"/>
      <c r="M49" s="3144">
        <f ca="1">IF(项目基本情况!E8="房地产抵押价值",H107,H109)</f>
        <v>23373</v>
      </c>
      <c r="N49" s="3144"/>
      <c r="O49" s="3144"/>
    </row>
    <row r="50" spans="1:35" ht="25.5" customHeight="1">
      <c r="A50" s="2779"/>
      <c r="B50" s="3189" t="s">
        <v>2031</v>
      </c>
      <c r="C50" s="3189"/>
      <c r="D50" s="2780"/>
      <c r="E50" s="338"/>
      <c r="F50" s="2652"/>
      <c r="G50" s="3173"/>
      <c r="H50" s="2532" t="s">
        <v>2879</v>
      </c>
      <c r="I50" s="2531"/>
      <c r="J50" s="3140" t="s">
        <v>2032</v>
      </c>
      <c r="K50" s="3140"/>
      <c r="L50" s="3140"/>
      <c r="M50" s="3140"/>
      <c r="N50" s="3140"/>
      <c r="O50" s="3140"/>
    </row>
    <row r="51" spans="1:35" ht="20.45" customHeight="1">
      <c r="A51" s="2781"/>
      <c r="B51" s="3189" t="s">
        <v>2033</v>
      </c>
      <c r="C51" s="3189"/>
      <c r="D51" s="1247"/>
      <c r="E51" s="333"/>
      <c r="F51" s="2652"/>
      <c r="G51" s="3174"/>
      <c r="H51" s="2532" t="s">
        <v>2880</v>
      </c>
      <c r="I51" s="2531"/>
      <c r="J51" s="2752" t="s">
        <v>2034</v>
      </c>
      <c r="K51" s="3141" t="s">
        <v>2035</v>
      </c>
      <c r="L51" s="3141"/>
      <c r="M51" s="2752" t="s">
        <v>2036</v>
      </c>
      <c r="N51" s="2752" t="s">
        <v>2037</v>
      </c>
      <c r="O51" s="2752" t="s">
        <v>2038</v>
      </c>
    </row>
    <row r="52" spans="1:35" ht="24" customHeight="1">
      <c r="A52" s="2560" t="s">
        <v>2039</v>
      </c>
      <c r="B52" s="3189" t="s">
        <v>2040</v>
      </c>
      <c r="C52" s="3189"/>
      <c r="D52" s="1247">
        <f ca="1">ROUND(D45*'数据-取费表'!B41/(1+'数据-取费表'!C42),0)</f>
        <v>1247</v>
      </c>
      <c r="E52" s="2559" t="s">
        <v>2041</v>
      </c>
      <c r="F52" s="2782">
        <f>'数据-取费表'!B41</f>
        <v>5.6000000000000001E-2</v>
      </c>
      <c r="G52" s="2783"/>
      <c r="H52" s="2772"/>
      <c r="I52" s="1995"/>
      <c r="J52" s="2751">
        <v>1</v>
      </c>
      <c r="K52" s="3166" t="s">
        <v>2042</v>
      </c>
      <c r="L52" s="3166"/>
      <c r="M52" s="2753" t="b">
        <f>D48</f>
        <v>0</v>
      </c>
      <c r="N52" s="2751" t="str">
        <f>E48</f>
        <v>销售额×税（费）率</v>
      </c>
      <c r="O52" s="2754">
        <f>F48</f>
        <v>5.6000000000000001E-2</v>
      </c>
    </row>
    <row r="53" spans="1:35" ht="12" customHeight="1">
      <c r="A53" s="2560" t="s">
        <v>2043</v>
      </c>
      <c r="B53" s="3190" t="s">
        <v>3039</v>
      </c>
      <c r="C53" s="3191"/>
      <c r="D53" s="1247">
        <f ca="1">ROUND(D45*'数据-取费表'!B41/(1+'数据-取费表'!C42),0)</f>
        <v>1247</v>
      </c>
      <c r="E53" s="2559" t="s">
        <v>2041</v>
      </c>
      <c r="F53" s="2782">
        <f>'数据-取费表'!B41</f>
        <v>5.6000000000000001E-2</v>
      </c>
      <c r="G53" s="2783"/>
      <c r="H53" s="2772"/>
      <c r="I53" s="1995"/>
      <c r="J53" s="2751">
        <v>2</v>
      </c>
      <c r="K53" s="3166" t="s">
        <v>2044</v>
      </c>
      <c r="L53" s="3166"/>
      <c r="M53" s="2753">
        <f t="shared" ref="M53:O54" ca="1" si="0">D55</f>
        <v>12</v>
      </c>
      <c r="N53" s="2751" t="str">
        <f t="shared" si="0"/>
        <v>销售额×税（费）率</v>
      </c>
      <c r="O53" s="2754" t="str">
        <f t="shared" si="0"/>
        <v>免征</v>
      </c>
    </row>
    <row r="54" spans="1:35" ht="12" customHeight="1">
      <c r="A54" s="2560" t="s">
        <v>2045</v>
      </c>
      <c r="B54" s="3190" t="s">
        <v>3040</v>
      </c>
      <c r="C54" s="3191"/>
      <c r="D54" s="1247">
        <f ca="1">C68</f>
        <v>1247</v>
      </c>
      <c r="E54" s="333" t="s">
        <v>2046</v>
      </c>
      <c r="F54" s="2782">
        <f>'数据-取费表'!B41</f>
        <v>5.6000000000000001E-2</v>
      </c>
      <c r="G54" s="2783"/>
      <c r="H54" s="2784"/>
      <c r="I54" s="1995"/>
      <c r="J54" s="2751">
        <v>3</v>
      </c>
      <c r="K54" s="3166" t="s">
        <v>2047</v>
      </c>
      <c r="L54" s="3166"/>
      <c r="M54" s="2753">
        <f t="shared" ca="1" si="0"/>
        <v>13229</v>
      </c>
      <c r="N54" s="2751" t="str">
        <f t="shared" si="0"/>
        <v>增值额×税（费）率</v>
      </c>
      <c r="O54" s="2755" t="str">
        <f t="shared" si="0"/>
        <v>免征</v>
      </c>
    </row>
    <row r="55" spans="1:35" ht="24" customHeight="1">
      <c r="A55" s="3229" t="s">
        <v>2048</v>
      </c>
      <c r="B55" s="3207"/>
      <c r="C55" s="3207"/>
      <c r="D55" s="2549">
        <f ca="1">IF(H55="个人住宅",0,ROUND(D45*I55,0))</f>
        <v>12</v>
      </c>
      <c r="E55" s="2559" t="s">
        <v>2049</v>
      </c>
      <c r="F55" s="2782" t="str">
        <f>IF(H55="正常",I55,"免征")</f>
        <v>免征</v>
      </c>
      <c r="G55" s="2783"/>
      <c r="H55" s="2778"/>
      <c r="I55" s="170">
        <f>'数据-取费表'!B49</f>
        <v>5.0000000000000001E-4</v>
      </c>
      <c r="J55" s="2751">
        <f>IF(H59="非个人房产","",4)</f>
        <v>4</v>
      </c>
      <c r="K55" s="3166" t="str">
        <f>IF(H59="非个人房产","——","个人所得税")</f>
        <v>个人所得税</v>
      </c>
      <c r="L55" s="3166"/>
      <c r="M55" s="2756">
        <f ca="1">D59</f>
        <v>223</v>
      </c>
      <c r="N55" s="2230" t="str">
        <f>E59</f>
        <v>差额计税</v>
      </c>
      <c r="O55" s="2757">
        <f>F59</f>
        <v>0.01</v>
      </c>
    </row>
    <row r="56" spans="1:35" ht="24.75">
      <c r="A56" s="3229" t="s">
        <v>2050</v>
      </c>
      <c r="B56" s="3207"/>
      <c r="C56" s="3207"/>
      <c r="D56" s="2549">
        <f ca="1">IF(H56="个人住宅",D57,D58)</f>
        <v>13229</v>
      </c>
      <c r="E56" s="2559" t="s">
        <v>2051</v>
      </c>
      <c r="F56" s="2782" t="str">
        <f>IF(H56="正常",F58,"免征")</f>
        <v>免征</v>
      </c>
      <c r="G56" s="2785" t="s">
        <v>2052</v>
      </c>
      <c r="H56" s="2786"/>
      <c r="I56" s="1996"/>
      <c r="J56" s="2751" t="str">
        <f>IF(项目基本情况!K6="上海银行",IF(J55="",4,J55+1),"")</f>
        <v/>
      </c>
      <c r="K56" s="3147" t="str">
        <f>IF(项目基本情况!K6="上海银行","其他处置费用","")</f>
        <v/>
      </c>
      <c r="L56" s="3148"/>
      <c r="M56" s="2753" t="str">
        <f>IF(项目基本情况!K6="上海银行",M69,"")</f>
        <v/>
      </c>
      <c r="N56" s="3147" t="str">
        <f>IF(项目基本情况!K6="上海银行","包含处置中涉及的律师、诉讼、拍卖、评估等费用","")</f>
        <v/>
      </c>
      <c r="O56" s="3150"/>
    </row>
    <row r="57" spans="1:35" ht="12.75">
      <c r="A57" s="2560" t="s">
        <v>2028</v>
      </c>
      <c r="B57" s="3190" t="s">
        <v>2053</v>
      </c>
      <c r="C57" s="3191"/>
      <c r="D57" s="1777">
        <v>0</v>
      </c>
      <c r="E57" s="330" t="s">
        <v>2030</v>
      </c>
      <c r="F57" s="308"/>
      <c r="G57" s="2783"/>
      <c r="H57" s="2787"/>
      <c r="I57" s="1996"/>
      <c r="J57" s="3166">
        <f>IF(AND(J55="",J56=""),4,IF(项目基本情况!K6="上海银行",结果表!J56+1,结果表!J55+1))</f>
        <v>5</v>
      </c>
      <c r="K57" s="3166" t="s">
        <v>2054</v>
      </c>
      <c r="L57" s="2758" t="s">
        <v>2055</v>
      </c>
      <c r="M57" s="2759"/>
      <c r="N57" s="2760">
        <f ca="1">SUMIF(M52:M56,"&lt;9e307")</f>
        <v>13464</v>
      </c>
      <c r="O57" s="2761"/>
      <c r="P57" s="2921">
        <f ca="1">N57/M49</f>
        <v>0.57604928763958418</v>
      </c>
    </row>
    <row r="58" spans="1:35" ht="24.75">
      <c r="A58" s="2560" t="s">
        <v>2039</v>
      </c>
      <c r="B58" s="3190" t="s">
        <v>2056</v>
      </c>
      <c r="C58" s="3189"/>
      <c r="D58" s="2549">
        <f ca="1">IF(H58="转让取得",C81,C97)</f>
        <v>13229</v>
      </c>
      <c r="E58" s="2559" t="s">
        <v>2051</v>
      </c>
      <c r="F58" s="308" t="s">
        <v>34</v>
      </c>
      <c r="G58" s="2783"/>
      <c r="H58" s="2786"/>
      <c r="I58" s="1996"/>
      <c r="J58" s="3166"/>
      <c r="K58" s="3166"/>
      <c r="L58" s="2758" t="s">
        <v>2057</v>
      </c>
      <c r="M58" s="2762"/>
      <c r="N58" s="2763" t="str">
        <f ca="1">NUMBERSTRING(INT(N57*10000),2)&amp;"元整"</f>
        <v>壹亿叁仟肆佰陆拾肆万元整</v>
      </c>
      <c r="O58" s="2764"/>
    </row>
    <row r="59" spans="1:35" ht="24.75" thickBot="1">
      <c r="A59" s="3170" t="s">
        <v>2058</v>
      </c>
      <c r="B59" s="3171"/>
      <c r="C59" s="3171"/>
      <c r="D59" s="2788">
        <f ca="1">IF(H59="非个人房产","——",IF(H59="个人住宅（满五唯一有凭证）",0,IF(H59="个人其他（无凭证）",ROUND(D45*F59,0),ROUND(C67*F59,0))))</f>
        <v>223</v>
      </c>
      <c r="E59" s="2789" t="str">
        <f>IF(H59="非个人房产","——",IF(H59="个人其他（无凭证）","销售额×税（费）率",IF(H59="个人住宅（满五唯一有凭证）","免征","差额计税")))</f>
        <v>差额计税</v>
      </c>
      <c r="F59" s="2790">
        <f>IF(OR(H59="非个人房产",H59="个人住宅（满五唯一有凭证）"),"——",IF(H59="个人其他（有凭证）",20%,1%))</f>
        <v>0.01</v>
      </c>
      <c r="G59" s="2791" t="s">
        <v>2052</v>
      </c>
      <c r="H59" s="2534"/>
      <c r="I59" s="2533" t="s">
        <v>2881</v>
      </c>
      <c r="J59" s="3168">
        <f>J57+1</f>
        <v>6</v>
      </c>
      <c r="K59" s="3166" t="s">
        <v>2059</v>
      </c>
      <c r="L59" s="2751" t="s">
        <v>2055</v>
      </c>
      <c r="M59" s="2765"/>
      <c r="N59" s="2766">
        <f ca="1">M49-N57</f>
        <v>9909</v>
      </c>
      <c r="O59" s="2767"/>
    </row>
    <row r="60" spans="1:35" ht="12" customHeight="1">
      <c r="A60" s="1997"/>
      <c r="B60" s="1935"/>
      <c r="C60" s="1935"/>
      <c r="D60" s="1935"/>
      <c r="E60" s="1765"/>
      <c r="F60" s="1996"/>
      <c r="G60" s="1996"/>
      <c r="H60" s="1998"/>
      <c r="I60" s="134"/>
      <c r="J60" s="3169"/>
      <c r="K60" s="3166"/>
      <c r="L60" s="2758" t="s">
        <v>2057</v>
      </c>
      <c r="M60" s="2762"/>
      <c r="N60" s="2763" t="str">
        <f ca="1">NUMBERSTRING(INT(N59*10000),2)&amp;"元整"</f>
        <v>玖仟玖佰零玖万元整</v>
      </c>
      <c r="O60" s="2764"/>
    </row>
    <row r="61" spans="1:35" ht="13.5" thickBot="1">
      <c r="A61" s="3228" t="s">
        <v>2060</v>
      </c>
      <c r="B61" s="3228"/>
      <c r="C61" s="3228"/>
      <c r="D61" s="3228"/>
      <c r="E61" s="3228"/>
      <c r="F61" s="1996"/>
      <c r="G61" s="1996"/>
      <c r="H61" s="1998"/>
      <c r="I61" s="134"/>
      <c r="J61" s="2751">
        <f>J59+1</f>
        <v>7</v>
      </c>
      <c r="K61" s="3166" t="s">
        <v>2061</v>
      </c>
      <c r="L61" s="3166"/>
      <c r="M61" s="2768"/>
      <c r="N61" s="2769">
        <f ca="1">ROUND(N59*10000/'数据-汇总表'!E3,0)</f>
        <v>11972</v>
      </c>
      <c r="O61" s="2770"/>
    </row>
    <row r="62" spans="1:35" ht="12.75">
      <c r="A62" s="3185" t="s">
        <v>2062</v>
      </c>
      <c r="B62" s="3186"/>
      <c r="C62" s="2211"/>
      <c r="D62" s="2211" t="s">
        <v>2063</v>
      </c>
      <c r="E62" s="171" t="s">
        <v>2064</v>
      </c>
      <c r="F62" s="1996"/>
      <c r="G62" s="1996"/>
      <c r="H62" s="1998"/>
      <c r="I62" s="134"/>
    </row>
    <row r="63" spans="1:35" ht="12.75">
      <c r="A63" s="178" t="s">
        <v>775</v>
      </c>
      <c r="B63" s="172" t="s">
        <v>2065</v>
      </c>
      <c r="C63" s="2792">
        <f ca="1">ROUND((C64+C65)/(1+'数据-取费表'!C42),0)</f>
        <v>22260</v>
      </c>
      <c r="D63" s="172"/>
      <c r="E63" s="173"/>
      <c r="F63" s="1996"/>
      <c r="G63" s="1996"/>
      <c r="H63" s="1998"/>
      <c r="I63" s="134"/>
      <c r="J63" s="3149" t="s">
        <v>2066</v>
      </c>
      <c r="K63" s="1503" t="s">
        <v>2067</v>
      </c>
      <c r="L63" s="1503">
        <f ca="1">IF(M49&gt;10000,M49*0.5%,IF(AND(M49&gt;1000,M49&lt;=10000),M49*1%,IF(AND(M49&gt;100,M49&lt;=1000),M49*3%,IF(AND(M49&gt;10,M49&lt;=100),M49*5%,M49*8%))))</f>
        <v>116.86500000000001</v>
      </c>
      <c r="M63" s="308">
        <f ca="1">ROUND(L63,1)</f>
        <v>116.9</v>
      </c>
      <c r="N63" s="2771"/>
      <c r="Z63" s="1940"/>
      <c r="AI63" s="1941"/>
    </row>
    <row r="64" spans="1:35" ht="14.25" customHeight="1">
      <c r="A64" s="174" t="s">
        <v>770</v>
      </c>
      <c r="B64" s="175" t="s">
        <v>2068</v>
      </c>
      <c r="C64" s="2793">
        <f ca="1">D45</f>
        <v>23373</v>
      </c>
      <c r="D64" s="175" t="s">
        <v>32</v>
      </c>
      <c r="E64" s="177"/>
      <c r="F64" s="1996"/>
      <c r="G64" s="1996"/>
      <c r="H64" s="1998"/>
      <c r="I64" s="134"/>
      <c r="J64" s="3149"/>
      <c r="K64" s="1503" t="s">
        <v>2069</v>
      </c>
      <c r="L64" s="1503">
        <f ca="1">IF(M49&gt;2000,M49*0.5%,IF(AND(M49&gt;1000,M49&lt;=2000),M49*0.6%,IF(AND(M49&gt;500,M49&lt;=1000),M49*0.7%,IF(AND(M49&gt;200,M49&lt;=500),M49*0.8%,IF(AND(M49&gt;100,M49&lt;=200),M49*0.9%,IF(AND(M49&gt;50,M49&lt;=100),M49*1%,IF(AND(M49&gt;20,M49&lt;=50),M49*1.5%,IF(AND(M49&gt;10,M49&lt;=20),M49*2%,IF(AND(M49&gt;1,M49&lt;=10),M49*2.5%)))))))))</f>
        <v>116.86500000000001</v>
      </c>
      <c r="M64" s="308">
        <f t="shared" ref="M64:M65" ca="1" si="1">ROUND(L64,1)</f>
        <v>116.9</v>
      </c>
      <c r="N64" s="2772" t="s">
        <v>2070</v>
      </c>
      <c r="Z64" s="1940"/>
      <c r="AI64" s="1941"/>
    </row>
    <row r="65" spans="1:35" ht="14.25" customHeight="1">
      <c r="A65" s="174" t="s">
        <v>771</v>
      </c>
      <c r="B65" s="175" t="s">
        <v>2071</v>
      </c>
      <c r="C65" s="2794"/>
      <c r="D65" s="175"/>
      <c r="E65" s="177"/>
      <c r="F65" s="1996"/>
      <c r="G65" s="1996"/>
      <c r="H65" s="1998"/>
      <c r="I65" s="134"/>
      <c r="J65" s="3149"/>
      <c r="K65" s="1503" t="s">
        <v>2072</v>
      </c>
      <c r="L65" s="1503">
        <f ca="1">IF(M49&gt;1000,M49*0.1%,IF(AND(M49&gt;500,M49&lt;=1000),M49*0.5%,IF(AND(M49&gt;50,M49&lt;=500),M49*1%,IF(AND(M49&gt;1,M49&lt;=50),M49*1.5%))))</f>
        <v>23.373000000000001</v>
      </c>
      <c r="M65" s="308">
        <f t="shared" ca="1" si="1"/>
        <v>23.4</v>
      </c>
      <c r="N65" s="2772" t="s">
        <v>2070</v>
      </c>
      <c r="Z65" s="1940"/>
      <c r="AI65" s="1941"/>
    </row>
    <row r="66" spans="1:35" ht="14.25" customHeight="1">
      <c r="A66" s="178" t="s">
        <v>772</v>
      </c>
      <c r="B66" s="179" t="s">
        <v>2073</v>
      </c>
      <c r="C66" s="2795"/>
      <c r="D66" s="179" t="s">
        <v>32</v>
      </c>
      <c r="E66" s="1511" t="s">
        <v>1337</v>
      </c>
      <c r="F66" s="1996"/>
      <c r="G66" s="1996"/>
      <c r="H66" s="1998"/>
      <c r="I66" s="134"/>
      <c r="J66" s="3149"/>
      <c r="K66" s="1503" t="s">
        <v>2074</v>
      </c>
      <c r="L66" s="1503">
        <f ca="1">M49*0.5%</f>
        <v>116.86500000000001</v>
      </c>
      <c r="M66" s="308">
        <f ca="1">IF(L66&gt;0.5,0.5,ROUND(L66,0))</f>
        <v>0.5</v>
      </c>
      <c r="N66" s="2772" t="s">
        <v>2075</v>
      </c>
      <c r="Z66" s="1940"/>
      <c r="AI66" s="1941"/>
    </row>
    <row r="67" spans="1:35" ht="14.25" customHeight="1">
      <c r="A67" s="178" t="s">
        <v>773</v>
      </c>
      <c r="B67" s="179" t="s">
        <v>2076</v>
      </c>
      <c r="C67" s="2796">
        <f ca="1">C63-C66</f>
        <v>22260</v>
      </c>
      <c r="D67" s="175" t="s">
        <v>32</v>
      </c>
      <c r="E67" s="177"/>
      <c r="F67" s="1996"/>
      <c r="G67" s="1996"/>
      <c r="H67" s="1998"/>
      <c r="I67" s="134"/>
      <c r="J67" s="3149"/>
      <c r="K67" s="1503" t="s">
        <v>2077</v>
      </c>
      <c r="L67" s="1503">
        <f ca="1">IF(M49&gt;=10000,(8.25+(M49-10000)*0.01%),IF(AND(M49&gt;=8000,M49&lt;10000),(7.85+(M49-8000)*0.02%),IF(AND(M49&gt;=5000,M49&lt;8000),(6.65+(M49-5000)*0.04%),IF(AND(M49&gt;=2000,M49&lt;5000),(4.25+(PM49-2000)*0.08%),IF(AND(M49&gt;=1000,M49&lt;2000),(2.75+(M49-1000)*0.15%),IF(AND(M49&gt;=100,M49&lt;1000),(0.5+(M49-100)*0.25%),IF(AND(M49&gt;0,M49&lt;100),M49*0.5%)))))))</f>
        <v>9.5873000000000008</v>
      </c>
      <c r="M67" s="308">
        <f ca="1">ROUND(L67*0.9,1)</f>
        <v>8.6</v>
      </c>
      <c r="N67" s="2771"/>
      <c r="Z67" s="1940"/>
      <c r="AI67" s="1941"/>
    </row>
    <row r="68" spans="1:35" ht="14.25" customHeight="1" thickBot="1">
      <c r="A68" s="181" t="s">
        <v>774</v>
      </c>
      <c r="B68" s="182" t="s">
        <v>2078</v>
      </c>
      <c r="C68" s="2797">
        <f ca="1">IF(C67&lt;=0,0,ROUND(C67*D68,0))</f>
        <v>1247</v>
      </c>
      <c r="D68" s="2798">
        <f>'数据-取费表'!B41</f>
        <v>5.6000000000000001E-2</v>
      </c>
      <c r="E68" s="184"/>
      <c r="F68" s="1996"/>
      <c r="G68" s="1996"/>
      <c r="H68" s="1998"/>
      <c r="I68" s="134"/>
      <c r="J68" s="3149"/>
      <c r="K68" s="1503" t="s">
        <v>2079</v>
      </c>
      <c r="L68" s="1503">
        <f ca="1">IF(M49&gt;10000,M49*0.5%,IF(AND(M49&gt;5000,M49&lt;=10000),M49*1%,IF(AND(M49&gt;1000,M49&lt;=5000),M49*2%,IF(AND(M49&gt;200,M49&lt;=1000),M49*3%,M49*5%))))</f>
        <v>116.86500000000001</v>
      </c>
      <c r="M68" s="308">
        <f ca="1">ROUND(L68,1)</f>
        <v>116.9</v>
      </c>
      <c r="N68" s="2771"/>
      <c r="Z68" s="1940"/>
      <c r="AI68" s="1941"/>
    </row>
    <row r="69" spans="1:35" s="1960" customFormat="1" ht="16.5" customHeight="1">
      <c r="A69" s="1999"/>
      <c r="B69" s="2000"/>
      <c r="C69" s="2001"/>
      <c r="D69" s="2002"/>
      <c r="E69" s="2003"/>
      <c r="F69" s="1765"/>
      <c r="G69" s="1765"/>
      <c r="H69" s="1764"/>
      <c r="I69" s="1935"/>
      <c r="J69" s="3149"/>
      <c r="K69" s="1503" t="s">
        <v>2080</v>
      </c>
      <c r="L69" s="1503"/>
      <c r="M69" s="308">
        <f ca="1">ROUND(SUM(M63:M68),0)</f>
        <v>383</v>
      </c>
      <c r="N69" s="2773">
        <f ca="1">M69/M49</f>
        <v>1.6386428785350619E-2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5" thickBot="1">
      <c r="A70" s="3193" t="s">
        <v>2081</v>
      </c>
      <c r="B70" s="3194"/>
      <c r="C70" s="3194"/>
      <c r="D70" s="3194"/>
      <c r="E70" s="3194"/>
      <c r="F70" s="3194"/>
      <c r="G70" s="3194"/>
      <c r="H70" s="3194"/>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4.25">
      <c r="A71" s="3185" t="s">
        <v>2062</v>
      </c>
      <c r="B71" s="3186"/>
      <c r="C71" s="2211"/>
      <c r="D71" s="2211" t="s">
        <v>2063</v>
      </c>
      <c r="E71" s="185" t="s">
        <v>2064</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4.25">
      <c r="A72" s="178" t="s">
        <v>775</v>
      </c>
      <c r="B72" s="179" t="s">
        <v>2082</v>
      </c>
      <c r="C72" s="2796">
        <f ca="1">ROUND(D45/(1+'数据-取费表'!C42),0)</f>
        <v>22260</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4.25">
      <c r="A73" s="178" t="s">
        <v>772</v>
      </c>
      <c r="B73" s="168" t="s">
        <v>2083</v>
      </c>
      <c r="C73" s="2796">
        <f ca="1">C74+C78</f>
        <v>134</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2084</v>
      </c>
      <c r="C74" s="175">
        <f>ROUND(IF(G77="2016年5月1日后购买",C75/(1+'数据-取费表'!C42)+C76+C77,C75+C76+C77),0)</f>
        <v>0</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14.25">
      <c r="A75" s="174" t="s">
        <v>776</v>
      </c>
      <c r="B75" s="175" t="s">
        <v>2085</v>
      </c>
      <c r="C75" s="2799"/>
      <c r="D75" s="175" t="s">
        <v>32</v>
      </c>
      <c r="E75" s="190" t="s">
        <v>2086</v>
      </c>
      <c r="F75" s="2800"/>
      <c r="G75" s="190" t="s">
        <v>2087</v>
      </c>
      <c r="H75" s="2801"/>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2088</v>
      </c>
      <c r="C76" s="175">
        <f>IF(F75="购房发票",ROUND(C75*H75*D76,0),0)</f>
        <v>0</v>
      </c>
      <c r="D76" s="2802">
        <v>0.05</v>
      </c>
      <c r="E76" s="3190" t="s">
        <v>2089</v>
      </c>
      <c r="F76" s="3189"/>
      <c r="G76" s="3189"/>
      <c r="H76" s="3192"/>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2090</v>
      </c>
      <c r="C77" s="175">
        <f>ROUND(IF(G77="个人住宅",0,IF(G77="2016年5月1日前购买",C75*D77,C75*D77/(1+'数据-取费表'!C42))),0)</f>
        <v>0</v>
      </c>
      <c r="D77" s="2803">
        <f>'数据-取费表'!B48+'数据-取费表'!B49</f>
        <v>3.0499999999999999E-2</v>
      </c>
      <c r="E77" s="2549" t="s">
        <v>2091</v>
      </c>
      <c r="F77" s="192"/>
      <c r="G77" s="2010"/>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2092</v>
      </c>
      <c r="C78" s="2804">
        <f ca="1">ROUND(D45*D78/(1+'数据-取费表'!C42),0)</f>
        <v>134</v>
      </c>
      <c r="D78" s="2805">
        <f>'数据-取费表'!B43</f>
        <v>6.000000000000001E-3</v>
      </c>
      <c r="E78" s="3182" t="s">
        <v>2093</v>
      </c>
      <c r="F78" s="3183"/>
      <c r="G78" s="3183"/>
      <c r="H78" s="3184"/>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4.25">
      <c r="A79" s="178" t="s">
        <v>779</v>
      </c>
      <c r="B79" s="179" t="s">
        <v>2094</v>
      </c>
      <c r="C79" s="2796">
        <f ca="1">C72-C73</f>
        <v>22126</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2095</v>
      </c>
      <c r="C80" s="2806">
        <f ca="1">IF(C79&lt;=0,0,C79/C73)</f>
        <v>165.11940298507463</v>
      </c>
      <c r="D80" s="175" t="s">
        <v>32</v>
      </c>
      <c r="E80" s="2549" t="str">
        <f ca="1">IF(C80&gt;=200%,"增值额超过扣除项目金额200%",IF(C80&gt;=100%,"增值额超过扣除项目金额100%，未超过200%",IF(C80&gt;=50%,"增值额超过扣除项目金额50%，未超过100%",IF(C80&lt;50%,"增值额未超过扣除项目金额50%"))))</f>
        <v>增值额超过扣除项目金额200%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75" thickBot="1">
      <c r="A81" s="181" t="s">
        <v>781</v>
      </c>
      <c r="B81" s="182" t="s">
        <v>2096</v>
      </c>
      <c r="C81" s="2807">
        <f ca="1">ROUND(IF(C79&lt;=0,0,IF(C80&gt;=200%,C79*60%-C73*35%,IF(C80&gt;=100%,C79*50%-C73*15%,IF(C80&gt;=50%,C79*40%-C73*5%,IF(C80&lt;50%,C79*30%,0))))),0)</f>
        <v>13229</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5" thickBot="1">
      <c r="A83" s="3193" t="s">
        <v>2097</v>
      </c>
      <c r="B83" s="3194"/>
      <c r="C83" s="3194"/>
      <c r="D83" s="3194"/>
      <c r="E83" s="3194"/>
      <c r="F83" s="3194"/>
      <c r="G83" s="3194"/>
      <c r="H83" s="3194"/>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4.25">
      <c r="A84" s="3185" t="s">
        <v>2062</v>
      </c>
      <c r="B84" s="3186"/>
      <c r="C84" s="2211"/>
      <c r="D84" s="2211" t="s">
        <v>2063</v>
      </c>
      <c r="E84" s="185" t="s">
        <v>2064</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4.25">
      <c r="A85" s="178" t="s">
        <v>775</v>
      </c>
      <c r="B85" s="179" t="s">
        <v>2082</v>
      </c>
      <c r="C85" s="2796">
        <f ca="1">ROUND(D45/(1+'数据-取费表'!C42),0)</f>
        <v>22260</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4.25">
      <c r="A86" s="178" t="s">
        <v>772</v>
      </c>
      <c r="B86" s="168" t="s">
        <v>2083</v>
      </c>
      <c r="C86" s="2796">
        <f ca="1">IF(H88="仅含出让金",C87+C90+C91+C92+C93+C94,C87+C91+C92+C93+C94)</f>
        <v>134</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4.25">
      <c r="A87" s="174" t="s">
        <v>770</v>
      </c>
      <c r="B87" s="175" t="s">
        <v>2098</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25">
      <c r="A88" s="174" t="s">
        <v>776</v>
      </c>
      <c r="B88" s="175" t="s">
        <v>2099</v>
      </c>
      <c r="C88" s="2810"/>
      <c r="D88" s="2805"/>
      <c r="E88" s="199" t="s">
        <v>2100</v>
      </c>
      <c r="F88" s="2552"/>
      <c r="G88" s="200" t="s">
        <v>2101</v>
      </c>
      <c r="H88" s="2012"/>
      <c r="I88" s="2009"/>
      <c r="J88" s="2749" t="s">
        <v>3036</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4.25">
      <c r="A89" s="174" t="s">
        <v>777</v>
      </c>
      <c r="B89" s="175" t="s">
        <v>2090</v>
      </c>
      <c r="C89" s="2804">
        <f>ROUND(C88*D89,0)</f>
        <v>0</v>
      </c>
      <c r="D89" s="2805">
        <f>'数据-取费表'!B48+'数据-取费表'!B49</f>
        <v>3.0499999999999999E-2</v>
      </c>
      <c r="E89" s="199" t="s">
        <v>2102</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25">
      <c r="A90" s="174" t="s">
        <v>771</v>
      </c>
      <c r="B90" s="175" t="s">
        <v>2103</v>
      </c>
      <c r="C90" s="2810"/>
      <c r="D90" s="2805"/>
      <c r="E90" s="199" t="str">
        <f>IF(H88="-","土地取得成本中已包含该笔费用"," ")</f>
        <v xml:space="preserve"> </v>
      </c>
      <c r="F90" s="2552"/>
      <c r="G90" s="3151" t="s">
        <v>2872</v>
      </c>
      <c r="H90" s="3152"/>
      <c r="I90" s="2009"/>
      <c r="J90" s="2749" t="s">
        <v>3037</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2104</v>
      </c>
      <c r="B91" s="175" t="s">
        <v>2105</v>
      </c>
      <c r="C91" s="2804">
        <f>IF(H91="——",成本法!C33,I91)</f>
        <v>0</v>
      </c>
      <c r="D91" s="2805"/>
      <c r="E91" s="3182" t="s">
        <v>2106</v>
      </c>
      <c r="F91" s="3183"/>
      <c r="G91" s="3183"/>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2107</v>
      </c>
      <c r="B92" s="175" t="s">
        <v>2108</v>
      </c>
      <c r="C92" s="2804">
        <f>ROUND((C87+C90+C91)*D92,0)</f>
        <v>0</v>
      </c>
      <c r="D92" s="2811"/>
      <c r="E92" s="3182" t="s">
        <v>2109</v>
      </c>
      <c r="F92" s="3183"/>
      <c r="G92" s="3183"/>
      <c r="H92" s="3184"/>
      <c r="I92" s="2009"/>
      <c r="J92" s="2750" t="s">
        <v>3038</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2110</v>
      </c>
      <c r="B93" s="175" t="s">
        <v>2092</v>
      </c>
      <c r="C93" s="2804">
        <f ca="1">ROUND(D45*D93/(1+'数据-取费表'!C42),0)</f>
        <v>134</v>
      </c>
      <c r="D93" s="2805">
        <f>'数据-取费表'!B43</f>
        <v>6.000000000000001E-3</v>
      </c>
      <c r="E93" s="3182" t="s">
        <v>2093</v>
      </c>
      <c r="F93" s="3183"/>
      <c r="G93" s="3183"/>
      <c r="H93" s="3184"/>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2111</v>
      </c>
      <c r="B94" s="175" t="s">
        <v>2112</v>
      </c>
      <c r="C94" s="2810">
        <f>ROUND((C87+C90+C91)*D94,0)</f>
        <v>0</v>
      </c>
      <c r="D94" s="2805">
        <v>0.2</v>
      </c>
      <c r="E94" s="3230" t="s">
        <v>2113</v>
      </c>
      <c r="F94" s="3231"/>
      <c r="G94" s="3231"/>
      <c r="H94" s="3232"/>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4.25">
      <c r="A95" s="178" t="s">
        <v>779</v>
      </c>
      <c r="B95" s="179" t="s">
        <v>2094</v>
      </c>
      <c r="C95" s="2796">
        <f ca="1">ROUND(C85-C86,0)</f>
        <v>22126</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2095</v>
      </c>
      <c r="C96" s="2806">
        <f ca="1">IF(C95&lt;=0,0,C95/C86)</f>
        <v>165.11940298507463</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75" thickBot="1">
      <c r="A97" s="181" t="s">
        <v>781</v>
      </c>
      <c r="B97" s="182" t="s">
        <v>2096</v>
      </c>
      <c r="C97" s="2807">
        <f ca="1">ROUND(IF(C95&lt;=0,0,IF(C96&gt;=200%,C95*60%-C86*35%,IF(C96&gt;=100%,C95*50%-C86*15%,IF(C96&gt;=50%,C95*40%-C86*5%,IF(C96&lt;50%,C95*30%,0))))),0)</f>
        <v>13229</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2114</v>
      </c>
      <c r="B99" s="1935"/>
      <c r="C99" s="1935"/>
      <c r="D99" s="1935"/>
      <c r="E99" s="1765"/>
      <c r="F99" s="1765"/>
      <c r="G99" s="1765"/>
      <c r="H99" s="1764"/>
      <c r="I99" s="134"/>
    </row>
    <row r="100" spans="1:35" ht="18.75" customHeight="1">
      <c r="A100" s="3132" t="s">
        <v>2115</v>
      </c>
      <c r="B100" s="3133"/>
      <c r="C100" s="3133"/>
      <c r="D100" s="3167"/>
      <c r="E100" s="3133" t="s">
        <v>2116</v>
      </c>
      <c r="F100" s="3133"/>
      <c r="G100" s="3133"/>
      <c r="H100" s="3167"/>
      <c r="I100" s="134"/>
    </row>
    <row r="101" spans="1:35" ht="18.75" customHeight="1">
      <c r="A101" s="3175" t="s">
        <v>2117</v>
      </c>
      <c r="B101" s="3176"/>
      <c r="C101" s="2813" t="str">
        <f>C4</f>
        <v>成本法</v>
      </c>
      <c r="D101" s="2814" t="str">
        <f>D4</f>
        <v>收益法</v>
      </c>
      <c r="E101" s="3145" t="s">
        <v>2118</v>
      </c>
      <c r="F101" s="3146"/>
      <c r="G101" s="2015" t="s">
        <v>2119</v>
      </c>
      <c r="H101" s="2823">
        <f ca="1">H118</f>
        <v>23373</v>
      </c>
      <c r="I101" s="134"/>
    </row>
    <row r="102" spans="1:35" ht="18.75" customHeight="1">
      <c r="A102" s="3177" t="s">
        <v>2120</v>
      </c>
      <c r="B102" s="2812" t="s">
        <v>2119</v>
      </c>
      <c r="C102" s="2813">
        <f ca="1">C19</f>
        <v>30599</v>
      </c>
      <c r="D102" s="2814">
        <f ca="1">D19</f>
        <v>18556</v>
      </c>
      <c r="E102" s="3145"/>
      <c r="F102" s="3146"/>
      <c r="G102" s="2015" t="s">
        <v>2121</v>
      </c>
      <c r="H102" s="2783">
        <f ca="1">I118</f>
        <v>28240</v>
      </c>
      <c r="I102" s="134"/>
    </row>
    <row r="103" spans="1:35" ht="42.75" customHeight="1">
      <c r="A103" s="3177"/>
      <c r="B103" s="2812" t="s">
        <v>2121</v>
      </c>
      <c r="C103" s="2815">
        <f ca="1">C20</f>
        <v>36970</v>
      </c>
      <c r="D103" s="2816">
        <f ca="1">D20</f>
        <v>22420</v>
      </c>
      <c r="E103" s="3138" t="s">
        <v>2122</v>
      </c>
      <c r="F103" s="3139"/>
      <c r="G103" s="2016" t="s">
        <v>2123</v>
      </c>
      <c r="H103" s="2823">
        <f>IF(D36="正常操作",H104+H105+H106,H105+H106)</f>
        <v>0</v>
      </c>
      <c r="I103" s="134"/>
    </row>
    <row r="104" spans="1:35" ht="18.75" customHeight="1">
      <c r="A104" s="3177" t="s">
        <v>2124</v>
      </c>
      <c r="B104" s="2817" t="s">
        <v>2119</v>
      </c>
      <c r="C104" s="2818">
        <f ca="1">H118</f>
        <v>23373</v>
      </c>
      <c r="D104" s="2819"/>
      <c r="E104" s="1862" t="s">
        <v>2125</v>
      </c>
      <c r="F104" s="1853"/>
      <c r="G104" s="2016" t="s">
        <v>2123</v>
      </c>
      <c r="H104" s="2824">
        <f>IF(D36="同一抵押权人同一抵押物续贷",C36&amp;"（续贷，未扣减，详见特别提示）",C36)</f>
        <v>0</v>
      </c>
      <c r="I104" s="134"/>
    </row>
    <row r="105" spans="1:35" ht="18.75" customHeight="1" thickBot="1">
      <c r="A105" s="3187"/>
      <c r="B105" s="2820" t="s">
        <v>2121</v>
      </c>
      <c r="C105" s="2821">
        <f ca="1">I118</f>
        <v>28240</v>
      </c>
      <c r="D105" s="2822"/>
      <c r="E105" s="1862" t="s">
        <v>2126</v>
      </c>
      <c r="F105" s="1853"/>
      <c r="G105" s="2016" t="s">
        <v>2123</v>
      </c>
      <c r="H105" s="2825">
        <f>C37</f>
        <v>0</v>
      </c>
      <c r="I105" s="134"/>
    </row>
    <row r="106" spans="1:35" ht="18.75" customHeight="1">
      <c r="A106" s="1935" t="s">
        <v>2127</v>
      </c>
      <c r="B106" s="1935"/>
      <c r="C106" s="1935"/>
      <c r="D106" s="1935"/>
      <c r="E106" s="2017" t="s">
        <v>2128</v>
      </c>
      <c r="F106" s="1853"/>
      <c r="G106" s="2016" t="s">
        <v>2123</v>
      </c>
      <c r="H106" s="2825">
        <f>C38</f>
        <v>0</v>
      </c>
      <c r="I106" s="134"/>
    </row>
    <row r="107" spans="1:35" ht="18.75" customHeight="1">
      <c r="A107" s="134"/>
      <c r="B107" s="134"/>
      <c r="C107" s="134"/>
      <c r="D107" s="134"/>
      <c r="E107" s="3178" t="str">
        <f>IF(项目基本情况!E8="已注销","——","3.房地产抵押价值")</f>
        <v>3.房地产抵押价值</v>
      </c>
      <c r="F107" s="3146"/>
      <c r="G107" s="2015" t="s">
        <v>2119</v>
      </c>
      <c r="H107" s="2823">
        <f ca="1">IF(E107="——","——",H101-H103)</f>
        <v>23373</v>
      </c>
      <c r="I107" s="134"/>
    </row>
    <row r="108" spans="1:35" ht="18.75" customHeight="1">
      <c r="A108" s="134"/>
      <c r="B108" s="134"/>
      <c r="C108" s="134"/>
      <c r="D108" s="134"/>
      <c r="E108" s="3178"/>
      <c r="F108" s="3146"/>
      <c r="G108" s="2015" t="s">
        <v>2121</v>
      </c>
      <c r="H108" s="2783">
        <f ca="1">ROUND(H107*10000/'数据-汇总表'!E3,0)</f>
        <v>28240</v>
      </c>
      <c r="I108" s="134"/>
    </row>
    <row r="109" spans="1:35" ht="18.75" customHeight="1">
      <c r="A109" s="134"/>
      <c r="B109" s="134"/>
      <c r="C109" s="134"/>
      <c r="D109" s="134"/>
      <c r="E109" s="3178" t="str">
        <f>IF(项目基本情况!E8="已注销及未注销","4.抵押担保权已注销时的房地产抵押价值",IF(项目基本情况!E8="已注销","3.抵押担保权已注销时的房地产抵押价值","——"))</f>
        <v>——</v>
      </c>
      <c r="F109" s="3146"/>
      <c r="G109" s="2015" t="s">
        <v>2119</v>
      </c>
      <c r="H109" s="2826" t="str">
        <f>IF(E109="——","——",H101-H105-H106)</f>
        <v>——</v>
      </c>
      <c r="I109" s="134"/>
    </row>
    <row r="110" spans="1:35" ht="18.75" customHeight="1">
      <c r="A110" s="134"/>
      <c r="B110" s="134"/>
      <c r="C110" s="134"/>
      <c r="D110" s="134"/>
      <c r="E110" s="3178"/>
      <c r="F110" s="3146"/>
      <c r="G110" s="2015" t="s">
        <v>2121</v>
      </c>
      <c r="H110" s="2783" t="str">
        <f>IF(H109="——","——",ROUND(H109*10000/'数据-汇总表'!E3,0))</f>
        <v>——</v>
      </c>
      <c r="I110" s="134"/>
    </row>
    <row r="111" spans="1:35" ht="18.75" customHeight="1">
      <c r="A111" s="134"/>
      <c r="B111" s="134"/>
      <c r="C111" s="134"/>
      <c r="D111" s="134"/>
      <c r="E111" s="3179" t="str">
        <f>IF(项目基本情况!E9="抵押净值",IF(OR(项目基本情况!E8="已注销",项目基本情况!E8="房地产抵押价值"),"4.抵押净值","5.抵押净值"),"——")</f>
        <v>——</v>
      </c>
      <c r="F111" s="3165"/>
      <c r="G111" s="2015" t="s">
        <v>2119</v>
      </c>
      <c r="H111" s="2823" t="str">
        <f>IF(E111="——","——",N59)</f>
        <v>——</v>
      </c>
      <c r="I111" s="134"/>
    </row>
    <row r="112" spans="1:35" ht="18.75" customHeight="1" thickBot="1">
      <c r="A112" s="134"/>
      <c r="B112" s="134"/>
      <c r="C112" s="134"/>
      <c r="D112" s="134"/>
      <c r="E112" s="3180"/>
      <c r="F112" s="3181"/>
      <c r="G112" s="2018" t="s">
        <v>2121</v>
      </c>
      <c r="H112" s="2827" t="str">
        <f>IF(E111="——","——",N61)</f>
        <v>——</v>
      </c>
      <c r="I112" s="134"/>
    </row>
    <row r="113" spans="1:27" ht="18.75" customHeight="1">
      <c r="A113" s="134"/>
      <c r="B113" s="134"/>
      <c r="C113" s="134"/>
      <c r="D113" s="134"/>
      <c r="E113" s="3188" t="s">
        <v>2127</v>
      </c>
      <c r="F113" s="3188"/>
      <c r="G113" s="3188"/>
      <c r="H113" s="3188"/>
      <c r="I113" s="134"/>
    </row>
    <row r="114" spans="1:27" ht="3.75" customHeight="1">
      <c r="A114" s="1935"/>
      <c r="B114" s="1935"/>
      <c r="C114" s="1935"/>
      <c r="D114" s="1935"/>
      <c r="E114" s="1997"/>
      <c r="F114" s="1997"/>
      <c r="G114" s="1997"/>
      <c r="H114" s="1997"/>
      <c r="I114" s="1935"/>
    </row>
    <row r="115" spans="1:27" ht="18.75" customHeight="1">
      <c r="A115" s="3199" t="s">
        <v>2129</v>
      </c>
      <c r="B115" s="3200"/>
      <c r="C115" s="3200"/>
      <c r="D115" s="3200"/>
      <c r="E115" s="3200"/>
      <c r="F115" s="3200"/>
      <c r="G115" s="3200"/>
      <c r="H115" s="3200"/>
      <c r="I115" s="3201"/>
    </row>
    <row r="116" spans="1:27" ht="27" customHeight="1">
      <c r="A116" s="3153" t="s">
        <v>2130</v>
      </c>
      <c r="B116" s="3157" t="s">
        <v>2131</v>
      </c>
      <c r="C116" s="3157" t="s">
        <v>2132</v>
      </c>
      <c r="D116" s="3163" t="s">
        <v>2133</v>
      </c>
      <c r="E116" s="3164"/>
      <c r="F116" s="3195" t="s">
        <v>2134</v>
      </c>
      <c r="G116" s="3195"/>
      <c r="H116" s="3153" t="s">
        <v>2135</v>
      </c>
      <c r="I116" s="3153"/>
    </row>
    <row r="117" spans="1:27" ht="18.75" customHeight="1">
      <c r="A117" s="3153"/>
      <c r="B117" s="3158"/>
      <c r="C117" s="3158"/>
      <c r="D117" s="2554" t="s">
        <v>2136</v>
      </c>
      <c r="E117" s="2554" t="s">
        <v>2137</v>
      </c>
      <c r="F117" s="2554" t="s">
        <v>2136</v>
      </c>
      <c r="G117" s="2554" t="s">
        <v>2138</v>
      </c>
      <c r="H117" s="2554" t="s">
        <v>2136</v>
      </c>
      <c r="I117" s="2554" t="s">
        <v>2138</v>
      </c>
    </row>
    <row r="118" spans="1:27" ht="24.75" customHeight="1">
      <c r="A118" s="2828" t="str">
        <f>项目基本情况!S2</f>
        <v>北京市房地产</v>
      </c>
      <c r="B118" s="2554">
        <f>M18</f>
        <v>8276.64</v>
      </c>
      <c r="C118" s="2554">
        <f>M19</f>
        <v>927.85</v>
      </c>
      <c r="D118" s="2554">
        <f ca="1">ROUND(IF(D32="总价",C34,E118*B118/10000),0)</f>
        <v>21269</v>
      </c>
      <c r="E118" s="2554">
        <f ca="1">ROUND(IF(C33="自定义",IF(D32="楼面单价",C34,D118*10000/B118),I118-G118),0)</f>
        <v>25698</v>
      </c>
      <c r="F118" s="2554">
        <f ca="1">ROUND(IF(D32="总价",C35,G118*B118/10000),0)</f>
        <v>2104</v>
      </c>
      <c r="G118" s="2554">
        <f ca="1">ROUND(IF(D32="楼面单价",C35,F118*10000/B118),0)</f>
        <v>2542</v>
      </c>
      <c r="H118" s="2554">
        <f ca="1">ROUND(IF(D32="总价",C32,I118*B118/10000),0)</f>
        <v>23373</v>
      </c>
      <c r="I118" s="2554">
        <f ca="1">ROUND(IF(D32="楼面单价",C32,H118*10000/B118),0)</f>
        <v>28240</v>
      </c>
    </row>
    <row r="119" spans="1:27" ht="18.75" customHeight="1">
      <c r="A119" s="3153" t="s">
        <v>2139</v>
      </c>
      <c r="B119" s="3153"/>
      <c r="C119" s="3153"/>
      <c r="D119" s="3159" t="str">
        <f ca="1">NUMBERSTRING(INT(D118*10000),2)&amp;"元整"</f>
        <v>贰亿壹仟贰佰陆拾玖万元整</v>
      </c>
      <c r="E119" s="3160"/>
      <c r="F119" s="3159" t="str">
        <f ca="1">NUMBERSTRING(INT(F118*10000),2)&amp;"元整"</f>
        <v>贰仟壹佰零肆万元整</v>
      </c>
      <c r="G119" s="3160"/>
      <c r="H119" s="3159" t="str">
        <f ca="1">NUMBERSTRING(INT(H118*10000),2)&amp;"元整"</f>
        <v>贰亿叁仟叁佰柒拾叁万元整</v>
      </c>
      <c r="I119" s="3160"/>
    </row>
    <row r="120" spans="1:27" ht="18.75" customHeight="1">
      <c r="A120" s="3154" t="str">
        <f>IF(项目基本情况!B9="房地产市场价值","",MID(E103,3,LEN(E103)-2))</f>
        <v>估价师知悉的法定优先受偿款</v>
      </c>
      <c r="B120" s="3155"/>
      <c r="C120" s="3156"/>
      <c r="D120" s="3154">
        <f>H103</f>
        <v>0</v>
      </c>
      <c r="E120" s="3155"/>
      <c r="F120" s="3155"/>
      <c r="G120" s="3155"/>
      <c r="H120" s="3155"/>
      <c r="I120" s="3156"/>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196" t="s">
        <v>2139</v>
      </c>
      <c r="B121" s="3197"/>
      <c r="C121" s="3198"/>
      <c r="D121" s="3159" t="str">
        <f>IF(D120=0,"零元整",NUMBERSTRING(INT(D120*10000),2)&amp;"元整")</f>
        <v>零元整</v>
      </c>
      <c r="E121" s="3161"/>
      <c r="F121" s="3161"/>
      <c r="G121" s="3161"/>
      <c r="H121" s="3161"/>
      <c r="I121" s="3160"/>
      <c r="AA121" s="734"/>
    </row>
    <row r="122" spans="1:27" ht="18.75" customHeight="1">
      <c r="A122" s="3165" t="str">
        <f>IF(项目基本情况!B9="房地产市场价值","",MID(E107,3,LEN(E107)-2))</f>
        <v>房地产抵押价值</v>
      </c>
      <c r="B122" s="3165"/>
      <c r="C122" s="3165"/>
      <c r="D122" s="3154">
        <f ca="1">H107</f>
        <v>23373</v>
      </c>
      <c r="E122" s="3155"/>
      <c r="F122" s="3155"/>
      <c r="G122" s="3155"/>
      <c r="H122" s="3155"/>
      <c r="I122" s="3156"/>
      <c r="AA122" s="734"/>
    </row>
    <row r="123" spans="1:27" ht="18.75" customHeight="1">
      <c r="A123" s="3153" t="s">
        <v>2139</v>
      </c>
      <c r="B123" s="3153"/>
      <c r="C123" s="3153"/>
      <c r="D123" s="3159" t="str">
        <f ca="1">NUMBERSTRING(INT(D122*10000),2)&amp;"元整"</f>
        <v>贰亿叁仟叁佰柒拾叁万元整</v>
      </c>
      <c r="E123" s="3161"/>
      <c r="F123" s="3161"/>
      <c r="G123" s="3161"/>
      <c r="H123" s="3161"/>
      <c r="I123" s="3160"/>
      <c r="AA123" s="734"/>
    </row>
    <row r="124" spans="1:27" ht="18.75" customHeight="1">
      <c r="A124" s="3165" t="str">
        <f>IF(项目基本情况!B9="房地产市场价值","",MID(E109,3,LEN(E109)-2))</f>
        <v/>
      </c>
      <c r="B124" s="3165"/>
      <c r="C124" s="3165"/>
      <c r="D124" s="3154" t="str">
        <f>H109</f>
        <v>——</v>
      </c>
      <c r="E124" s="3155"/>
      <c r="F124" s="3155"/>
      <c r="G124" s="3155"/>
      <c r="H124" s="3155"/>
      <c r="I124" s="3156"/>
      <c r="AA124" s="734"/>
    </row>
    <row r="125" spans="1:27" ht="18.75" customHeight="1">
      <c r="A125" s="3153" t="s">
        <v>2139</v>
      </c>
      <c r="B125" s="3153"/>
      <c r="C125" s="3153"/>
      <c r="D125" s="3159" t="e">
        <f>NUMBERSTRING(INT(D124*10000),2)&amp;"元整"</f>
        <v>#VALUE!</v>
      </c>
      <c r="E125" s="3161"/>
      <c r="F125" s="3161"/>
      <c r="G125" s="3161"/>
      <c r="H125" s="3161"/>
      <c r="I125" s="3160"/>
      <c r="AA125" s="734"/>
    </row>
    <row r="126" spans="1:27" ht="18.75" customHeight="1">
      <c r="A126" s="3165" t="str">
        <f>IF(项目基本情况!B9="房地产市场价值","",MID(E111,3,LEN(E111)-2))</f>
        <v/>
      </c>
      <c r="B126" s="3165"/>
      <c r="C126" s="3165"/>
      <c r="D126" s="3154" t="str">
        <f>H111</f>
        <v>——</v>
      </c>
      <c r="E126" s="3155"/>
      <c r="F126" s="3155"/>
      <c r="G126" s="3155"/>
      <c r="H126" s="3155"/>
      <c r="I126" s="3156"/>
      <c r="AA126" s="734"/>
    </row>
    <row r="127" spans="1:27" ht="18.75" customHeight="1">
      <c r="A127" s="3153" t="s">
        <v>2139</v>
      </c>
      <c r="B127" s="3153"/>
      <c r="C127" s="3153"/>
      <c r="D127" s="3159" t="e">
        <f>NUMBERSTRING(INT(D126*10000),2)&amp;"元整"</f>
        <v>#VALUE!</v>
      </c>
      <c r="E127" s="3161"/>
      <c r="F127" s="3161"/>
      <c r="G127" s="3161"/>
      <c r="H127" s="3161"/>
      <c r="I127" s="3160"/>
      <c r="AA127" s="734"/>
    </row>
    <row r="128" spans="1:27" ht="21.75" customHeight="1">
      <c r="A128" s="3162" t="s">
        <v>2140</v>
      </c>
      <c r="B128" s="3162"/>
      <c r="C128" s="3162"/>
      <c r="D128" s="3162"/>
      <c r="E128" s="3162"/>
      <c r="F128" s="3162"/>
      <c r="G128" s="3162"/>
      <c r="H128" s="3162"/>
      <c r="I128" s="3162"/>
      <c r="AA128" s="734"/>
    </row>
    <row r="129" spans="1:35" ht="21.75" customHeight="1">
      <c r="A129" s="2019" t="s">
        <v>2141</v>
      </c>
      <c r="B129" s="2020"/>
      <c r="C129" s="2021" t="s">
        <v>2142</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2143</v>
      </c>
      <c r="G135" s="2036"/>
      <c r="H135" s="2036"/>
      <c r="I135" s="2037" t="s">
        <v>2144</v>
      </c>
    </row>
    <row r="136" spans="1:35" ht="21.75" customHeight="1">
      <c r="A136" s="734"/>
      <c r="B136" s="2038" t="s">
        <v>2145</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2146</v>
      </c>
    </row>
    <row r="139" spans="1:35" ht="21.75" customHeight="1">
      <c r="A139" s="734"/>
      <c r="B139" s="2038" t="s">
        <v>2147</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2146</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7" zoomScale="85" zoomScaleNormal="70" zoomScaleSheetLayoutView="85"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2148</v>
      </c>
      <c r="B1" s="1656"/>
      <c r="C1" s="204"/>
      <c r="D1" s="204"/>
      <c r="E1" s="204"/>
      <c r="F1" s="204"/>
      <c r="G1" s="1288">
        <f>MATCH(B1,'数据-取费表'!A6:A16,0)+5</f>
        <v>7</v>
      </c>
    </row>
    <row r="2" spans="1:9" s="206" customFormat="1" ht="18" customHeight="1">
      <c r="A2" s="207" t="s">
        <v>2149</v>
      </c>
      <c r="B2" s="208">
        <f ca="1">IF(D2="——",C52,C52-E2)</f>
        <v>30599</v>
      </c>
      <c r="C2" s="205" t="s">
        <v>2150</v>
      </c>
      <c r="D2" s="2041" t="s">
        <v>70</v>
      </c>
      <c r="E2" s="1331" t="e">
        <f ca="1">SUMIF(INDIRECT("'"&amp;G2&amp;"'"&amp;"!A:A"),"承租人权益价值",INDIRECT("'"&amp;G2&amp;"'"&amp;"!c:c"))</f>
        <v>#REF!</v>
      </c>
      <c r="F2" s="2042" t="s">
        <v>2150</v>
      </c>
      <c r="G2" s="2043"/>
    </row>
    <row r="3" spans="1:9" s="206" customFormat="1" ht="18" customHeight="1" thickBot="1">
      <c r="A3" s="209" t="s">
        <v>2151</v>
      </c>
      <c r="B3" s="210">
        <f ca="1">ROUND(B2*10000/(IF(B1="",'数据-汇总表'!E3,INDIRECT("'数据-取费表'!k"&amp;$G$1))),0)</f>
        <v>36970</v>
      </c>
      <c r="C3" s="205" t="s">
        <v>2152</v>
      </c>
      <c r="D3" s="205"/>
      <c r="E3" s="205"/>
      <c r="F3" s="205"/>
      <c r="G3" s="205"/>
    </row>
    <row r="4" spans="1:9" s="214" customFormat="1" ht="15.75">
      <c r="A4" s="211" t="s">
        <v>2153</v>
      </c>
      <c r="B4" s="212"/>
      <c r="C4" s="212"/>
      <c r="D4" s="212"/>
      <c r="E4" s="212"/>
      <c r="F4" s="212"/>
      <c r="G4" s="213"/>
    </row>
    <row r="5" spans="1:9" s="220" customFormat="1" ht="13.5" customHeight="1">
      <c r="A5" s="261" t="s">
        <v>2154</v>
      </c>
      <c r="B5" s="216" t="s">
        <v>2155</v>
      </c>
      <c r="C5" s="217">
        <f ca="1">C6+C7+C8</f>
        <v>19419</v>
      </c>
      <c r="D5" s="217" t="s">
        <v>2156</v>
      </c>
      <c r="E5" s="218" t="s">
        <v>2157</v>
      </c>
      <c r="F5" s="218" t="s">
        <v>2158</v>
      </c>
      <c r="G5" s="219"/>
    </row>
    <row r="6" spans="1:9" s="220" customFormat="1" ht="13.5" customHeight="1">
      <c r="A6" s="886" t="s">
        <v>2159</v>
      </c>
      <c r="B6" s="221" t="s">
        <v>2160</v>
      </c>
      <c r="C6" s="222">
        <f ca="1">基准地价修正!B2</f>
        <v>18683</v>
      </c>
      <c r="D6" s="223"/>
      <c r="E6" s="224"/>
      <c r="F6" s="224"/>
      <c r="G6" s="225"/>
    </row>
    <row r="7" spans="1:9" s="220" customFormat="1" ht="13.5" customHeight="1">
      <c r="A7" s="886" t="s">
        <v>2161</v>
      </c>
      <c r="B7" s="221" t="s">
        <v>2162</v>
      </c>
      <c r="C7" s="226">
        <f ca="1">ROUND(C6*F7,0)</f>
        <v>570</v>
      </c>
      <c r="D7" s="226"/>
      <c r="E7" s="224"/>
      <c r="F7" s="227">
        <f>IF(项目基本情况!B8="出让",0,'数据-取费表'!B48+'数据-取费表'!B49)</f>
        <v>3.0499999999999999E-2</v>
      </c>
      <c r="G7" s="225"/>
    </row>
    <row r="8" spans="1:9" s="229" customFormat="1">
      <c r="A8" s="886" t="s">
        <v>2163</v>
      </c>
      <c r="B8" s="221" t="s">
        <v>2164</v>
      </c>
      <c r="C8" s="226">
        <f ca="1">IF(G8="已包含在土地购买价格中","0",IF(B1="",'数据-取费表'!B29,IF(G9="全部缴纳",C9+C10,H9)))</f>
        <v>166</v>
      </c>
      <c r="D8" s="228"/>
      <c r="E8" s="226"/>
      <c r="F8" s="227"/>
      <c r="G8" s="2044" t="s">
        <v>3084</v>
      </c>
    </row>
    <row r="9" spans="1:9" s="220" customFormat="1" ht="13.5" customHeight="1">
      <c r="A9" s="887" t="s">
        <v>800</v>
      </c>
      <c r="B9" s="230" t="s">
        <v>2165</v>
      </c>
      <c r="C9" s="231">
        <f ca="1">ROUND(D9*E9/10000,0)</f>
        <v>0</v>
      </c>
      <c r="D9" s="954">
        <f ca="1">IF(B1="",'数据-汇总表'!E5,IF(INDIRECT("'数据-取费表'!c"&amp;$G$1)="住宅",INDIRECT("'数据-取费表'!k"&amp;$G$1),0))</f>
        <v>0</v>
      </c>
      <c r="E9" s="231">
        <f>'数据-取费表'!B27</f>
        <v>0</v>
      </c>
      <c r="F9" s="227"/>
      <c r="G9" s="2045" t="s">
        <v>3085</v>
      </c>
      <c r="H9" s="1299"/>
      <c r="I9" s="2046" t="s">
        <v>2166</v>
      </c>
    </row>
    <row r="10" spans="1:9" s="220" customFormat="1" ht="13.5" customHeight="1">
      <c r="A10" s="887" t="s">
        <v>801</v>
      </c>
      <c r="B10" s="230" t="s">
        <v>2167</v>
      </c>
      <c r="C10" s="231">
        <f ca="1">ROUND(D10*E10/10000,0)</f>
        <v>166</v>
      </c>
      <c r="D10" s="954">
        <f ca="1">IF(B1="",'数据-汇总表'!E6,IF(INDIRECT("'数据-取费表'!c"&amp;$G$1)="住宅",INDIRECT("'数据-取费表'!s"&amp;$G$1),INDIRECT("'数据-取费表'!k"&amp;$G$1)+INDIRECT("'数据-取费表'!s"&amp;$G$1)))</f>
        <v>8276.64</v>
      </c>
      <c r="E10" s="231">
        <f>'数据-取费表'!B28</f>
        <v>200</v>
      </c>
      <c r="F10" s="227"/>
      <c r="G10" s="232"/>
    </row>
    <row r="11" spans="1:9" s="220" customFormat="1" ht="13.5" hidden="1" customHeight="1">
      <c r="A11" s="233" t="s">
        <v>7</v>
      </c>
      <c r="B11" s="221" t="s">
        <v>2168</v>
      </c>
      <c r="C11" s="217"/>
      <c r="D11" s="956"/>
      <c r="E11" s="224"/>
      <c r="F11" s="224"/>
      <c r="G11" s="225"/>
    </row>
    <row r="12" spans="1:9" s="220" customFormat="1" ht="13.5" hidden="1" customHeight="1">
      <c r="A12" s="233" t="s">
        <v>8</v>
      </c>
      <c r="B12" s="221" t="s">
        <v>2169</v>
      </c>
      <c r="C12" s="217">
        <v>0</v>
      </c>
      <c r="D12" s="956"/>
      <c r="E12" s="234"/>
      <c r="F12" s="227">
        <v>3.0499999999999999E-2</v>
      </c>
      <c r="G12" s="225"/>
    </row>
    <row r="13" spans="1:9" s="220" customFormat="1" ht="13.5" hidden="1" customHeight="1">
      <c r="A13" s="233" t="s">
        <v>9</v>
      </c>
      <c r="B13" s="221" t="s">
        <v>2170</v>
      </c>
      <c r="C13" s="217"/>
      <c r="D13" s="956"/>
      <c r="E13" s="224"/>
      <c r="F13" s="224"/>
      <c r="G13" s="225"/>
    </row>
    <row r="14" spans="1:9" s="220" customFormat="1" ht="13.5" hidden="1" customHeight="1">
      <c r="A14" s="233" t="s">
        <v>10</v>
      </c>
      <c r="B14" s="221" t="s">
        <v>2171</v>
      </c>
      <c r="C14" s="217"/>
      <c r="D14" s="956"/>
      <c r="E14" s="224"/>
      <c r="F14" s="224"/>
      <c r="G14" s="225" t="s">
        <v>2172</v>
      </c>
    </row>
    <row r="15" spans="1:9" s="220" customFormat="1" ht="13.5" hidden="1" customHeight="1">
      <c r="A15" s="233" t="s">
        <v>11</v>
      </c>
      <c r="B15" s="221" t="s">
        <v>2173</v>
      </c>
      <c r="C15" s="226"/>
      <c r="D15" s="956"/>
      <c r="E15" s="224"/>
      <c r="F15" s="224"/>
      <c r="G15" s="225" t="s">
        <v>2174</v>
      </c>
    </row>
    <row r="16" spans="1:9" s="220" customFormat="1" ht="13.5" hidden="1" customHeight="1">
      <c r="A16" s="233" t="s">
        <v>12</v>
      </c>
      <c r="B16" s="221" t="s">
        <v>2171</v>
      </c>
      <c r="C16" s="226"/>
      <c r="D16" s="956"/>
      <c r="E16" s="224"/>
      <c r="F16" s="224"/>
      <c r="G16" s="225"/>
    </row>
    <row r="17" spans="1:7" s="220" customFormat="1" ht="13.5" hidden="1" customHeight="1">
      <c r="A17" s="233" t="s">
        <v>13</v>
      </c>
      <c r="B17" s="221" t="s">
        <v>2175</v>
      </c>
      <c r="C17" s="235"/>
      <c r="D17" s="957"/>
      <c r="E17" s="235"/>
      <c r="F17" s="235"/>
      <c r="G17" s="225" t="s">
        <v>2174</v>
      </c>
    </row>
    <row r="18" spans="1:7" s="220" customFormat="1" ht="13.5" hidden="1" customHeight="1">
      <c r="A18" s="233" t="s">
        <v>14</v>
      </c>
      <c r="B18" s="221" t="s">
        <v>2176</v>
      </c>
      <c r="C18" s="226">
        <v>0</v>
      </c>
      <c r="D18" s="956"/>
      <c r="E18" s="224"/>
      <c r="F18" s="227">
        <v>3.0499999999999999E-2</v>
      </c>
      <c r="G18" s="225" t="s">
        <v>2177</v>
      </c>
    </row>
    <row r="19" spans="1:7" s="229" customFormat="1" ht="13.5" customHeight="1">
      <c r="A19" s="261" t="s">
        <v>2178</v>
      </c>
      <c r="B19" s="216" t="s">
        <v>2179</v>
      </c>
      <c r="C19" s="217" t="str">
        <f>IF(G19="已包含在土地取得成本中","0",ROUND(D19*E19/10000,0))</f>
        <v>0</v>
      </c>
      <c r="D19" s="958">
        <f ca="1">D9+D10</f>
        <v>8276.64</v>
      </c>
      <c r="E19" s="217">
        <f>'数据-取费表'!B31</f>
        <v>200</v>
      </c>
      <c r="F19" s="237"/>
      <c r="G19" s="2044" t="s">
        <v>3086</v>
      </c>
    </row>
    <row r="20" spans="1:7" s="220" customFormat="1" ht="13.5" customHeight="1">
      <c r="A20" s="261" t="s">
        <v>2180</v>
      </c>
      <c r="B20" s="216" t="s">
        <v>2181</v>
      </c>
      <c r="C20" s="238">
        <f ca="1">ROUND((C5+C19)*F20,0)</f>
        <v>388</v>
      </c>
      <c r="D20" s="238"/>
      <c r="E20" s="238"/>
      <c r="F20" s="239">
        <f>'数据-取费表'!B37</f>
        <v>0.02</v>
      </c>
      <c r="G20" s="240" t="s">
        <v>2182</v>
      </c>
    </row>
    <row r="21" spans="1:7" s="220" customFormat="1" ht="13.5" customHeight="1">
      <c r="A21" s="261" t="s">
        <v>2183</v>
      </c>
      <c r="B21" s="216" t="s">
        <v>2184</v>
      </c>
      <c r="C21" s="241">
        <f>F21</f>
        <v>0.02</v>
      </c>
      <c r="D21" s="242" t="s">
        <v>2185</v>
      </c>
      <c r="E21" s="238"/>
      <c r="F21" s="239">
        <f>'数据-取费表'!B38</f>
        <v>0.02</v>
      </c>
      <c r="G21" s="240" t="s">
        <v>2186</v>
      </c>
    </row>
    <row r="22" spans="1:7" s="220" customFormat="1" ht="13.5" customHeight="1">
      <c r="A22" s="261" t="s">
        <v>2187</v>
      </c>
      <c r="B22" s="216" t="s">
        <v>2188</v>
      </c>
      <c r="C22" s="1264">
        <f ca="1">ROUND(SUM(C23:C25),0)</f>
        <v>1907</v>
      </c>
      <c r="D22" s="241">
        <f ca="1">C26</f>
        <v>1E-3</v>
      </c>
      <c r="E22" s="242" t="s">
        <v>2185</v>
      </c>
      <c r="F22" s="243">
        <f ca="1">'数据-取费表'!B40</f>
        <v>4.7500000000000001E-2</v>
      </c>
      <c r="G22" s="240" t="str">
        <f>IF('数据-取费表'!B22&lt;=1,"单利计息","复利计息")</f>
        <v>复利计息</v>
      </c>
    </row>
    <row r="23" spans="1:7" s="220" customFormat="1" ht="13.5" customHeight="1">
      <c r="A23" s="888" t="s">
        <v>2189</v>
      </c>
      <c r="B23" s="221" t="s">
        <v>2190</v>
      </c>
      <c r="C23" s="1265">
        <f ca="1">ROUND(IF('数据-取费表'!B22&lt;=1,C5*F22*'数据-取费表'!B23,C5*(POWER((1+F22),'数据-取费表'!B23)-1)),0)</f>
        <v>1889</v>
      </c>
      <c r="D23" s="244"/>
      <c r="E23" s="244"/>
      <c r="F23" s="245"/>
      <c r="G23" s="246" t="s">
        <v>2191</v>
      </c>
    </row>
    <row r="24" spans="1:7" s="220" customFormat="1" ht="13.5" customHeight="1">
      <c r="A24" s="888" t="s">
        <v>2192</v>
      </c>
      <c r="B24" s="221" t="s">
        <v>2193</v>
      </c>
      <c r="C24" s="1265">
        <f ca="1">ROUND(IF('数据-取费表'!B22&lt;=1,C19*F22*('数据-取费表'!B19/2+'数据-取费表'!B21),C19*(POWER((1+F22),('数据-取费表'!B19/2+'数据-取费表'!B21))-1)),0)</f>
        <v>0</v>
      </c>
      <c r="D24" s="244"/>
      <c r="E24" s="244"/>
      <c r="F24" s="245"/>
      <c r="G24" s="246" t="s">
        <v>2194</v>
      </c>
    </row>
    <row r="25" spans="1:7" s="220" customFormat="1" ht="24">
      <c r="A25" s="888" t="s">
        <v>2195</v>
      </c>
      <c r="B25" s="221" t="s">
        <v>2196</v>
      </c>
      <c r="C25" s="1265">
        <f ca="1">ROUND(IF('数据-取费表'!B22&lt;=1,C20*F22*'数据-取费表'!B23/2,C20*(POWER((1+F22),'数据-取费表'!B23/2)-1)),0)</f>
        <v>18</v>
      </c>
      <c r="D25" s="244"/>
      <c r="E25" s="247"/>
      <c r="F25" s="245"/>
      <c r="G25" s="248" t="s">
        <v>2197</v>
      </c>
    </row>
    <row r="26" spans="1:7" s="220" customFormat="1">
      <c r="A26" s="888" t="s">
        <v>795</v>
      </c>
      <c r="B26" s="221" t="s">
        <v>2198</v>
      </c>
      <c r="C26" s="244">
        <f ca="1">ROUND(IF('数据-取费表'!B22&lt;=1,F21*F22*'数据-取费表'!B23/2,F21*(POWER((1+F22),'数据-取费表'!B23/2)-1)),4)</f>
        <v>1E-3</v>
      </c>
      <c r="D26" s="244"/>
      <c r="E26" s="247"/>
      <c r="F26" s="245"/>
      <c r="G26" s="249"/>
    </row>
    <row r="27" spans="1:7" s="220" customFormat="1" ht="24.75">
      <c r="A27" s="261" t="s">
        <v>2199</v>
      </c>
      <c r="B27" s="250" t="s">
        <v>2200</v>
      </c>
      <c r="C27" s="251">
        <f ca="1">C28</f>
        <v>3961</v>
      </c>
      <c r="D27" s="241">
        <f ca="1">C29</f>
        <v>4.0000000000000001E-3</v>
      </c>
      <c r="E27" s="242" t="s">
        <v>2201</v>
      </c>
      <c r="F27" s="252">
        <f ca="1">IF(B1="",'数据-取费表'!Q16,INDIRECT("'数据-取费表'!q"&amp;$G$1))</f>
        <v>0.2</v>
      </c>
      <c r="G27" s="253" t="s">
        <v>2202</v>
      </c>
    </row>
    <row r="28" spans="1:7" s="220" customFormat="1" ht="13.5" customHeight="1">
      <c r="A28" s="888" t="s">
        <v>791</v>
      </c>
      <c r="B28" s="254" t="s">
        <v>2203</v>
      </c>
      <c r="C28" s="255">
        <f ca="1">ROUND((C5+C19+C20)*F27*'数据-取费表'!B21/'数据-取费表'!B20,0)</f>
        <v>3961</v>
      </c>
      <c r="D28" s="241"/>
      <c r="E28" s="242"/>
      <c r="F28" s="252"/>
      <c r="G28" s="253"/>
    </row>
    <row r="29" spans="1:7" s="220" customFormat="1" ht="13.5" customHeight="1">
      <c r="A29" s="888" t="s">
        <v>792</v>
      </c>
      <c r="B29" s="254" t="s">
        <v>2204</v>
      </c>
      <c r="C29" s="244">
        <f ca="1">ROUND(C21*F27*'数据-取费表'!B21/'数据-取费表'!B20,4)</f>
        <v>4.0000000000000001E-3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27856</v>
      </c>
      <c r="D31" s="236"/>
      <c r="E31" s="217"/>
      <c r="F31" s="256"/>
      <c r="G31" s="240" t="s">
        <v>2209</v>
      </c>
    </row>
    <row r="32" spans="1:7" s="214" customFormat="1" ht="15.75">
      <c r="A32" s="258" t="s">
        <v>2210</v>
      </c>
      <c r="B32" s="259"/>
      <c r="C32" s="259"/>
      <c r="D32" s="259"/>
      <c r="E32" s="259"/>
      <c r="F32" s="259"/>
      <c r="G32" s="260"/>
    </row>
    <row r="33" spans="1:7" s="220" customFormat="1" ht="13.5" customHeight="1">
      <c r="A33" s="261" t="s">
        <v>782</v>
      </c>
      <c r="B33" s="216" t="s">
        <v>2211</v>
      </c>
      <c r="C33" s="262">
        <f ca="1">SUM(C34:C38)</f>
        <v>2760</v>
      </c>
      <c r="D33" s="238"/>
      <c r="E33" s="218"/>
      <c r="F33" s="247"/>
      <c r="G33" s="240"/>
    </row>
    <row r="34" spans="1:7" s="264" customFormat="1" ht="13.5" customHeight="1">
      <c r="A34" s="888" t="s">
        <v>791</v>
      </c>
      <c r="B34" s="221" t="s">
        <v>2212</v>
      </c>
      <c r="C34" s="226">
        <f ca="1">IF(B1="",IF(F34=100%,'数据-取费表'!M16,'数据-取费表'!O16),IF(F34=100%,INDIRECT("'数据-取费表'!m"&amp;$G$1)+INDIRECT("'数据-取费表'!t"&amp;$G$1),INDIRECT("'数据-取费表'!o"&amp;$G$1)+INDIRECT("'数据-取费表'!aq"&amp;$G$1)))</f>
        <v>2483</v>
      </c>
      <c r="D34" s="223"/>
      <c r="E34" s="226"/>
      <c r="F34" s="263">
        <f ca="1">IF('数据-取费表'!B24=0,1,IF(B1="",'数据-取费表'!N16,INDIRECT("'数据-取费表'!n"&amp;$G$1)))</f>
        <v>1</v>
      </c>
      <c r="G34" s="225" t="s">
        <v>2213</v>
      </c>
    </row>
    <row r="35" spans="1:7" ht="13.5" customHeight="1">
      <c r="A35" s="888" t="s">
        <v>796</v>
      </c>
      <c r="B35" s="221" t="s">
        <v>2214</v>
      </c>
      <c r="C35" s="226">
        <f ca="1">ROUND(C34*F35,0)</f>
        <v>74</v>
      </c>
      <c r="D35" s="226"/>
      <c r="E35" s="226"/>
      <c r="F35" s="265">
        <f>'数据-取费表'!B33</f>
        <v>0.03</v>
      </c>
      <c r="G35" s="225" t="s">
        <v>2215</v>
      </c>
    </row>
    <row r="36" spans="1:7" ht="24">
      <c r="A36" s="888" t="s">
        <v>797</v>
      </c>
      <c r="B36" s="221" t="s">
        <v>2216</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2217</v>
      </c>
    </row>
    <row r="37" spans="1:7" s="264" customFormat="1" ht="13.5" customHeight="1">
      <c r="A37" s="888" t="s">
        <v>798</v>
      </c>
      <c r="B37" s="221" t="s">
        <v>2218</v>
      </c>
      <c r="C37" s="255">
        <f ca="1">ROUND(E37*D37*F34/10000,0)</f>
        <v>166</v>
      </c>
      <c r="D37" s="223">
        <f ca="1">D19</f>
        <v>8276.64</v>
      </c>
      <c r="E37" s="255">
        <f>'数据-取费表'!B35</f>
        <v>200</v>
      </c>
      <c r="F37" s="265"/>
      <c r="G37" s="267" t="s">
        <v>2219</v>
      </c>
    </row>
    <row r="38" spans="1:7" ht="13.5" customHeight="1">
      <c r="A38" s="888" t="s">
        <v>799</v>
      </c>
      <c r="B38" s="221" t="s">
        <v>2220</v>
      </c>
      <c r="C38" s="226">
        <f ca="1">ROUND(C34*F38,0)</f>
        <v>37</v>
      </c>
      <c r="D38" s="226"/>
      <c r="E38" s="226"/>
      <c r="F38" s="265">
        <f>'数据-取费表'!B36</f>
        <v>1.4999999999999999E-2</v>
      </c>
      <c r="G38" s="225" t="s">
        <v>2215</v>
      </c>
    </row>
    <row r="39" spans="1:7" s="220" customFormat="1" ht="13.5" customHeight="1">
      <c r="A39" s="261" t="s">
        <v>2221</v>
      </c>
      <c r="B39" s="216" t="s">
        <v>2222</v>
      </c>
      <c r="C39" s="238">
        <f ca="1">ROUND(C33*F20,0)</f>
        <v>55</v>
      </c>
      <c r="D39" s="238"/>
      <c r="E39" s="238"/>
      <c r="F39" s="2537">
        <f>F20</f>
        <v>0.02</v>
      </c>
      <c r="G39" s="240" t="s">
        <v>2223</v>
      </c>
    </row>
    <row r="40" spans="1:7" s="220" customFormat="1" ht="13.5" customHeight="1">
      <c r="A40" s="261" t="s">
        <v>2224</v>
      </c>
      <c r="B40" s="216" t="s">
        <v>2225</v>
      </c>
      <c r="C40" s="1497">
        <f>F21</f>
        <v>0.02</v>
      </c>
      <c r="D40" s="242" t="s">
        <v>2226</v>
      </c>
      <c r="E40" s="238"/>
      <c r="F40" s="2537">
        <f>F21</f>
        <v>0.02</v>
      </c>
      <c r="G40" s="240" t="s">
        <v>2227</v>
      </c>
    </row>
    <row r="41" spans="1:7" s="220" customFormat="1" ht="13.5" customHeight="1">
      <c r="A41" s="261" t="s">
        <v>2228</v>
      </c>
      <c r="B41" s="216" t="s">
        <v>2229</v>
      </c>
      <c r="C41" s="238">
        <f ca="1">ROUND(SUM(C42:C43),0)</f>
        <v>134</v>
      </c>
      <c r="D41" s="241">
        <f ca="1">C44</f>
        <v>1E-3</v>
      </c>
      <c r="E41" s="242" t="s">
        <v>2226</v>
      </c>
      <c r="F41" s="2538">
        <f ca="1">F22</f>
        <v>4.7500000000000001E-2</v>
      </c>
      <c r="G41" s="240" t="str">
        <f>IF('数据-取费表'!B22&lt;=1,"单利计息","复利计息")</f>
        <v>复利计息</v>
      </c>
    </row>
    <row r="42" spans="1:7" ht="13.5" customHeight="1">
      <c r="A42" s="888" t="s">
        <v>791</v>
      </c>
      <c r="B42" s="221" t="s">
        <v>2230</v>
      </c>
      <c r="C42" s="244">
        <f ca="1">ROUND(IF('数据-取费表'!B22&lt;=1,C33*F22*'数据-取费表'!B21/2,C33*(POWER((1+F22),'数据-取费表'!B21/2)-1)),0)</f>
        <v>131</v>
      </c>
      <c r="D42" s="244"/>
      <c r="E42" s="244"/>
      <c r="F42" s="245"/>
      <c r="G42" s="3235" t="s">
        <v>2231</v>
      </c>
    </row>
    <row r="43" spans="1:7" ht="13.5" customHeight="1">
      <c r="A43" s="888" t="s">
        <v>792</v>
      </c>
      <c r="B43" s="221" t="s">
        <v>2232</v>
      </c>
      <c r="C43" s="244">
        <f ca="1">ROUND(IF('数据-取费表'!B22&lt;=1,C39*F22*'数据-取费表'!B21/2,C39*(POWER((1+F22),'数据-取费表'!B21/2)-1)),0)</f>
        <v>3</v>
      </c>
      <c r="D43" s="244"/>
      <c r="E43" s="244"/>
      <c r="F43" s="245"/>
      <c r="G43" s="3236"/>
    </row>
    <row r="44" spans="1:7" ht="13.5" customHeight="1">
      <c r="A44" s="888" t="s">
        <v>793</v>
      </c>
      <c r="B44" s="221" t="s">
        <v>2233</v>
      </c>
      <c r="C44" s="244">
        <f ca="1">ROUND(IF('数据-取费表'!B22&lt;=1,C40*F22*'数据-取费表'!B21/2,C40*(POWER((1+F22),'数据-取费表'!B21/2)-1)),4)</f>
        <v>1E-3</v>
      </c>
      <c r="D44" s="244"/>
      <c r="E44" s="244"/>
      <c r="F44" s="245"/>
      <c r="G44" s="3237"/>
    </row>
    <row r="45" spans="1:7" s="220" customFormat="1" ht="13.5" customHeight="1">
      <c r="A45" s="261" t="s">
        <v>2234</v>
      </c>
      <c r="B45" s="250" t="s">
        <v>2200</v>
      </c>
      <c r="C45" s="251">
        <f ca="1">C46</f>
        <v>563</v>
      </c>
      <c r="D45" s="241">
        <f ca="1">C47</f>
        <v>4.0000000000000001E-3</v>
      </c>
      <c r="E45" s="242" t="s">
        <v>2226</v>
      </c>
      <c r="F45" s="2539">
        <f ca="1">F27</f>
        <v>0.2</v>
      </c>
      <c r="G45" s="253" t="s">
        <v>2235</v>
      </c>
    </row>
    <row r="46" spans="1:7" s="220" customFormat="1" ht="13.5" customHeight="1">
      <c r="A46" s="888" t="s">
        <v>791</v>
      </c>
      <c r="B46" s="254" t="s">
        <v>2236</v>
      </c>
      <c r="C46" s="255">
        <f ca="1">ROUND((C33+C39)*F27,0)</f>
        <v>563</v>
      </c>
      <c r="D46" s="269"/>
      <c r="E46" s="242"/>
      <c r="F46" s="252"/>
      <c r="G46" s="253"/>
    </row>
    <row r="47" spans="1:7" s="220" customFormat="1" ht="13.5" customHeight="1">
      <c r="A47" s="888" t="s">
        <v>792</v>
      </c>
      <c r="B47" s="254" t="s">
        <v>2237</v>
      </c>
      <c r="C47" s="244">
        <f ca="1">ROUND(C40*F27,4)</f>
        <v>4.0000000000000001E-3</v>
      </c>
      <c r="D47" s="269"/>
      <c r="E47" s="242"/>
      <c r="F47" s="252"/>
      <c r="G47" s="253"/>
    </row>
    <row r="48" spans="1:7" s="220" customFormat="1" ht="13.5" customHeight="1">
      <c r="A48" s="261" t="s">
        <v>2199</v>
      </c>
      <c r="B48" s="216" t="s">
        <v>2238</v>
      </c>
      <c r="C48" s="1497">
        <f>ROUND(F30/(1+'数据-取费表'!C42),4)</f>
        <v>5.33E-2</v>
      </c>
      <c r="D48" s="242" t="s">
        <v>2226</v>
      </c>
      <c r="E48" s="238"/>
      <c r="F48" s="2538">
        <f>F30</f>
        <v>5.6000000000000001E-2</v>
      </c>
      <c r="G48" s="240" t="s">
        <v>2239</v>
      </c>
    </row>
    <row r="49" spans="1:7" ht="16.5" customHeight="1">
      <c r="A49" s="261" t="s">
        <v>2205</v>
      </c>
      <c r="B49" s="216" t="s">
        <v>2240</v>
      </c>
      <c r="C49" s="238">
        <f ca="1">ROUND((C33+C39+C41+C45)/(1-C40-D41-D45-C48),0)</f>
        <v>3810</v>
      </c>
      <c r="D49" s="238"/>
      <c r="E49" s="238"/>
      <c r="F49" s="270"/>
      <c r="G49" s="240" t="s">
        <v>2241</v>
      </c>
    </row>
    <row r="50" spans="1:7" s="264" customFormat="1" ht="24">
      <c r="A50" s="261" t="s">
        <v>2242</v>
      </c>
      <c r="B50" s="216" t="s">
        <v>2243</v>
      </c>
      <c r="C50" s="238"/>
      <c r="D50" s="238"/>
      <c r="E50" s="238"/>
      <c r="F50" s="270">
        <f>IF('数据-取费表'!B24=0,'数据-取费表'!N16,1)</f>
        <v>0.72</v>
      </c>
      <c r="G50" s="253" t="s">
        <v>2244</v>
      </c>
    </row>
    <row r="51" spans="1:7" ht="16.5" customHeight="1">
      <c r="A51" s="261" t="s">
        <v>2245</v>
      </c>
      <c r="B51" s="216" t="s">
        <v>2246</v>
      </c>
      <c r="C51" s="238">
        <f ca="1">ROUND(C49*F50,0)</f>
        <v>2743</v>
      </c>
      <c r="D51" s="238"/>
      <c r="E51" s="238"/>
      <c r="F51" s="270"/>
      <c r="G51" s="240" t="s">
        <v>2247</v>
      </c>
    </row>
    <row r="52" spans="1:7" s="214" customFormat="1" ht="16.5" thickBot="1">
      <c r="A52" s="271" t="s">
        <v>2248</v>
      </c>
      <c r="B52" s="272"/>
      <c r="C52" s="273">
        <f ca="1">C31+C51</f>
        <v>30599</v>
      </c>
      <c r="D52" s="272"/>
      <c r="E52" s="272"/>
      <c r="F52" s="272"/>
      <c r="G52" s="274"/>
    </row>
    <row r="55" spans="1:7" ht="15">
      <c r="B55" s="276" t="s">
        <v>2249</v>
      </c>
      <c r="C55" s="277"/>
    </row>
    <row r="56" spans="1:7">
      <c r="B56" s="279" t="s">
        <v>1478</v>
      </c>
      <c r="C56" s="281">
        <f ca="1">1-C57</f>
        <v>0.91</v>
      </c>
    </row>
    <row r="57" spans="1:7">
      <c r="B57" s="279" t="s">
        <v>1479</v>
      </c>
      <c r="C57" s="280">
        <f ca="1">ROUND(C51/C52,3)</f>
        <v>0.09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46" t="str">
        <f>项目基本情况!B1</f>
        <v>北京市房地产抵押价值预评估</v>
      </c>
      <c r="C37" s="3046"/>
      <c r="D37" s="3046"/>
      <c r="E37" s="3046"/>
      <c r="F37" s="3046"/>
      <c r="G37" s="3046"/>
      <c r="H37" s="3046"/>
      <c r="I37" s="3046"/>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U518" sqref="U51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2148</v>
      </c>
      <c r="B1" s="1656"/>
      <c r="C1" s="2047" t="s">
        <v>2250</v>
      </c>
      <c r="D1" s="204"/>
      <c r="E1" s="204"/>
      <c r="F1" s="204"/>
      <c r="G1" s="1288">
        <f>MATCH(B1,'数据-取费表'!A6:A16,0)+5</f>
        <v>7</v>
      </c>
      <c r="H1" s="1192" t="str">
        <f>IF(ISERROR(FIND("住宅",B1)),"非住宅","住宅")</f>
        <v>非住宅</v>
      </c>
    </row>
    <row r="2" spans="1:8" s="206" customFormat="1" ht="18" customHeight="1">
      <c r="A2" s="207" t="s">
        <v>2149</v>
      </c>
      <c r="B2" s="208">
        <f ca="1">ROUND(IF(D2="——",C52/10000,C52/10000-E2),0)</f>
        <v>3219</v>
      </c>
      <c r="C2" s="205" t="s">
        <v>2150</v>
      </c>
      <c r="D2" s="2041" t="s">
        <v>70</v>
      </c>
      <c r="E2" s="1331" t="e">
        <f ca="1">SUMIF(INDIRECT("'"&amp;G2&amp;"'"&amp;"!A:A"),"承租人权益价值",INDIRECT("'"&amp;G2&amp;"'"&amp;"!c:c"))</f>
        <v>#REF!</v>
      </c>
      <c r="F2" s="2042" t="s">
        <v>2150</v>
      </c>
      <c r="G2" s="2043"/>
    </row>
    <row r="3" spans="1:8" s="206" customFormat="1" ht="18" customHeight="1" thickBot="1">
      <c r="A3" s="209" t="s">
        <v>2151</v>
      </c>
      <c r="B3" s="210">
        <f ca="1">ROUND(B2*10000/(IF(B1="",'数据-汇总表'!E3,INDIRECT("'数据-取费表'!k"&amp;$G$1))),0)</f>
        <v>3889</v>
      </c>
      <c r="C3" s="205" t="s">
        <v>2152</v>
      </c>
      <c r="D3" s="205"/>
      <c r="E3" s="205"/>
      <c r="F3" s="205"/>
      <c r="G3" s="205"/>
    </row>
    <row r="4" spans="1:8" s="214" customFormat="1" ht="15.75">
      <c r="A4" s="211" t="s">
        <v>2153</v>
      </c>
      <c r="B4" s="212"/>
      <c r="C4" s="212"/>
      <c r="D4" s="212"/>
      <c r="E4" s="212"/>
      <c r="F4" s="212"/>
      <c r="G4" s="213"/>
    </row>
    <row r="5" spans="1:8" s="220" customFormat="1" ht="13.5" customHeight="1">
      <c r="A5" s="261" t="s">
        <v>2154</v>
      </c>
      <c r="B5" s="216" t="s">
        <v>2155</v>
      </c>
      <c r="C5" s="217">
        <f ca="1">C6+C7+C8</f>
        <v>1655328</v>
      </c>
      <c r="D5" s="217" t="s">
        <v>2156</v>
      </c>
      <c r="E5" s="218" t="s">
        <v>2157</v>
      </c>
      <c r="F5" s="218" t="s">
        <v>2158</v>
      </c>
      <c r="G5" s="219"/>
    </row>
    <row r="6" spans="1:8" s="220" customFormat="1" ht="13.5" customHeight="1">
      <c r="A6" s="886" t="s">
        <v>2159</v>
      </c>
      <c r="B6" s="221" t="s">
        <v>2160</v>
      </c>
      <c r="C6" s="222"/>
      <c r="D6" s="223"/>
      <c r="E6" s="224"/>
      <c r="F6" s="224"/>
      <c r="G6" s="225"/>
    </row>
    <row r="7" spans="1:8" s="220" customFormat="1" ht="13.5" customHeight="1">
      <c r="A7" s="886" t="s">
        <v>2161</v>
      </c>
      <c r="B7" s="221" t="s">
        <v>2162</v>
      </c>
      <c r="C7" s="226">
        <f>ROUND(C6*F7,0)</f>
        <v>0</v>
      </c>
      <c r="D7" s="226"/>
      <c r="E7" s="224"/>
      <c r="F7" s="227">
        <f>IF(项目基本情况!B8="出让",0,'数据-取费表'!B48+'数据-取费表'!B49)</f>
        <v>3.0499999999999999E-2</v>
      </c>
      <c r="G7" s="225"/>
    </row>
    <row r="8" spans="1:8" s="229" customFormat="1">
      <c r="A8" s="886" t="s">
        <v>2163</v>
      </c>
      <c r="B8" s="221" t="s">
        <v>2164</v>
      </c>
      <c r="C8" s="226">
        <f ca="1">IF(G8="已包含在土地购买价格中",0,C9+C10)</f>
        <v>1655328</v>
      </c>
      <c r="D8" s="228"/>
      <c r="E8" s="226"/>
      <c r="F8" s="227"/>
      <c r="G8" s="2044"/>
    </row>
    <row r="9" spans="1:8" s="220" customFormat="1" ht="13.5" customHeight="1">
      <c r="A9" s="887" t="s">
        <v>800</v>
      </c>
      <c r="B9" s="230" t="s">
        <v>2165</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2167</v>
      </c>
      <c r="C10" s="231">
        <f ca="1">ROUND(D10*E10,0)</f>
        <v>1655328</v>
      </c>
      <c r="D10" s="954">
        <f ca="1">IF(B1="",'数据-汇总表'!E6,IF(INDIRECT("'数据-取费表'!c"&amp;$G$1)="住宅",INDIRECT("'数据-取费表'!s"&amp;$G$1),INDIRECT("'数据-取费表'!k"&amp;$G$1)+INDIRECT("'数据-取费表'!s"&amp;$G$1)))</f>
        <v>8276.64</v>
      </c>
      <c r="E10" s="231">
        <f>'数据-取费表'!B28</f>
        <v>200</v>
      </c>
      <c r="F10" s="227"/>
      <c r="G10" s="232"/>
    </row>
    <row r="11" spans="1:8" s="220" customFormat="1" ht="13.5" hidden="1" customHeight="1">
      <c r="A11" s="233" t="s">
        <v>7</v>
      </c>
      <c r="B11" s="221" t="s">
        <v>2168</v>
      </c>
      <c r="C11" s="217"/>
      <c r="D11" s="956"/>
      <c r="E11" s="224"/>
      <c r="F11" s="224"/>
      <c r="G11" s="225"/>
    </row>
    <row r="12" spans="1:8" s="220" customFormat="1" ht="13.5" hidden="1" customHeight="1">
      <c r="A12" s="233" t="s">
        <v>8</v>
      </c>
      <c r="B12" s="221" t="s">
        <v>2251</v>
      </c>
      <c r="C12" s="217">
        <v>0</v>
      </c>
      <c r="D12" s="956"/>
      <c r="E12" s="234"/>
      <c r="F12" s="227">
        <v>3.0499999999999999E-2</v>
      </c>
      <c r="G12" s="225"/>
    </row>
    <row r="13" spans="1:8" s="220" customFormat="1" ht="13.5" hidden="1" customHeight="1">
      <c r="A13" s="233" t="s">
        <v>9</v>
      </c>
      <c r="B13" s="221" t="s">
        <v>2252</v>
      </c>
      <c r="C13" s="217"/>
      <c r="D13" s="956"/>
      <c r="E13" s="224"/>
      <c r="F13" s="224"/>
      <c r="G13" s="225"/>
    </row>
    <row r="14" spans="1:8" s="220" customFormat="1" ht="13.5" hidden="1" customHeight="1">
      <c r="A14" s="233" t="s">
        <v>10</v>
      </c>
      <c r="B14" s="221" t="s">
        <v>2164</v>
      </c>
      <c r="C14" s="217"/>
      <c r="D14" s="956"/>
      <c r="E14" s="224"/>
      <c r="F14" s="224"/>
      <c r="G14" s="225" t="s">
        <v>2253</v>
      </c>
    </row>
    <row r="15" spans="1:8" s="220" customFormat="1" ht="13.5" hidden="1" customHeight="1">
      <c r="A15" s="233" t="s">
        <v>11</v>
      </c>
      <c r="B15" s="221" t="s">
        <v>2254</v>
      </c>
      <c r="C15" s="226"/>
      <c r="D15" s="956"/>
      <c r="E15" s="224"/>
      <c r="F15" s="224"/>
      <c r="G15" s="225" t="s">
        <v>2255</v>
      </c>
    </row>
    <row r="16" spans="1:8" s="220" customFormat="1" ht="13.5" hidden="1" customHeight="1">
      <c r="A16" s="233" t="s">
        <v>12</v>
      </c>
      <c r="B16" s="221" t="s">
        <v>2164</v>
      </c>
      <c r="C16" s="226"/>
      <c r="D16" s="956"/>
      <c r="E16" s="224"/>
      <c r="F16" s="224"/>
      <c r="G16" s="225"/>
    </row>
    <row r="17" spans="1:7" s="220" customFormat="1" ht="13.5" hidden="1" customHeight="1">
      <c r="A17" s="233" t="s">
        <v>13</v>
      </c>
      <c r="B17" s="221" t="s">
        <v>2256</v>
      </c>
      <c r="C17" s="235"/>
      <c r="D17" s="957"/>
      <c r="E17" s="235"/>
      <c r="F17" s="235"/>
      <c r="G17" s="225" t="s">
        <v>2255</v>
      </c>
    </row>
    <row r="18" spans="1:7" s="220" customFormat="1" ht="13.5" hidden="1" customHeight="1">
      <c r="A18" s="233" t="s">
        <v>14</v>
      </c>
      <c r="B18" s="221" t="s">
        <v>2257</v>
      </c>
      <c r="C18" s="226">
        <v>0</v>
      </c>
      <c r="D18" s="956"/>
      <c r="E18" s="224"/>
      <c r="F18" s="227">
        <v>3.0499999999999999E-2</v>
      </c>
      <c r="G18" s="225" t="s">
        <v>2258</v>
      </c>
    </row>
    <row r="19" spans="1:7" s="229" customFormat="1" ht="13.5" customHeight="1">
      <c r="A19" s="261" t="s">
        <v>2259</v>
      </c>
      <c r="B19" s="216" t="s">
        <v>2260</v>
      </c>
      <c r="C19" s="217">
        <f ca="1">IF(G19="已包含在土地取得成本中","0",ROUND(D19*E19,0))</f>
        <v>1655328</v>
      </c>
      <c r="D19" s="958">
        <f ca="1">D9+D10</f>
        <v>8276.64</v>
      </c>
      <c r="E19" s="217">
        <f>'数据-取费表'!B31</f>
        <v>200</v>
      </c>
      <c r="F19" s="237"/>
      <c r="G19" s="2044"/>
    </row>
    <row r="20" spans="1:7" s="220" customFormat="1" ht="13.5" customHeight="1">
      <c r="A20" s="261" t="s">
        <v>2261</v>
      </c>
      <c r="B20" s="216" t="s">
        <v>2262</v>
      </c>
      <c r="C20" s="238">
        <f ca="1">ROUND((C5+C19)*F20,0)</f>
        <v>66213</v>
      </c>
      <c r="D20" s="238"/>
      <c r="E20" s="238"/>
      <c r="F20" s="239">
        <f>'数据-取费表'!B37</f>
        <v>0.02</v>
      </c>
      <c r="G20" s="240" t="s">
        <v>2263</v>
      </c>
    </row>
    <row r="21" spans="1:7" s="220" customFormat="1" ht="13.5" customHeight="1">
      <c r="A21" s="261" t="s">
        <v>2264</v>
      </c>
      <c r="B21" s="216" t="s">
        <v>2265</v>
      </c>
      <c r="C21" s="241">
        <f>F21</f>
        <v>0.02</v>
      </c>
      <c r="D21" s="242" t="s">
        <v>2266</v>
      </c>
      <c r="E21" s="238"/>
      <c r="F21" s="239">
        <f>'数据-取费表'!B38</f>
        <v>0.02</v>
      </c>
      <c r="G21" s="240" t="s">
        <v>2267</v>
      </c>
    </row>
    <row r="22" spans="1:7" s="220" customFormat="1" ht="13.5" customHeight="1">
      <c r="A22" s="261" t="s">
        <v>2268</v>
      </c>
      <c r="B22" s="216" t="s">
        <v>2269</v>
      </c>
      <c r="C22" s="1289">
        <f ca="1">ROUND(SUM(C23:C25),0)</f>
        <v>325127</v>
      </c>
      <c r="D22" s="241">
        <f ca="1">C26</f>
        <v>1E-3</v>
      </c>
      <c r="E22" s="242" t="s">
        <v>2266</v>
      </c>
      <c r="F22" s="243">
        <f ca="1">'数据-取费表'!B40</f>
        <v>4.7500000000000001E-2</v>
      </c>
      <c r="G22" s="240" t="str">
        <f>IF('数据-取费表'!B22&lt;=1,"单利计息","复利计息")</f>
        <v>复利计息</v>
      </c>
    </row>
    <row r="23" spans="1:7" s="220" customFormat="1" ht="13.5" customHeight="1">
      <c r="A23" s="888" t="s">
        <v>2159</v>
      </c>
      <c r="B23" s="221" t="s">
        <v>2270</v>
      </c>
      <c r="C23" s="1290">
        <f ca="1">ROUND(IF('数据-取费表'!B22&lt;=1,C5*F22*'数据-取费表'!B22,C5*(POWER((1+F22),'数据-取费表'!B22)-1)),0)</f>
        <v>160991</v>
      </c>
      <c r="D23" s="244"/>
      <c r="E23" s="244"/>
      <c r="F23" s="245"/>
      <c r="G23" s="246" t="s">
        <v>2271</v>
      </c>
    </row>
    <row r="24" spans="1:7" s="220" customFormat="1" ht="13.5" customHeight="1">
      <c r="A24" s="888" t="s">
        <v>2161</v>
      </c>
      <c r="B24" s="221" t="s">
        <v>2272</v>
      </c>
      <c r="C24" s="1290">
        <f ca="1">ROUND(IF('数据-取费表'!B22&lt;=1,C19*F22*('数据-取费表'!B19/2+'数据-取费表'!B20),C19*(POWER((1+F22),('数据-取费表'!B19/2+'数据-取费表'!B20))-1)),0)</f>
        <v>160991</v>
      </c>
      <c r="D24" s="244"/>
      <c r="E24" s="244"/>
      <c r="F24" s="245"/>
      <c r="G24" s="246" t="s">
        <v>2273</v>
      </c>
    </row>
    <row r="25" spans="1:7" s="220" customFormat="1" ht="24">
      <c r="A25" s="888" t="s">
        <v>2163</v>
      </c>
      <c r="B25" s="221" t="s">
        <v>2274</v>
      </c>
      <c r="C25" s="1290">
        <f ca="1">ROUND(IF('数据-取费表'!B22&lt;=1,C20*F22*'数据-取费表'!B22/2,C20*(POWER((1+F22),'数据-取费表'!B22/2)-1)),0)</f>
        <v>3145</v>
      </c>
      <c r="D25" s="244"/>
      <c r="E25" s="247"/>
      <c r="F25" s="245"/>
      <c r="G25" s="248" t="s">
        <v>2275</v>
      </c>
    </row>
    <row r="26" spans="1:7" s="220" customFormat="1">
      <c r="A26" s="888" t="s">
        <v>795</v>
      </c>
      <c r="B26" s="221" t="s">
        <v>2198</v>
      </c>
      <c r="C26" s="244">
        <f ca="1">ROUND(IF('数据-取费表'!B22&lt;=1,F21*F22*'数据-取费表'!B22/2,F21*(POWER((1+F22),'数据-取费表'!B22/2)-1)),4)</f>
        <v>1E-3</v>
      </c>
      <c r="D26" s="244"/>
      <c r="E26" s="247"/>
      <c r="F26" s="245"/>
      <c r="G26" s="249"/>
    </row>
    <row r="27" spans="1:7" s="220" customFormat="1" ht="24.75">
      <c r="A27" s="261" t="s">
        <v>2199</v>
      </c>
      <c r="B27" s="250" t="s">
        <v>2200</v>
      </c>
      <c r="C27" s="251">
        <f ca="1">C28</f>
        <v>675374</v>
      </c>
      <c r="D27" s="241">
        <f ca="1">C29</f>
        <v>4.0000000000000001E-3</v>
      </c>
      <c r="E27" s="242" t="s">
        <v>2201</v>
      </c>
      <c r="F27" s="252">
        <f ca="1">IF(B1="",'数据-取费表'!Q16,INDIRECT("'数据-取费表'!q"&amp;$G$1))</f>
        <v>0.2</v>
      </c>
      <c r="G27" s="253" t="s">
        <v>2202</v>
      </c>
    </row>
    <row r="28" spans="1:7" s="220" customFormat="1" ht="13.5" customHeight="1">
      <c r="A28" s="888" t="s">
        <v>791</v>
      </c>
      <c r="B28" s="254" t="s">
        <v>2203</v>
      </c>
      <c r="C28" s="255">
        <f ca="1">ROUND((C5+C19+C20)*F27,0)</f>
        <v>675374</v>
      </c>
      <c r="D28" s="241"/>
      <c r="E28" s="242"/>
      <c r="F28" s="252"/>
      <c r="G28" s="253"/>
    </row>
    <row r="29" spans="1:7" s="220" customFormat="1" ht="13.5" customHeight="1">
      <c r="A29" s="888" t="s">
        <v>792</v>
      </c>
      <c r="B29" s="254" t="s">
        <v>2204</v>
      </c>
      <c r="C29" s="244">
        <f ca="1">ROUND(C21*F27,4)</f>
        <v>4.0000000000000001E-3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4749235</v>
      </c>
      <c r="D31" s="236"/>
      <c r="E31" s="217"/>
      <c r="F31" s="256"/>
      <c r="G31" s="240" t="s">
        <v>2209</v>
      </c>
    </row>
    <row r="32" spans="1:7" s="214" customFormat="1" ht="15.75">
      <c r="A32" s="258" t="s">
        <v>2276</v>
      </c>
      <c r="B32" s="259"/>
      <c r="C32" s="259"/>
      <c r="D32" s="259"/>
      <c r="E32" s="259"/>
      <c r="F32" s="259"/>
      <c r="G32" s="260"/>
    </row>
    <row r="33" spans="1:7" s="220" customFormat="1" ht="13.5" customHeight="1">
      <c r="A33" s="261" t="s">
        <v>782</v>
      </c>
      <c r="B33" s="216" t="s">
        <v>2277</v>
      </c>
      <c r="C33" s="262">
        <f ca="1">SUM(C34:C38)</f>
        <v>27602595</v>
      </c>
      <c r="D33" s="238"/>
      <c r="E33" s="218"/>
      <c r="F33" s="247"/>
      <c r="G33" s="240"/>
    </row>
    <row r="34" spans="1:7" s="264" customFormat="1" ht="13.5" customHeight="1">
      <c r="A34" s="888" t="s">
        <v>791</v>
      </c>
      <c r="B34" s="221" t="s">
        <v>2212</v>
      </c>
      <c r="C34" s="226">
        <f ca="1">ROUND(IF(B1="",SUMPRODUCT('数据-取费表'!K6:K14,'数据-取费表'!L6:L14),INDIRECT("'数据-取费表'!l"&amp;$G$1)*INDIRECT("'数据-取费表'!k"&amp;$G$1)+'数据-取费表'!L14*INDIRECT("'数据-取费表'!S"&amp;$G$1)),0)</f>
        <v>24829920</v>
      </c>
      <c r="D34" s="223"/>
      <c r="E34" s="226"/>
      <c r="F34" s="263"/>
      <c r="G34" s="225"/>
    </row>
    <row r="35" spans="1:7" ht="13.5" customHeight="1">
      <c r="A35" s="888" t="s">
        <v>796</v>
      </c>
      <c r="B35" s="221" t="s">
        <v>2214</v>
      </c>
      <c r="C35" s="226">
        <f ca="1">ROUND(C34*F35,0)</f>
        <v>744898</v>
      </c>
      <c r="D35" s="226"/>
      <c r="E35" s="226"/>
      <c r="F35" s="265">
        <f>'数据-取费表'!B33</f>
        <v>0.03</v>
      </c>
      <c r="G35" s="225" t="s">
        <v>2215</v>
      </c>
    </row>
    <row r="36" spans="1:7" ht="24">
      <c r="A36" s="888" t="s">
        <v>797</v>
      </c>
      <c r="B36" s="221" t="s">
        <v>2216</v>
      </c>
      <c r="C36" s="226">
        <f ca="1">ROUND(IF(B1="",SUM('数据-取费表'!AP6:AP13)*F36,IF(INDIRECT("'数据-取费表'!c"&amp;$G$1)="住宅",INDIRECT("'数据-取费表'!k"&amp;$G$1)*INDIRECT("'数据-取费表'!l"&amp;$G$1)*F36,0)),0)</f>
        <v>0</v>
      </c>
      <c r="D36" s="226"/>
      <c r="E36" s="226"/>
      <c r="F36" s="265">
        <f>'数据-取费表'!B34</f>
        <v>0</v>
      </c>
      <c r="G36" s="266" t="s">
        <v>2217</v>
      </c>
    </row>
    <row r="37" spans="1:7" s="264" customFormat="1" ht="13.5" customHeight="1">
      <c r="A37" s="888" t="s">
        <v>798</v>
      </c>
      <c r="B37" s="221" t="s">
        <v>2218</v>
      </c>
      <c r="C37" s="255">
        <f ca="1">ROUND(E37*D37,0)</f>
        <v>1655328</v>
      </c>
      <c r="D37" s="223">
        <f ca="1">D19</f>
        <v>8276.64</v>
      </c>
      <c r="E37" s="255">
        <f>'数据-取费表'!B35</f>
        <v>200</v>
      </c>
      <c r="F37" s="265"/>
      <c r="G37" s="267"/>
    </row>
    <row r="38" spans="1:7" ht="13.5" customHeight="1">
      <c r="A38" s="888" t="s">
        <v>799</v>
      </c>
      <c r="B38" s="221" t="s">
        <v>2220</v>
      </c>
      <c r="C38" s="226">
        <f ca="1">ROUND(C34*F38,0)</f>
        <v>372449</v>
      </c>
      <c r="D38" s="226"/>
      <c r="E38" s="226"/>
      <c r="F38" s="265">
        <f>'数据-取费表'!B36</f>
        <v>1.4999999999999999E-2</v>
      </c>
      <c r="G38" s="225" t="s">
        <v>2215</v>
      </c>
    </row>
    <row r="39" spans="1:7" s="220" customFormat="1" ht="13.5" customHeight="1">
      <c r="A39" s="261" t="s">
        <v>2221</v>
      </c>
      <c r="B39" s="216" t="s">
        <v>2222</v>
      </c>
      <c r="C39" s="238">
        <f ca="1">ROUND(C33*F20,0)</f>
        <v>552052</v>
      </c>
      <c r="D39" s="238"/>
      <c r="E39" s="238"/>
      <c r="F39" s="2537">
        <f>F20</f>
        <v>0.02</v>
      </c>
      <c r="G39" s="240" t="s">
        <v>2223</v>
      </c>
    </row>
    <row r="40" spans="1:7" s="220" customFormat="1" ht="13.5" customHeight="1">
      <c r="A40" s="261" t="s">
        <v>2224</v>
      </c>
      <c r="B40" s="216" t="s">
        <v>2225</v>
      </c>
      <c r="C40" s="1497">
        <f>F21</f>
        <v>0.02</v>
      </c>
      <c r="D40" s="242" t="s">
        <v>2226</v>
      </c>
      <c r="E40" s="238"/>
      <c r="F40" s="2537">
        <f>F21</f>
        <v>0.02</v>
      </c>
      <c r="G40" s="240" t="s">
        <v>2227</v>
      </c>
    </row>
    <row r="41" spans="1:7" s="220" customFormat="1" ht="13.5" customHeight="1">
      <c r="A41" s="261" t="s">
        <v>2228</v>
      </c>
      <c r="B41" s="216" t="s">
        <v>2229</v>
      </c>
      <c r="C41" s="238">
        <f ca="1">ROUND(SUM(C42:C43),0)</f>
        <v>1337345</v>
      </c>
      <c r="D41" s="241">
        <f ca="1">C44</f>
        <v>1E-3</v>
      </c>
      <c r="E41" s="242" t="s">
        <v>2226</v>
      </c>
      <c r="F41" s="2538">
        <f ca="1">F22</f>
        <v>4.7500000000000001E-2</v>
      </c>
      <c r="G41" s="240" t="str">
        <f>IF('数据-取费表'!B22&lt;=1,"单利计息","复利计息")</f>
        <v>复利计息</v>
      </c>
    </row>
    <row r="42" spans="1:7" ht="13.5" customHeight="1">
      <c r="A42" s="888" t="s">
        <v>791</v>
      </c>
      <c r="B42" s="221" t="s">
        <v>2230</v>
      </c>
      <c r="C42" s="244">
        <f ca="1">ROUND(IF('数据-取费表'!B22&lt;=1,C33*F22*'数据-取费表'!B20/2,C33*(POWER((1+F22),'数据-取费表'!B20/2)-1)),0)</f>
        <v>1311123</v>
      </c>
      <c r="D42" s="244"/>
      <c r="E42" s="244"/>
      <c r="F42" s="245"/>
      <c r="G42" s="3235" t="s">
        <v>2278</v>
      </c>
    </row>
    <row r="43" spans="1:7" ht="13.5" customHeight="1">
      <c r="A43" s="888" t="s">
        <v>792</v>
      </c>
      <c r="B43" s="221" t="s">
        <v>2232</v>
      </c>
      <c r="C43" s="244">
        <f ca="1">ROUND(IF('数据-取费表'!B22&lt;=1,C39*F22*'数据-取费表'!B20/2,C39*(POWER((1+F22),'数据-取费表'!B20/2)-1)),0)</f>
        <v>26222</v>
      </c>
      <c r="D43" s="244"/>
      <c r="E43" s="244"/>
      <c r="F43" s="245"/>
      <c r="G43" s="3236"/>
    </row>
    <row r="44" spans="1:7" ht="13.5" customHeight="1">
      <c r="A44" s="888" t="s">
        <v>793</v>
      </c>
      <c r="B44" s="221" t="s">
        <v>2233</v>
      </c>
      <c r="C44" s="244">
        <f ca="1">ROUND(IF('数据-取费表'!B22&lt;=1,C40*F22*'数据-取费表'!B20/2,C40*(POWER((1+F22),'数据-取费表'!B20/2)-1)),4)</f>
        <v>1E-3</v>
      </c>
      <c r="D44" s="244"/>
      <c r="E44" s="244"/>
      <c r="F44" s="245"/>
      <c r="G44" s="3237"/>
    </row>
    <row r="45" spans="1:7" s="220" customFormat="1" ht="13.5" customHeight="1">
      <c r="A45" s="261" t="s">
        <v>2234</v>
      </c>
      <c r="B45" s="250" t="s">
        <v>2200</v>
      </c>
      <c r="C45" s="251">
        <f ca="1">C46</f>
        <v>5630929</v>
      </c>
      <c r="D45" s="241">
        <f ca="1">C47</f>
        <v>4.0000000000000001E-3</v>
      </c>
      <c r="E45" s="242" t="s">
        <v>2226</v>
      </c>
      <c r="F45" s="2539">
        <f ca="1">F27</f>
        <v>0.2</v>
      </c>
      <c r="G45" s="253" t="s">
        <v>2235</v>
      </c>
    </row>
    <row r="46" spans="1:7" s="220" customFormat="1" ht="13.5" customHeight="1">
      <c r="A46" s="888" t="s">
        <v>791</v>
      </c>
      <c r="B46" s="254" t="s">
        <v>2236</v>
      </c>
      <c r="C46" s="255">
        <f ca="1">ROUND((C33+C39)*F27,0)</f>
        <v>5630929</v>
      </c>
      <c r="D46" s="269"/>
      <c r="E46" s="242"/>
      <c r="F46" s="252"/>
      <c r="G46" s="253"/>
    </row>
    <row r="47" spans="1:7" s="220" customFormat="1" ht="13.5" customHeight="1">
      <c r="A47" s="888" t="s">
        <v>792</v>
      </c>
      <c r="B47" s="254" t="s">
        <v>2237</v>
      </c>
      <c r="C47" s="244">
        <f ca="1">ROUND(C40*F27,4)</f>
        <v>4.0000000000000001E-3</v>
      </c>
      <c r="D47" s="269"/>
      <c r="E47" s="242"/>
      <c r="F47" s="252"/>
      <c r="G47" s="253"/>
    </row>
    <row r="48" spans="1:7" s="220" customFormat="1" ht="13.5" customHeight="1">
      <c r="A48" s="261" t="s">
        <v>2199</v>
      </c>
      <c r="B48" s="216" t="s">
        <v>2238</v>
      </c>
      <c r="C48" s="268">
        <f>ROUND(F30/(1+'数据-取费表'!C42),4)</f>
        <v>5.33E-2</v>
      </c>
      <c r="D48" s="242" t="s">
        <v>2226</v>
      </c>
      <c r="E48" s="238"/>
      <c r="F48" s="2538">
        <f>F30</f>
        <v>5.6000000000000001E-2</v>
      </c>
      <c r="G48" s="240" t="s">
        <v>2239</v>
      </c>
    </row>
    <row r="49" spans="1:7" ht="16.5" customHeight="1">
      <c r="A49" s="261" t="s">
        <v>2205</v>
      </c>
      <c r="B49" s="216" t="s">
        <v>2279</v>
      </c>
      <c r="C49" s="238">
        <f ca="1">ROUND((C33+C39+C41+C45)/(1-C40-D41-D45-C48),0)</f>
        <v>38106674</v>
      </c>
      <c r="D49" s="238"/>
      <c r="E49" s="238"/>
      <c r="F49" s="270"/>
      <c r="G49" s="240" t="s">
        <v>2241</v>
      </c>
    </row>
    <row r="50" spans="1:7" s="264" customFormat="1">
      <c r="A50" s="261" t="s">
        <v>2242</v>
      </c>
      <c r="B50" s="216" t="s">
        <v>2243</v>
      </c>
      <c r="C50" s="238"/>
      <c r="D50" s="238"/>
      <c r="E50" s="238"/>
      <c r="F50" s="270">
        <f>IF('数据-取费表'!B24=0,'数据-取费表'!N16,1)</f>
        <v>0.72</v>
      </c>
      <c r="G50" s="253"/>
    </row>
    <row r="51" spans="1:7" ht="16.5" customHeight="1">
      <c r="A51" s="261" t="s">
        <v>2245</v>
      </c>
      <c r="B51" s="216" t="s">
        <v>2280</v>
      </c>
      <c r="C51" s="238">
        <f ca="1">ROUND(C49*F50,0)</f>
        <v>27436805</v>
      </c>
      <c r="D51" s="238"/>
      <c r="E51" s="238"/>
      <c r="F51" s="270"/>
      <c r="G51" s="240" t="s">
        <v>2247</v>
      </c>
    </row>
    <row r="52" spans="1:7" s="214" customFormat="1" ht="16.5" thickBot="1">
      <c r="A52" s="271" t="s">
        <v>2248</v>
      </c>
      <c r="B52" s="272"/>
      <c r="C52" s="273">
        <f ca="1">C31+C51</f>
        <v>32186040</v>
      </c>
      <c r="D52" s="272"/>
      <c r="E52" s="272"/>
      <c r="F52" s="272"/>
      <c r="G52" s="274"/>
    </row>
    <row r="55" spans="1:7" ht="15">
      <c r="B55" s="276" t="s">
        <v>2249</v>
      </c>
      <c r="C55" s="277"/>
    </row>
    <row r="56" spans="1:7">
      <c r="B56" s="279" t="s">
        <v>1478</v>
      </c>
      <c r="C56" s="281">
        <f ca="1">1-C57</f>
        <v>0.14800000000000002</v>
      </c>
    </row>
    <row r="57" spans="1:7">
      <c r="B57" s="279" t="s">
        <v>1479</v>
      </c>
      <c r="C57" s="280">
        <f ca="1">ROUND(C51/C52,3)</f>
        <v>0.85199999999999998</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U518" sqref="U51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2281</v>
      </c>
      <c r="B1" s="1353"/>
      <c r="C1" s="1354"/>
      <c r="D1" s="1352"/>
      <c r="E1" s="3039"/>
      <c r="F1" s="3039"/>
      <c r="G1" s="2902"/>
      <c r="H1" s="3039"/>
      <c r="I1" s="3039"/>
      <c r="J1" s="3039"/>
      <c r="K1" s="3040">
        <f>MATCH(C1,'数据-取费表'!A6:A16,0)+5</f>
        <v>7</v>
      </c>
    </row>
    <row r="2" spans="1:33" ht="18" customHeight="1">
      <c r="A2" s="207" t="s">
        <v>2149</v>
      </c>
      <c r="B2" s="210">
        <f ca="1">C32</f>
        <v>0</v>
      </c>
      <c r="C2" s="282" t="s">
        <v>2282</v>
      </c>
      <c r="D2" s="282"/>
      <c r="E2" s="3039"/>
      <c r="F2" s="3039"/>
      <c r="G2" s="3039"/>
      <c r="H2" s="3039"/>
      <c r="I2" s="3039"/>
      <c r="J2" s="3039"/>
      <c r="K2" s="3039"/>
    </row>
    <row r="3" spans="1:33" ht="18" customHeight="1" thickBot="1">
      <c r="A3" s="209" t="s">
        <v>2151</v>
      </c>
      <c r="B3" s="210">
        <f ca="1">ROUND(B2*10000/IF(C1="",'数据-汇总表'!E3,INDIRECT("'数据-取费表'!K"&amp;$K$1)),0)</f>
        <v>0</v>
      </c>
      <c r="C3" s="282" t="s">
        <v>2283</v>
      </c>
      <c r="D3" s="282"/>
      <c r="E3" s="3039"/>
      <c r="F3" s="3039"/>
      <c r="G3" s="3039"/>
      <c r="H3" s="3039"/>
      <c r="I3" s="3039"/>
      <c r="J3" s="3039"/>
      <c r="K3" s="3039"/>
    </row>
    <row r="4" spans="1:33" s="893" customFormat="1" ht="16.5" customHeight="1">
      <c r="A4" s="890" t="s">
        <v>2284</v>
      </c>
      <c r="B4" s="891"/>
      <c r="C4" s="933">
        <f>SUM(C8:K8)</f>
        <v>0</v>
      </c>
      <c r="D4" s="891"/>
      <c r="E4" s="891"/>
      <c r="F4" s="891"/>
      <c r="G4" s="891"/>
      <c r="H4" s="891"/>
      <c r="I4" s="891"/>
      <c r="J4" s="891"/>
      <c r="K4" s="892"/>
    </row>
    <row r="5" spans="1:33" s="897" customFormat="1" ht="24.75">
      <c r="A5" s="894" t="s">
        <v>2285</v>
      </c>
      <c r="B5" s="895" t="s">
        <v>2286</v>
      </c>
      <c r="C5" s="2048" t="s">
        <v>2287</v>
      </c>
      <c r="D5" s="2048" t="s">
        <v>2288</v>
      </c>
      <c r="E5" s="2048" t="s">
        <v>2289</v>
      </c>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2290</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2291</v>
      </c>
      <c r="B7" s="136" t="s">
        <v>2292</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9" t="s">
        <v>2293</v>
      </c>
      <c r="B8" s="169" t="s">
        <v>2294</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2295</v>
      </c>
      <c r="B9" s="891"/>
      <c r="C9" s="891"/>
      <c r="D9" s="891"/>
      <c r="E9" s="891"/>
      <c r="F9" s="891"/>
      <c r="G9" s="891"/>
      <c r="H9" s="891"/>
      <c r="I9" s="891"/>
      <c r="J9" s="891"/>
      <c r="K9" s="892"/>
    </row>
    <row r="10" spans="1:33" s="907" customFormat="1" ht="13.5" customHeight="1">
      <c r="A10" s="894" t="s">
        <v>2296</v>
      </c>
      <c r="B10" s="8" t="s">
        <v>2297</v>
      </c>
      <c r="C10" s="903" t="s">
        <v>2298</v>
      </c>
      <c r="D10" s="904" t="s">
        <v>2299</v>
      </c>
      <c r="E10" s="904" t="s">
        <v>2300</v>
      </c>
      <c r="F10" s="904" t="s">
        <v>2301</v>
      </c>
      <c r="G10" s="8"/>
      <c r="H10" s="905"/>
      <c r="I10" s="905"/>
      <c r="J10" s="905"/>
      <c r="K10" s="906"/>
    </row>
    <row r="11" spans="1:33" s="912" customFormat="1" ht="13.5" customHeight="1">
      <c r="A11" s="908" t="s">
        <v>1300</v>
      </c>
      <c r="B11" s="909" t="s">
        <v>2302</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2303</v>
      </c>
      <c r="C12" s="24">
        <f ca="1">ROUND(C11*F12,0)</f>
        <v>0</v>
      </c>
      <c r="D12" s="910"/>
      <c r="E12" s="335"/>
      <c r="F12" s="913">
        <f>'数据-取费表'!B33</f>
        <v>0.03</v>
      </c>
      <c r="G12" s="8" t="s">
        <v>2304</v>
      </c>
      <c r="H12" s="905"/>
      <c r="I12" s="905"/>
      <c r="J12" s="905"/>
      <c r="K12" s="906"/>
    </row>
    <row r="13" spans="1:33" s="912" customFormat="1" ht="13.5" customHeight="1">
      <c r="A13" s="908" t="s">
        <v>1302</v>
      </c>
      <c r="B13" s="909" t="s">
        <v>2305</v>
      </c>
      <c r="C13" s="24">
        <f ca="1">ROUND(IF(C1="",SUMIF('数据-取费表'!C:C,"住宅",'数据-取费表'!P:P)*F13,IF(INDIRECT("'数据-取费表'!c"&amp;$K$1)="住宅",INDIRECT("'数据-取费表'!P"&amp;$K$1)*F13,0)),0)</f>
        <v>0</v>
      </c>
      <c r="D13" s="955"/>
      <c r="E13" s="335"/>
      <c r="F13" s="913">
        <f>'数据-取费表'!B34</f>
        <v>0</v>
      </c>
      <c r="G13" s="8" t="s">
        <v>2306</v>
      </c>
      <c r="H13" s="905"/>
      <c r="I13" s="905"/>
      <c r="J13" s="905"/>
      <c r="K13" s="906"/>
    </row>
    <row r="14" spans="1:33" s="914" customFormat="1" ht="13.5" customHeight="1">
      <c r="A14" s="908" t="s">
        <v>1303</v>
      </c>
      <c r="B14" s="909" t="s">
        <v>2307</v>
      </c>
      <c r="C14" s="24">
        <f ca="1">ROUND(D14*E14*F11/10000,0)</f>
        <v>0</v>
      </c>
      <c r="D14" s="955">
        <f ca="1">IF(C1="",'数据-汇总表'!E3,INDIRECT("'数据-取费表'!K"&amp;$K$1)+INDIRECT("'数据-取费表'!S"&amp;$K$1))</f>
        <v>8276.64</v>
      </c>
      <c r="E14" s="24">
        <f>'数据-取费表'!B35</f>
        <v>200</v>
      </c>
      <c r="F14" s="913"/>
      <c r="G14" s="8" t="s">
        <v>2308</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2309</v>
      </c>
      <c r="C15" s="920">
        <f ca="1">ROUND(C11*F15,0)</f>
        <v>0</v>
      </c>
      <c r="D15" s="915"/>
      <c r="E15" s="920"/>
      <c r="F15" s="921">
        <f>'数据-取费表'!B36</f>
        <v>1.4999999999999999E-2</v>
      </c>
      <c r="G15" s="136" t="s">
        <v>2310</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2311</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2312</v>
      </c>
      <c r="C17" s="24">
        <f ca="1">ROUND(D17*E17/10000,0)</f>
        <v>0</v>
      </c>
      <c r="D17" s="955">
        <f ca="1">D14</f>
        <v>8276.64</v>
      </c>
      <c r="E17" s="24">
        <f>'数据-取费表'!B32</f>
        <v>0</v>
      </c>
      <c r="F17" s="915"/>
      <c r="G17" s="136" t="s">
        <v>2313</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2314</v>
      </c>
      <c r="C18" s="24">
        <f ca="1">C19+C20-IF(C1="",'数据-取费表'!B29,IF(G18="已全部缴纳",C19+C20,H18))</f>
        <v>0</v>
      </c>
      <c r="D18" s="955"/>
      <c r="E18" s="24"/>
      <c r="F18" s="913"/>
      <c r="G18" s="2050"/>
      <c r="H18" s="1349"/>
      <c r="I18" s="2051" t="s">
        <v>2315</v>
      </c>
      <c r="J18" s="916"/>
      <c r="K18" s="917"/>
    </row>
    <row r="19" spans="1:33" s="912" customFormat="1" ht="13.5" customHeight="1">
      <c r="A19" s="908" t="s">
        <v>805</v>
      </c>
      <c r="B19" s="909" t="s">
        <v>2316</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2317</v>
      </c>
      <c r="C20" s="24">
        <f ca="1">ROUND(D20*E20/10000,0)</f>
        <v>166</v>
      </c>
      <c r="D20" s="955">
        <f ca="1">IF(C1="",'数据-汇总表'!E6,IF(INDIRECT("'数据-取费表'!c"&amp;$K$1)="住宅",INDIRECT("'数据-取费表'!s"&amp;$K$1),INDIRECT("'数据-取费表'!k"&amp;$K$1)+INDIRECT("'数据-取费表'!s"&amp;$K$1)))</f>
        <v>8276.64</v>
      </c>
      <c r="E20" s="24">
        <f>'数据-取费表'!B28</f>
        <v>200</v>
      </c>
      <c r="F20" s="913"/>
      <c r="G20" s="15"/>
      <c r="H20" s="918"/>
      <c r="I20" s="918"/>
      <c r="J20" s="918"/>
      <c r="K20" s="919"/>
    </row>
    <row r="21" spans="1:33" s="912" customFormat="1" ht="13.5" customHeight="1">
      <c r="A21" s="898" t="s">
        <v>802</v>
      </c>
      <c r="B21" s="922" t="s">
        <v>2318</v>
      </c>
      <c r="C21" s="923">
        <f ca="1">C16+C17+C18</f>
        <v>0</v>
      </c>
      <c r="D21" s="924"/>
      <c r="E21" s="287"/>
      <c r="F21" s="287"/>
      <c r="G21" s="136" t="s">
        <v>2319</v>
      </c>
      <c r="H21" s="916"/>
      <c r="I21" s="916"/>
      <c r="J21" s="916"/>
      <c r="K21" s="917"/>
    </row>
    <row r="22" spans="1:33" s="912" customFormat="1" ht="13.5" customHeight="1">
      <c r="A22" s="898" t="s">
        <v>2291</v>
      </c>
      <c r="B22" s="922" t="s">
        <v>2320</v>
      </c>
      <c r="C22" s="923">
        <f ca="1">ROUND(C21*F22,0)</f>
        <v>0</v>
      </c>
      <c r="D22" s="287"/>
      <c r="E22" s="287"/>
      <c r="F22" s="925">
        <f>'数据-取费表'!B37</f>
        <v>0.02</v>
      </c>
      <c r="G22" s="8" t="s">
        <v>2321</v>
      </c>
      <c r="H22" s="905"/>
      <c r="I22" s="905"/>
      <c r="J22" s="905"/>
      <c r="K22" s="906"/>
    </row>
    <row r="23" spans="1:33" s="912" customFormat="1" ht="13.5" customHeight="1">
      <c r="A23" s="898" t="s">
        <v>2293</v>
      </c>
      <c r="B23" s="922" t="s">
        <v>2322</v>
      </c>
      <c r="C23" s="923">
        <f ca="1">ROUND(C4*F23*F11,0)</f>
        <v>0</v>
      </c>
      <c r="D23" s="287"/>
      <c r="E23" s="287"/>
      <c r="F23" s="925">
        <f>'数据-取费表'!B38</f>
        <v>0.02</v>
      </c>
      <c r="G23" s="8" t="s">
        <v>2323</v>
      </c>
      <c r="H23" s="905"/>
      <c r="I23" s="905"/>
      <c r="J23" s="905"/>
      <c r="K23" s="906"/>
    </row>
    <row r="24" spans="1:33" s="912" customFormat="1" ht="13.5" customHeight="1">
      <c r="A24" s="898" t="s">
        <v>2324</v>
      </c>
      <c r="B24" s="922" t="s">
        <v>2325</v>
      </c>
      <c r="C24" s="286">
        <f>ROUND(F24/(1+'数据-取费表'!C42),4)</f>
        <v>2.9000000000000001E-2</v>
      </c>
      <c r="D24" s="287" t="s">
        <v>15</v>
      </c>
      <c r="E24" s="287"/>
      <c r="F24" s="925">
        <f>IF(项目基本情况!B8="出让",0,'数据-取费表'!B48+'数据-取费表'!B49)</f>
        <v>3.0499999999999999E-2</v>
      </c>
      <c r="G24" s="8" t="s">
        <v>2326</v>
      </c>
      <c r="H24" s="927"/>
      <c r="I24" s="927"/>
      <c r="J24" s="927"/>
      <c r="K24" s="928"/>
    </row>
    <row r="25" spans="1:33" s="912" customFormat="1" ht="13.5" customHeight="1">
      <c r="A25" s="898" t="s">
        <v>2327</v>
      </c>
      <c r="B25" s="924" t="s">
        <v>2328</v>
      </c>
      <c r="C25" s="1266">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2329</v>
      </c>
      <c r="C26" s="1267">
        <f ca="1">ROUND(IF('数据-取费表'!B22&lt;=1,(1+C24)*F25*'数据-取费表'!B24,(1+C24)*(POWER((1+F25),'数据-取费表'!B24)-1)),4)</f>
        <v>0</v>
      </c>
      <c r="D26" s="290"/>
      <c r="E26" s="291"/>
      <c r="F26" s="292"/>
      <c r="G26" s="2052"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2330</v>
      </c>
      <c r="C27" s="1268">
        <f ca="1">ROUND(IF('数据-取费表'!B22&lt;=1,(C21+C22+C23)*F25*'数据-取费表'!B24/2,(C21+C22+C23)*(POWER((1+F25),'数据-取费表'!B24/2)-1)),0)</f>
        <v>0</v>
      </c>
      <c r="D27" s="290"/>
      <c r="E27" s="291"/>
      <c r="F27" s="292"/>
      <c r="G27" s="2052" t="str">
        <f>IF('数据-取费表'!B22&lt;=1,"（1）-（3）项×年利率×建设期÷2","（1）-（3）项×((1+年利率)^(建设期÷2)-1)")</f>
        <v>（1）-（3）项×((1+年利率)^(建设期÷2)-1)</v>
      </c>
      <c r="H27" s="916"/>
      <c r="I27" s="916"/>
      <c r="J27" s="916"/>
      <c r="K27" s="917"/>
    </row>
    <row r="28" spans="1:33" s="295" customFormat="1" ht="13.5" customHeight="1">
      <c r="A28" s="898" t="s">
        <v>2331</v>
      </c>
      <c r="B28" s="2053" t="s">
        <v>2332</v>
      </c>
      <c r="C28" s="293">
        <f ca="1">C30</f>
        <v>0</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2333</v>
      </c>
      <c r="C29" s="290">
        <f ca="1">ROUND((1+C24)*F28*'数据-取费表'!B24/'数据-取费表'!B20,4)</f>
        <v>0</v>
      </c>
      <c r="D29" s="290"/>
      <c r="E29" s="291"/>
      <c r="F29" s="296"/>
      <c r="G29" s="136" t="s">
        <v>2334</v>
      </c>
      <c r="H29" s="916"/>
      <c r="I29" s="916"/>
      <c r="J29" s="916"/>
      <c r="K29" s="917"/>
    </row>
    <row r="30" spans="1:33" s="297" customFormat="1" ht="13.5" customHeight="1">
      <c r="A30" s="908" t="s">
        <v>804</v>
      </c>
      <c r="B30" s="931" t="s">
        <v>2335</v>
      </c>
      <c r="C30" s="298">
        <f ca="1">ROUND((C21+C22+C23)*F28,0)</f>
        <v>0</v>
      </c>
      <c r="D30" s="290"/>
      <c r="E30" s="291"/>
      <c r="F30" s="296"/>
      <c r="G30" s="136"/>
      <c r="H30" s="916"/>
      <c r="I30" s="916"/>
      <c r="J30" s="916"/>
      <c r="K30" s="917"/>
    </row>
    <row r="31" spans="1:33" s="912" customFormat="1" ht="13.5" customHeight="1" thickBot="1">
      <c r="A31" s="2054" t="s">
        <v>2336</v>
      </c>
      <c r="B31" s="942" t="s">
        <v>2337</v>
      </c>
      <c r="C31" s="943">
        <f>ROUND(C4*F31/(1+'数据-取费表'!C42),0)</f>
        <v>0</v>
      </c>
      <c r="D31" s="944"/>
      <c r="E31" s="945"/>
      <c r="F31" s="946">
        <f>'数据-取费表'!B41</f>
        <v>5.6000000000000001E-2</v>
      </c>
      <c r="G31" s="947" t="s">
        <v>2338</v>
      </c>
      <c r="H31" s="948"/>
      <c r="I31" s="948"/>
      <c r="J31" s="948"/>
      <c r="K31" s="949"/>
    </row>
    <row r="32" spans="1:33" s="907" customFormat="1" ht="13.5" customHeight="1" thickBot="1">
      <c r="A32" s="937" t="s">
        <v>2339</v>
      </c>
      <c r="B32" s="938"/>
      <c r="C32" s="939">
        <f ca="1">ROUND((C4-C21-C22-C23-C25-C28-C31)/(1+C24+D25+D28),0)</f>
        <v>0</v>
      </c>
      <c r="D32" s="938"/>
      <c r="E32" s="938"/>
      <c r="F32" s="938"/>
      <c r="G32" s="940" t="s">
        <v>2340</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J56" sqref="J5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t="s">
        <v>27</v>
      </c>
      <c r="D1" s="1548" t="s">
        <v>70</v>
      </c>
      <c r="E1" s="1549" t="s">
        <v>1352</v>
      </c>
      <c r="F1" s="1193">
        <f ca="1">J53</f>
        <v>30.83</v>
      </c>
      <c r="G1" s="1564">
        <f>MATCH(C1,'数据-取费表'!A6:A16,0)+5</f>
        <v>6</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18556</v>
      </c>
      <c r="C2" s="1573" t="s">
        <v>1481</v>
      </c>
      <c r="D2" s="1573"/>
      <c r="E2" s="1574"/>
      <c r="F2" s="1575"/>
      <c r="G2" s="2937"/>
      <c r="H2" s="2926"/>
      <c r="I2" s="2926"/>
      <c r="J2" s="2926"/>
      <c r="K2" s="2927"/>
      <c r="L2" s="2926"/>
      <c r="M2" s="2926"/>
    </row>
    <row r="3" spans="1:37" ht="18" customHeight="1" thickBot="1">
      <c r="A3" s="1576" t="s">
        <v>1482</v>
      </c>
      <c r="B3" s="1577">
        <f ca="1">IF(ISERROR(B2*10000/F43),0,ROUND(B2*10000/F43,0))</f>
        <v>22420</v>
      </c>
      <c r="C3" s="1573" t="s">
        <v>1483</v>
      </c>
      <c r="D3" s="1573"/>
      <c r="E3" s="1574"/>
      <c r="F3" s="1575"/>
      <c r="G3" s="2937"/>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1235</v>
      </c>
      <c r="D5" s="1550" t="s">
        <v>1367</v>
      </c>
      <c r="E5" s="1203"/>
      <c r="F5" s="1204"/>
      <c r="G5" s="1570"/>
      <c r="H5" s="305">
        <v>1</v>
      </c>
      <c r="I5" s="306" t="s">
        <v>1366</v>
      </c>
      <c r="J5" s="1202">
        <f ca="1">J6+J10+J12</f>
        <v>0</v>
      </c>
      <c r="K5" s="1550" t="s">
        <v>1367</v>
      </c>
      <c r="L5" s="1203"/>
      <c r="M5" s="1204"/>
    </row>
    <row r="6" spans="1:37" ht="18" customHeight="1">
      <c r="A6" s="1201" t="s">
        <v>1003</v>
      </c>
      <c r="B6" s="3240" t="s">
        <v>1368</v>
      </c>
      <c r="C6" s="1206">
        <f ca="1">ROUND(F6*F8*F7*(1-F9)/10000,0)</f>
        <v>1233</v>
      </c>
      <c r="D6" s="160" t="s">
        <v>2851</v>
      </c>
      <c r="E6" s="308" t="s">
        <v>1370</v>
      </c>
      <c r="F6" s="309">
        <f ca="1">INDIRECT("'数据-取费表'!u"&amp;$G$1)</f>
        <v>4.8</v>
      </c>
      <c r="G6" s="1570"/>
      <c r="H6" s="1201" t="s">
        <v>1003</v>
      </c>
      <c r="I6" s="3240" t="s">
        <v>1368</v>
      </c>
      <c r="J6" s="307">
        <f ca="1">ROUND(M6*M8*M7*(1-M9)/10000,0)</f>
        <v>0</v>
      </c>
      <c r="K6" s="160" t="s">
        <v>2850</v>
      </c>
      <c r="L6" s="308" t="s">
        <v>1370</v>
      </c>
      <c r="M6" s="309">
        <f ca="1">INDIRECT("'数据-取费表'!z"&amp;$G$1)</f>
        <v>0</v>
      </c>
    </row>
    <row r="7" spans="1:37" ht="18" customHeight="1">
      <c r="A7" s="1205"/>
      <c r="B7" s="3241"/>
      <c r="C7" s="1207"/>
      <c r="D7" s="313"/>
      <c r="E7" s="1208" t="s">
        <v>1371</v>
      </c>
      <c r="F7" s="309">
        <f ca="1">IF(INDIRECT("'数据-取费表'!ah"&amp;$G$1)="",INDIRECT("'数据-取费表'!k"&amp;$G$1),INDIRECT("'数据-取费表'!ah"&amp;$G$1))</f>
        <v>8276.64</v>
      </c>
      <c r="G7" s="1570"/>
      <c r="H7" s="310"/>
      <c r="I7" s="3241"/>
      <c r="J7" s="312"/>
      <c r="K7" s="313"/>
      <c r="L7" s="308" t="s">
        <v>1371</v>
      </c>
      <c r="M7" s="309">
        <f ca="1">F7</f>
        <v>8276.64</v>
      </c>
    </row>
    <row r="8" spans="1:37" ht="18" customHeight="1">
      <c r="A8" s="310"/>
      <c r="B8" s="3241"/>
      <c r="C8" s="312"/>
      <c r="D8" s="313"/>
      <c r="E8" s="308" t="s">
        <v>1372</v>
      </c>
      <c r="F8" s="309">
        <f ca="1">INDIRECT("'数据-取费表'!ai"&amp;$G$1)</f>
        <v>365</v>
      </c>
      <c r="G8" s="1570"/>
      <c r="H8" s="310"/>
      <c r="I8" s="3241"/>
      <c r="J8" s="312"/>
      <c r="K8" s="313"/>
      <c r="L8" s="308" t="s">
        <v>1372</v>
      </c>
      <c r="M8" s="309">
        <f ca="1">INDIRECT("'数据-取费表'!ai"&amp;$G$1)</f>
        <v>365</v>
      </c>
    </row>
    <row r="9" spans="1:37" ht="18" customHeight="1">
      <c r="A9" s="310"/>
      <c r="B9" s="3242"/>
      <c r="C9" s="312"/>
      <c r="D9" s="313"/>
      <c r="E9" s="308" t="s">
        <v>1373</v>
      </c>
      <c r="F9" s="318">
        <f ca="1">INDIRECT("'数据-取费表'!w"&amp;$G$1)</f>
        <v>0.15</v>
      </c>
      <c r="G9" s="1570"/>
      <c r="H9" s="310"/>
      <c r="I9" s="3242"/>
      <c r="J9" s="312"/>
      <c r="K9" s="313"/>
      <c r="L9" s="319" t="s">
        <v>1373</v>
      </c>
      <c r="M9" s="320">
        <f ca="1">INDIRECT("'数据-取费表'!ab"&amp;$G$1)</f>
        <v>0</v>
      </c>
    </row>
    <row r="10" spans="1:37" ht="18" customHeight="1">
      <c r="A10" s="1201" t="s">
        <v>1007</v>
      </c>
      <c r="B10" s="1551" t="s">
        <v>1374</v>
      </c>
      <c r="C10" s="322">
        <f ca="1">ROUND(IF(F10="押一",C6/12*F11,IF(F10="押二",C6/12*2*F11,IF(F10="押三",C6/12*3*F11,C11*F11))),0)</f>
        <v>2</v>
      </c>
      <c r="D10" s="1552" t="s">
        <v>2859</v>
      </c>
      <c r="E10" s="319" t="s">
        <v>1375</v>
      </c>
      <c r="F10" s="1276" t="s">
        <v>3092</v>
      </c>
      <c r="G10" s="1570"/>
      <c r="H10" s="1201" t="s">
        <v>1007</v>
      </c>
      <c r="I10" s="1551" t="s">
        <v>1374</v>
      </c>
      <c r="J10" s="307">
        <f ca="1">ROUND(IF(M10="押一",J6/12*M11,IF(M10="押二",J6/12*2*M11,IF(M10="押三",J6/12*3*M11,J11*M11))),0)</f>
        <v>0</v>
      </c>
      <c r="K10" s="1552" t="s">
        <v>2858</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2743</v>
      </c>
      <c r="D13" s="1241" t="s">
        <v>1380</v>
      </c>
      <c r="E13" s="1241" t="s">
        <v>1381</v>
      </c>
      <c r="F13" s="1242">
        <f ca="1">INDIRECT("'数据-取费表'!y"&amp;$G$1)</f>
        <v>0.72</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2483</v>
      </c>
      <c r="D14" s="1531" t="s">
        <v>1383</v>
      </c>
      <c r="E14" s="1528"/>
      <c r="F14" s="325"/>
      <c r="G14" s="1570"/>
      <c r="H14" s="1113" t="s">
        <v>1003</v>
      </c>
      <c r="I14" s="308" t="s">
        <v>1384</v>
      </c>
      <c r="J14" s="24">
        <f ca="1">C29</f>
        <v>3810</v>
      </c>
      <c r="K14" s="15"/>
      <c r="L14" s="916"/>
      <c r="M14" s="917"/>
    </row>
    <row r="15" spans="1:37" s="1583" customFormat="1" ht="18" customHeight="1" thickBot="1">
      <c r="A15" s="1113" t="s">
        <v>1004</v>
      </c>
      <c r="B15" s="308" t="s">
        <v>1385</v>
      </c>
      <c r="C15" s="24">
        <f ca="1">ROUND(C14*F15,0)</f>
        <v>74</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91</v>
      </c>
      <c r="K16" s="1247" t="s">
        <v>1390</v>
      </c>
      <c r="L16" s="1248"/>
      <c r="M16" s="1204"/>
    </row>
    <row r="17" spans="1:37" s="1583" customFormat="1" ht="18" customHeight="1">
      <c r="A17" s="1113" t="s">
        <v>1355</v>
      </c>
      <c r="B17" s="308" t="s">
        <v>1391</v>
      </c>
      <c r="C17" s="24">
        <f ca="1">ROUND(F17*(F43+INDIRECT("'数据-取费表'!S"&amp;$G$1))/10000,0)</f>
        <v>166</v>
      </c>
      <c r="D17" s="308" t="s">
        <v>1392</v>
      </c>
      <c r="E17" s="308" t="s">
        <v>1393</v>
      </c>
      <c r="F17" s="26">
        <f>'数据-取费表'!B35</f>
        <v>200</v>
      </c>
      <c r="G17" s="1582"/>
      <c r="H17" s="1113" t="s">
        <v>1003</v>
      </c>
      <c r="I17" s="308" t="s">
        <v>1394</v>
      </c>
      <c r="J17" s="2536">
        <f ca="1">ROUND(IF(AND(项目基本情况!B11="自然人",项目基本情况!B10="北京市"),J6*M17/(1+'数据-取费表'!C42),J18+J19+J20),0)</f>
        <v>34</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37</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2760</v>
      </c>
      <c r="D19" s="136" t="s">
        <v>1401</v>
      </c>
      <c r="E19" s="1546"/>
      <c r="F19" s="26"/>
      <c r="G19" s="1570"/>
      <c r="H19" s="1113" t="s">
        <v>1004</v>
      </c>
      <c r="I19" s="308" t="s">
        <v>1402</v>
      </c>
      <c r="J19" s="24">
        <f ca="1">IF(K19="按租金收入计税",ROUND(J6*M19/(1+'数据-取费表'!C42),2),ROUND(C29*M19*0.7,2))</f>
        <v>32</v>
      </c>
      <c r="K19" s="1556" t="s">
        <v>1403</v>
      </c>
      <c r="L19" s="308" t="s">
        <v>1387</v>
      </c>
      <c r="M19" s="328">
        <f>IF(K19="按租金收入计税",'数据-取费表'!B51,'数据-取费表'!B50)</f>
        <v>1.2E-2</v>
      </c>
    </row>
    <row r="20" spans="1:37" s="1583" customFormat="1" ht="18" customHeight="1">
      <c r="A20" s="1113" t="s">
        <v>1007</v>
      </c>
      <c r="B20" s="308" t="s">
        <v>1404</v>
      </c>
      <c r="C20" s="24">
        <f ca="1">ROUND(C19*F20,0)</f>
        <v>55</v>
      </c>
      <c r="D20" s="329" t="s">
        <v>1405</v>
      </c>
      <c r="E20" s="308" t="s">
        <v>1387</v>
      </c>
      <c r="F20" s="328">
        <f>'数据-取费表'!B37</f>
        <v>0.02</v>
      </c>
      <c r="G20" s="1582"/>
      <c r="H20" s="1113" t="s">
        <v>1354</v>
      </c>
      <c r="I20" s="160" t="s">
        <v>1406</v>
      </c>
      <c r="J20" s="25">
        <f ca="1">ROUND(M20*M21/10000,2)</f>
        <v>2.23</v>
      </c>
      <c r="K20" s="330" t="s">
        <v>1407</v>
      </c>
      <c r="L20" s="308" t="s">
        <v>1408</v>
      </c>
      <c r="M20" s="331">
        <f>'数据-取费表'!B52</f>
        <v>24</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18</v>
      </c>
      <c r="D21" s="329" t="s">
        <v>1410</v>
      </c>
      <c r="E21" s="308" t="s">
        <v>1411</v>
      </c>
      <c r="F21" s="328">
        <f>'数据-取费表'!B38</f>
        <v>0.02</v>
      </c>
      <c r="G21" s="1582"/>
      <c r="H21" s="332"/>
      <c r="I21" s="317"/>
      <c r="J21" s="29"/>
      <c r="K21" s="333"/>
      <c r="L21" s="308" t="s">
        <v>1412</v>
      </c>
      <c r="M21" s="309">
        <f ca="1">INDIRECT("'数据-取费表'!r"&amp;$G$1)</f>
        <v>927.85</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ROUND(J14*M22,1)</f>
        <v>57.2</v>
      </c>
      <c r="K22" s="1530" t="s">
        <v>1415</v>
      </c>
      <c r="L22" s="308" t="s">
        <v>1387</v>
      </c>
      <c r="M22" s="334">
        <f ca="1">INDIRECT("'数据-取费表'!Ak"&amp;$G$1)</f>
        <v>1.4999999999999999E-2</v>
      </c>
    </row>
    <row r="23" spans="1:37" s="1583" customFormat="1" ht="18" customHeight="1">
      <c r="A23" s="1113" t="s">
        <v>1002</v>
      </c>
      <c r="B23" s="308" t="s">
        <v>1416</v>
      </c>
      <c r="C23" s="24">
        <f ca="1">IF('数据-取费表'!B22&lt;=1,ROUND(C19*F24*F23/2,0)+ROUND(C20*F24*F23/2,0),ROUND(C19*(POWER((1+F24),F23/2)-1),0)+ROUND(C20*(POWER((1+F24),F23/2)-1),0))</f>
        <v>134</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ROUND(J13*M23,1)</f>
        <v>0</v>
      </c>
      <c r="K23" s="1530" t="s">
        <v>1419</v>
      </c>
      <c r="L23" s="308" t="s">
        <v>1420</v>
      </c>
      <c r="M23" s="336">
        <f ca="1">INDIRECT("'数据-取费表'!Al"&amp;$G$1)</f>
        <v>2E-3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ROUND(J5*M24,1)</f>
        <v>0</v>
      </c>
      <c r="K24" s="1252" t="s">
        <v>1424</v>
      </c>
      <c r="L24" s="1250" t="s">
        <v>1420</v>
      </c>
      <c r="M24" s="1246">
        <f ca="1">INDIRECT("'数据-取费表'!Am"&amp;$G$1)</f>
        <v>1.4999999999999999E-2</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1546"/>
      <c r="F25" s="26"/>
      <c r="G25" s="1570"/>
      <c r="H25" s="1239" t="s">
        <v>999</v>
      </c>
      <c r="I25" s="1254" t="s">
        <v>1428</v>
      </c>
      <c r="J25" s="316">
        <f ca="1">J5-J16</f>
        <v>-91</v>
      </c>
      <c r="K25" s="1255" t="s">
        <v>1429</v>
      </c>
      <c r="L25" s="1256"/>
      <c r="M25" s="1257"/>
    </row>
    <row r="26" spans="1:37">
      <c r="A26" s="1113" t="s">
        <v>1002</v>
      </c>
      <c r="B26" s="308" t="s">
        <v>1430</v>
      </c>
      <c r="C26" s="24">
        <f ca="1">ROUND((C19+C20)*F26,0)</f>
        <v>563</v>
      </c>
      <c r="D26" s="329" t="s">
        <v>1431</v>
      </c>
      <c r="E26" s="319" t="s">
        <v>1432</v>
      </c>
      <c r="F26" s="318">
        <f ca="1">INDIRECT("'数据-取费表'!q"&amp;$G$1)</f>
        <v>0.2</v>
      </c>
      <c r="G26" s="1570"/>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4.0000000000000001E-3</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3810</v>
      </c>
      <c r="D29" s="1252"/>
      <c r="E29" s="1250"/>
      <c r="F29" s="1253"/>
      <c r="G29" s="1582"/>
      <c r="H29" s="340" t="s">
        <v>1001</v>
      </c>
      <c r="I29" s="341" t="s">
        <v>1444</v>
      </c>
      <c r="J29" s="342">
        <f ca="1">ROUND(J26/(1+F40)^F41,0)</f>
        <v>0</v>
      </c>
      <c r="K29" s="343" t="s">
        <v>1445</v>
      </c>
      <c r="L29" s="344"/>
      <c r="M29" s="345">
        <f ca="1">INDIRECT("'数据-取费表'!k"&amp;$G$1)</f>
        <v>8276.64</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290</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209</v>
      </c>
      <c r="D31" s="1531" t="s">
        <v>1395</v>
      </c>
      <c r="E31" s="1530" t="s">
        <v>1446</v>
      </c>
      <c r="F31" s="2535" t="str">
        <f>IF(项目基本情况!B11="企业","——",IF('数据-取费表'!B10="住宅",IF(F6*F7*F8/12/(1+'数据-取费表'!F30)&gt;100000,4%,2.5%),IF(F6*F7*F8/12/(1+'数据-取费表'!F30)&gt;100000,12%,7%)))</f>
        <v>——</v>
      </c>
      <c r="G31" s="1570"/>
      <c r="H31" s="3041" t="s">
        <v>3060</v>
      </c>
      <c r="I31" s="1584"/>
      <c r="J31" s="1585"/>
      <c r="K31" s="2703"/>
      <c r="L31" s="2929"/>
      <c r="M31" s="2930"/>
    </row>
    <row r="32" spans="1:37" ht="18" customHeight="1">
      <c r="A32" s="1113" t="s">
        <v>1002</v>
      </c>
      <c r="B32" s="308" t="s">
        <v>1398</v>
      </c>
      <c r="C32" s="24">
        <f ca="1">IF(项目基本情况!B11="自然人","——",ROUND(C6*F32/(1+'数据-取费表'!C42),2))</f>
        <v>65.760000000000005</v>
      </c>
      <c r="D32" s="1530" t="s">
        <v>1399</v>
      </c>
      <c r="E32" s="308" t="s">
        <v>1387</v>
      </c>
      <c r="F32" s="337">
        <f>'数据-取费表'!B41</f>
        <v>5.6000000000000001E-2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IF(项目基本情况!B11="自然人","——",IF(D33="按租金收入计税",ROUND(C6*F33/(1+'数据-取费表'!C42),2),IF(D33="按房产原值计税",ROUND(C29*F33*0.7,2),INDIRECT("'数据-取费表'!Aj"&amp;$G$1))))</f>
        <v>140.91</v>
      </c>
      <c r="D33" s="1556" t="s">
        <v>3093</v>
      </c>
      <c r="E33" s="308" t="s">
        <v>1387</v>
      </c>
      <c r="F33" s="328">
        <f>IF(D33="按票据","——",IF(D33="按租金收入计税",'数据-取费表'!B51,'数据-取费表'!B50))</f>
        <v>0.12</v>
      </c>
      <c r="G33" s="1570"/>
      <c r="H33" s="2931"/>
      <c r="I33" s="1584"/>
      <c r="J33" s="1585"/>
      <c r="K33" s="2932"/>
      <c r="L33" s="2931"/>
      <c r="M33" s="2931"/>
    </row>
    <row r="34" spans="1:18" ht="18" customHeight="1">
      <c r="A34" s="1201" t="s">
        <v>1354</v>
      </c>
      <c r="B34" s="160" t="s">
        <v>1406</v>
      </c>
      <c r="C34" s="25">
        <f ca="1">IF(项目基本情况!B11="自然人","——",ROUND(F34*F35/10000,2))</f>
        <v>2.23</v>
      </c>
      <c r="D34" s="330" t="s">
        <v>1407</v>
      </c>
      <c r="E34" s="308" t="s">
        <v>1408</v>
      </c>
      <c r="F34" s="331">
        <f>'数据-取费表'!B52</f>
        <v>24</v>
      </c>
      <c r="G34" s="1570"/>
      <c r="H34" s="2928"/>
      <c r="I34" s="1584"/>
      <c r="J34" s="1585"/>
      <c r="K34" s="2933"/>
      <c r="L34" s="2934"/>
      <c r="M34" s="2934"/>
    </row>
    <row r="35" spans="1:18" ht="18" customHeight="1">
      <c r="A35" s="1263"/>
      <c r="B35" s="1261"/>
      <c r="C35" s="29"/>
      <c r="D35" s="333"/>
      <c r="E35" s="308" t="s">
        <v>1412</v>
      </c>
      <c r="F35" s="309">
        <f ca="1">INDIRECT("'数据-取费表'!r"&amp;$G$1)</f>
        <v>927.85</v>
      </c>
      <c r="G35" s="1570"/>
      <c r="H35" s="2928"/>
      <c r="I35" s="1584"/>
      <c r="J35" s="1585"/>
      <c r="K35" s="2932"/>
      <c r="L35" s="2931"/>
      <c r="M35" s="2931"/>
    </row>
    <row r="36" spans="1:18" ht="18" customHeight="1">
      <c r="A36" s="1262" t="s">
        <v>1007</v>
      </c>
      <c r="B36" s="308" t="s">
        <v>1414</v>
      </c>
      <c r="C36" s="24">
        <f ca="1">ROUND(C29*F36,1)</f>
        <v>57.2</v>
      </c>
      <c r="D36" s="1530" t="s">
        <v>1447</v>
      </c>
      <c r="E36" s="308" t="s">
        <v>1387</v>
      </c>
      <c r="F36" s="334">
        <f ca="1">INDIRECT("'数据-取费表'!Ak"&amp;$G$1)</f>
        <v>1.4999999999999999E-2</v>
      </c>
      <c r="G36" s="1570"/>
      <c r="H36" s="2931"/>
      <c r="I36" s="1584"/>
      <c r="J36" s="1585"/>
      <c r="K36" s="2772"/>
      <c r="L36" s="2931"/>
      <c r="M36" s="2931"/>
    </row>
    <row r="37" spans="1:18" ht="18" customHeight="1">
      <c r="A37" s="1113" t="s">
        <v>1043</v>
      </c>
      <c r="B37" s="308" t="s">
        <v>1418</v>
      </c>
      <c r="C37" s="24">
        <f ca="1">ROUND(C13*F37,1)</f>
        <v>5.5</v>
      </c>
      <c r="D37" s="1530" t="s">
        <v>1419</v>
      </c>
      <c r="E37" s="308" t="s">
        <v>1420</v>
      </c>
      <c r="F37" s="336">
        <f ca="1">INDIRECT("'数据-取费表'!Al"&amp;$G$1)</f>
        <v>2E-3</v>
      </c>
      <c r="G37" s="1570"/>
      <c r="H37" s="2931"/>
      <c r="I37" s="1584"/>
      <c r="J37" s="1585"/>
      <c r="K37" s="2772"/>
      <c r="L37" s="2931"/>
      <c r="M37" s="2931"/>
    </row>
    <row r="38" spans="1:18" ht="18" customHeight="1" thickBot="1">
      <c r="A38" s="1249" t="s">
        <v>1358</v>
      </c>
      <c r="B38" s="1250" t="s">
        <v>1404</v>
      </c>
      <c r="C38" s="1251">
        <f ca="1">ROUND(C5*F38,1)</f>
        <v>18.5</v>
      </c>
      <c r="D38" s="1252" t="s">
        <v>1424</v>
      </c>
      <c r="E38" s="1250" t="s">
        <v>1420</v>
      </c>
      <c r="F38" s="1246">
        <f ca="1">INDIRECT("'数据-取费表'!Am"&amp;$G$1)</f>
        <v>1.4999999999999999E-2</v>
      </c>
      <c r="G38" s="1570"/>
      <c r="H38" s="2931"/>
      <c r="I38" s="1584"/>
      <c r="J38" s="1585"/>
      <c r="K38" s="2935"/>
      <c r="L38" s="2931"/>
      <c r="M38" s="2931"/>
    </row>
    <row r="39" spans="1:18" ht="24.6" customHeight="1" thickTop="1">
      <c r="A39" s="1239" t="s">
        <v>999</v>
      </c>
      <c r="B39" s="1254" t="s">
        <v>1448</v>
      </c>
      <c r="C39" s="316">
        <f ca="1">C5-C30</f>
        <v>945</v>
      </c>
      <c r="D39" s="1255" t="s">
        <v>1449</v>
      </c>
      <c r="E39" s="1256"/>
      <c r="F39" s="1257"/>
      <c r="G39" s="1570"/>
      <c r="H39" s="2931"/>
      <c r="I39" s="1584"/>
      <c r="J39" s="1585"/>
      <c r="K39" s="2935"/>
      <c r="L39" s="2931"/>
      <c r="M39" s="2931"/>
    </row>
    <row r="40" spans="1:18" ht="18" customHeight="1">
      <c r="A40" s="305" t="s">
        <v>1000</v>
      </c>
      <c r="B40" s="306" t="s">
        <v>1450</v>
      </c>
      <c r="C40" s="307">
        <f ca="1">ROUND(C39*(1-((1+F42)/(1+F40))^F41)/(F40-F42),0)</f>
        <v>18556</v>
      </c>
      <c r="D40" s="330" t="s">
        <v>1434</v>
      </c>
      <c r="E40" s="308" t="s">
        <v>1435</v>
      </c>
      <c r="F40" s="318">
        <f ca="1">INDIRECT("'数据-取费表'!I"&amp;$G$1)</f>
        <v>5.5E-2</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30.83</v>
      </c>
      <c r="G41" s="1570"/>
      <c r="H41" s="1353"/>
      <c r="I41" s="1584"/>
      <c r="J41" s="1585"/>
      <c r="K41" s="2772"/>
      <c r="L41" s="1353"/>
      <c r="M41" s="1353"/>
    </row>
    <row r="42" spans="1:18" ht="18" customHeight="1">
      <c r="A42" s="314"/>
      <c r="B42" s="315"/>
      <c r="C42" s="316"/>
      <c r="D42" s="333"/>
      <c r="E42" s="308" t="s">
        <v>1442</v>
      </c>
      <c r="F42" s="318">
        <f ca="1">INDIRECT("'数据-取费表'!v"&amp;$G$1)</f>
        <v>2.5000000000000001E-2</v>
      </c>
      <c r="G42" s="1570"/>
      <c r="H42" s="1353"/>
      <c r="I42" s="1584"/>
      <c r="J42" s="1585"/>
      <c r="K42" s="2772"/>
      <c r="L42" s="1353"/>
      <c r="M42" s="1353"/>
    </row>
    <row r="43" spans="1:18" ht="18" customHeight="1" thickBot="1">
      <c r="A43" s="340" t="s">
        <v>1001</v>
      </c>
      <c r="B43" s="341" t="s">
        <v>1452</v>
      </c>
      <c r="C43" s="342">
        <f ca="1">ROUND(C40*10000/F43,0)</f>
        <v>22420</v>
      </c>
      <c r="D43" s="343" t="s">
        <v>1453</v>
      </c>
      <c r="E43" s="344" t="s">
        <v>1454</v>
      </c>
      <c r="F43" s="345">
        <f ca="1">INDIRECT("'数据-取费表'!k"&amp;$G$1)</f>
        <v>8276.64</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6" t="s">
        <v>1484</v>
      </c>
      <c r="P45" s="1647"/>
      <c r="Q45" s="1647"/>
      <c r="R45" s="1647"/>
    </row>
    <row r="46" spans="1:18" s="1570" customFormat="1" ht="13.5" thickBot="1">
      <c r="A46" s="1590" t="s">
        <v>1485</v>
      </c>
      <c r="C46" s="1591">
        <f ca="1">C68-C40</f>
        <v>-24213</v>
      </c>
      <c r="D46" s="1592" t="str">
        <f>C2</f>
        <v>万元</v>
      </c>
      <c r="E46" s="1586"/>
      <c r="F46" s="1586"/>
      <c r="I46" s="1593" t="s">
        <v>1486</v>
      </c>
      <c r="J46" s="1594"/>
      <c r="K46" s="1595"/>
      <c r="L46" s="1596" t="str">
        <f ca="1">IF(M47="住宅",0,IF(L48&gt;J51,L60,J60))</f>
        <v>0</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t="s">
        <v>3094</v>
      </c>
      <c r="K47" s="1602" t="s">
        <v>1492</v>
      </c>
      <c r="L47" s="1603">
        <f ca="1">INDIRECT("'数据-取费表'!d"&amp;$G$1)</f>
        <v>50</v>
      </c>
      <c r="M47" s="1566" t="str">
        <f>IF(ISNUMBER(FIND("住宅",C1)),"住宅","非住宅")</f>
        <v>非住宅</v>
      </c>
      <c r="O47" s="1604" t="s">
        <v>1008</v>
      </c>
      <c r="P47" s="1605" t="s">
        <v>1493</v>
      </c>
      <c r="Q47" s="1606">
        <f ca="1">C40+J29</f>
        <v>18556</v>
      </c>
      <c r="R47" s="1606" t="s">
        <v>1494</v>
      </c>
    </row>
    <row r="48" spans="1:18" s="1570" customFormat="1" ht="28.5" thickBot="1">
      <c r="A48" s="1270" t="s">
        <v>1103</v>
      </c>
      <c r="B48" s="306" t="s">
        <v>1366</v>
      </c>
      <c r="C48" s="1545">
        <f ca="1">C49+C53+C55</f>
        <v>0</v>
      </c>
      <c r="D48" s="1272"/>
      <c r="E48" s="1273"/>
      <c r="F48" s="1093"/>
      <c r="G48" s="731"/>
      <c r="H48" s="732"/>
      <c r="I48" s="1607" t="s">
        <v>1495</v>
      </c>
      <c r="J48" s="1608" t="s">
        <v>3095</v>
      </c>
      <c r="K48" s="1609" t="s">
        <v>1496</v>
      </c>
      <c r="L48" s="1610">
        <f ca="1">INDIRECT("'数据-取费表'!f"&amp;$G$1)</f>
        <v>30.83</v>
      </c>
      <c r="O48" s="1604" t="s">
        <v>1009</v>
      </c>
      <c r="P48" s="1605" t="s">
        <v>1497</v>
      </c>
      <c r="Q48" s="1606" t="str">
        <f ca="1">J60</f>
        <v>0</v>
      </c>
      <c r="R48" s="1606" t="s">
        <v>1498</v>
      </c>
    </row>
    <row r="49" spans="1:18" s="1570" customFormat="1" ht="13.5" thickBot="1">
      <c r="A49" s="1106" t="s">
        <v>1104</v>
      </c>
      <c r="B49" s="1557" t="s">
        <v>1455</v>
      </c>
      <c r="C49" s="1274">
        <f ca="1">ROUND(F49*F51*F50*(1-F52)/10000,0)</f>
        <v>0</v>
      </c>
      <c r="D49" s="1186" t="s">
        <v>2852</v>
      </c>
      <c r="E49" s="1558" t="s">
        <v>1456</v>
      </c>
      <c r="F49" s="1191"/>
      <c r="G49" s="1611"/>
      <c r="H49" s="732"/>
      <c r="I49" s="1607" t="s">
        <v>1499</v>
      </c>
      <c r="J49" s="1612">
        <v>2003</v>
      </c>
      <c r="K49" s="1609" t="s">
        <v>1500</v>
      </c>
      <c r="L49" s="1613"/>
      <c r="O49" s="1614" t="s">
        <v>1010</v>
      </c>
      <c r="P49" s="1605" t="s">
        <v>1501</v>
      </c>
      <c r="Q49" s="1606">
        <f ca="1">C29</f>
        <v>3810</v>
      </c>
      <c r="R49" s="1606" t="s">
        <v>1494</v>
      </c>
    </row>
    <row r="50" spans="1:18" s="1570" customFormat="1" ht="13.5" thickBot="1">
      <c r="A50" s="1107"/>
      <c r="B50" s="1110"/>
      <c r="C50" s="1278"/>
      <c r="D50" s="1084"/>
      <c r="E50" s="1187" t="s">
        <v>1371</v>
      </c>
      <c r="F50" s="1188">
        <f ca="1">F7</f>
        <v>8276.64</v>
      </c>
      <c r="H50" s="732"/>
      <c r="I50" s="1607" t="s">
        <v>1502</v>
      </c>
      <c r="J50" s="1615">
        <f>SUMPRODUCT((I63:I65=J47)*(J62:L62=J48)*(J63:L65))</f>
        <v>60</v>
      </c>
      <c r="K50" s="1609" t="s">
        <v>1503</v>
      </c>
      <c r="L50" s="1613"/>
      <c r="M50" s="1616"/>
      <c r="O50" s="1614" t="s">
        <v>1011</v>
      </c>
      <c r="P50" s="1605" t="s">
        <v>1504</v>
      </c>
      <c r="Q50" s="1617" t="e">
        <f ca="1">J58</f>
        <v>#VALUE!</v>
      </c>
      <c r="R50" s="1606"/>
    </row>
    <row r="51" spans="1:18" s="1570" customFormat="1" ht="13.5" thickBot="1">
      <c r="A51" s="1108"/>
      <c r="B51" s="1110"/>
      <c r="C51" s="1111"/>
      <c r="D51" s="1084"/>
      <c r="E51" s="1112" t="s">
        <v>1372</v>
      </c>
      <c r="F51" s="309">
        <f ca="1">F8</f>
        <v>365</v>
      </c>
      <c r="I51" s="1618" t="s">
        <v>1505</v>
      </c>
      <c r="J51" s="1619">
        <f>IF(J49="",J50,J49+J50-YEAR('数据-取费表'!B2))</f>
        <v>43</v>
      </c>
      <c r="K51" s="1620" t="s">
        <v>1506</v>
      </c>
      <c r="L51" s="1621">
        <f ca="1">ROUND(-PV(INDIRECT("'数据-取费表'!h"&amp;$G$1),J51,(C39-C13*C76),0),0)</f>
        <v>12142</v>
      </c>
      <c r="M51" s="1622"/>
      <c r="O51" s="1614" t="s">
        <v>1012</v>
      </c>
      <c r="P51" s="1605" t="s">
        <v>1507</v>
      </c>
      <c r="Q51" s="1617">
        <f>J52</f>
        <v>0.09</v>
      </c>
      <c r="R51" s="1606"/>
    </row>
    <row r="52" spans="1:18" s="1570" customFormat="1" ht="13.5" thickBot="1">
      <c r="A52" s="1108"/>
      <c r="B52" s="1110"/>
      <c r="C52" s="1111"/>
      <c r="D52" s="1084"/>
      <c r="E52" s="1112" t="s">
        <v>1373</v>
      </c>
      <c r="F52" s="1185"/>
      <c r="I52" s="1623" t="s">
        <v>1508</v>
      </c>
      <c r="J52" s="1624">
        <v>0.09</v>
      </c>
      <c r="K52" s="1623" t="s">
        <v>1509</v>
      </c>
      <c r="L52" s="1624"/>
      <c r="O52" s="1614" t="s">
        <v>1013</v>
      </c>
      <c r="P52" s="1605" t="s">
        <v>1510</v>
      </c>
      <c r="Q52" s="1606">
        <f ca="1">J53</f>
        <v>30.83</v>
      </c>
      <c r="R52" s="1606" t="s">
        <v>1511</v>
      </c>
    </row>
    <row r="53" spans="1:18" s="1570" customFormat="1" ht="24.75" thickBot="1">
      <c r="A53" s="1314" t="s">
        <v>1105</v>
      </c>
      <c r="B53" s="1559" t="s">
        <v>1374</v>
      </c>
      <c r="C53" s="322">
        <f ca="1">ROUND(IF(F53="押一",C49/12*F11,IF(F53="押二",C49/12*2*F11,IF(F53="押三",C49/12*3*F11,C54*F11))),0)</f>
        <v>0</v>
      </c>
      <c r="D53" s="1552" t="s">
        <v>2858</v>
      </c>
      <c r="E53" s="319" t="s">
        <v>1375</v>
      </c>
      <c r="F53" s="1276"/>
      <c r="I53" s="1625" t="s">
        <v>1512</v>
      </c>
      <c r="J53" s="2388">
        <f ca="1">IF(M47="住宅",IF(D1="——",MAX(J51,L48),MAX(J51,L48-'数据-取费表'!B24)),IF(D1="——",MIN(J51,L48),MIN(J51,L48-'数据-取费表'!B24)))</f>
        <v>30.83</v>
      </c>
      <c r="K53" s="3238" t="s">
        <v>1513</v>
      </c>
      <c r="L53" s="3239"/>
      <c r="O53" s="1604" t="s">
        <v>1014</v>
      </c>
      <c r="P53" s="1605" t="s">
        <v>1514</v>
      </c>
      <c r="Q53" s="1606">
        <f ca="1">Q47+Q48</f>
        <v>18556</v>
      </c>
      <c r="R53" s="1606" t="s">
        <v>1015</v>
      </c>
    </row>
    <row r="54" spans="1:18" s="1570" customFormat="1" ht="13.5"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#VALUE!</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2743</v>
      </c>
      <c r="D56" s="1633"/>
      <c r="E56" s="1634"/>
      <c r="F56" s="1626"/>
      <c r="I56" s="1635" t="s">
        <v>1519</v>
      </c>
      <c r="J56" s="1636" t="s">
        <v>3066</v>
      </c>
      <c r="K56" s="1607" t="s">
        <v>1520</v>
      </c>
      <c r="L56" s="1610" t="str">
        <f ca="1">IF(L48&lt;J51,"——",L48-J53)</f>
        <v>——</v>
      </c>
      <c r="O56" s="1604" t="s">
        <v>1008</v>
      </c>
      <c r="P56" s="1605" t="s">
        <v>1493</v>
      </c>
      <c r="Q56" s="1606">
        <f ca="1">C40+J29</f>
        <v>18556</v>
      </c>
      <c r="R56" s="1606" t="s">
        <v>1494</v>
      </c>
    </row>
    <row r="57" spans="1:18" s="1570" customFormat="1" ht="24.75" thickBot="1">
      <c r="A57" s="1637"/>
      <c r="B57" s="1081" t="s">
        <v>1443</v>
      </c>
      <c r="C57" s="244">
        <f ca="1">C29</f>
        <v>3810</v>
      </c>
      <c r="D57" s="1638"/>
      <c r="E57" s="1639"/>
      <c r="F57" s="1640"/>
      <c r="I57" s="1641" t="s">
        <v>1521</v>
      </c>
      <c r="J57" s="1642" t="str">
        <f ca="1">IF(OR(M47="住宅",J51&lt;L48,J56="是"),"——",J51-L48)</f>
        <v>——</v>
      </c>
      <c r="K57" s="1607" t="s">
        <v>1522</v>
      </c>
      <c r="L57" s="1610" t="str">
        <f ca="1">IF(L48&lt;J51,"——",IF(L55="比较法",L49,IF(L55="基准地价",L50,L51)))</f>
        <v>——</v>
      </c>
      <c r="O57" s="1604" t="s">
        <v>1009</v>
      </c>
      <c r="P57" s="1605" t="s">
        <v>1523</v>
      </c>
      <c r="Q57" s="1606">
        <f ca="1">L60</f>
        <v>0</v>
      </c>
      <c r="R57" s="1606" t="s">
        <v>1524</v>
      </c>
    </row>
    <row r="58" spans="1:18" s="1570" customFormat="1" ht="24.75" thickBot="1">
      <c r="A58" s="321" t="s">
        <v>998</v>
      </c>
      <c r="B58" s="1089" t="s">
        <v>1389</v>
      </c>
      <c r="C58" s="322">
        <f ca="1">ROUND(C59+C64+C65+C66,0)</f>
        <v>385</v>
      </c>
      <c r="D58" s="1091" t="s">
        <v>1390</v>
      </c>
      <c r="E58" s="1092"/>
      <c r="F58" s="1093"/>
      <c r="I58" s="1641" t="s">
        <v>1525</v>
      </c>
      <c r="J58" s="1643" t="e">
        <f ca="1">IF(J55&lt;0.4,0.4,J55)</f>
        <v>#VALUE!</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6">
        <f ca="1">ROUND(IF(AND(项目基本情况!B11="自然人",项目基本情况!B10="北京市"),C49*F59/(1+'数据-取费表'!C42),C60+C61+C62),0)</f>
        <v>322</v>
      </c>
      <c r="D59" s="1094" t="s">
        <v>1395</v>
      </c>
      <c r="E59" s="1095" t="s">
        <v>1396</v>
      </c>
      <c r="F59" s="2535" t="str">
        <f>IF(项目基本情况!B11="企业","——",IF('数据-取费表'!B10="住宅",IF(F49*F50*F51/12/(1+'数据-取费表'!F30)&gt;100000,4%,2.5%),IF(F49*F50*F51/12/(1+'数据-取费表'!F30)&gt;100000,12%,7%)))</f>
        <v>——</v>
      </c>
      <c r="I59" s="1641" t="s">
        <v>1528</v>
      </c>
      <c r="J59" s="1642" t="str">
        <f ca="1">IF(OR(M47="住宅",J51&lt;L48,J56="是"),"——",ROUND(C29*J58,0))</f>
        <v>——</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4" t="s">
        <v>1530</v>
      </c>
      <c r="J60" s="1645" t="str">
        <f ca="1">IF(OR(M47="住宅",J51&lt;L48,J56="是"),"0",ROUND(J59/(1+J52)^J53,0))</f>
        <v>0</v>
      </c>
      <c r="K60" s="1646" t="s">
        <v>1531</v>
      </c>
      <c r="L60" s="1645">
        <f ca="1">IF(OR(M47="住宅",L48&lt;J51),0,ROUND(L57*(L58/L59-1),0))</f>
        <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IF(项目基本情况!B11="自然人","——",IF(D61="按租金收入计税",ROUND(C48*F61,2),IF(D61="按房产原值计税",ROUND(C57*F61*0.7,2),INDIRECT("'数据-取费表'!Aj"&amp;$G$1))))</f>
        <v>320.04000000000002</v>
      </c>
      <c r="D61" s="1556" t="s">
        <v>1403</v>
      </c>
      <c r="E61" s="1081" t="s">
        <v>1459</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5" thickBot="1">
      <c r="A62" s="1113" t="s">
        <v>1460</v>
      </c>
      <c r="B62" s="1080" t="s">
        <v>1461</v>
      </c>
      <c r="C62" s="25">
        <f ca="1">IF(项目基本情况!B11="自然人","——",ROUND(F62*F63/10000,2))</f>
        <v>2.23</v>
      </c>
      <c r="D62" s="1096" t="s">
        <v>1462</v>
      </c>
      <c r="E62" s="1081" t="s">
        <v>1463</v>
      </c>
      <c r="F62" s="331">
        <f t="shared" si="0"/>
        <v>24</v>
      </c>
      <c r="I62" s="1648" t="s">
        <v>1535</v>
      </c>
      <c r="J62" s="1649" t="s">
        <v>1536</v>
      </c>
      <c r="K62" s="1649" t="s">
        <v>1537</v>
      </c>
      <c r="L62" s="1649" t="s">
        <v>1538</v>
      </c>
      <c r="M62" s="1650" t="s">
        <v>1539</v>
      </c>
      <c r="O62" s="1604" t="s">
        <v>1014</v>
      </c>
      <c r="P62" s="1605" t="s">
        <v>1540</v>
      </c>
      <c r="Q62" s="1606">
        <f ca="1">Q56+Q57</f>
        <v>18556</v>
      </c>
      <c r="R62" s="1606" t="s">
        <v>1015</v>
      </c>
    </row>
    <row r="63" spans="1:18" s="1570" customFormat="1" ht="13.5" thickBot="1">
      <c r="A63" s="332"/>
      <c r="B63" s="1087"/>
      <c r="C63" s="29"/>
      <c r="D63" s="1097"/>
      <c r="E63" s="1081" t="s">
        <v>1464</v>
      </c>
      <c r="F63" s="309">
        <f t="shared" ca="1" si="0"/>
        <v>927.85</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ROUND(C57*F64,1)</f>
        <v>57.2</v>
      </c>
      <c r="D64" s="1095" t="s">
        <v>1467</v>
      </c>
      <c r="E64" s="1081" t="s">
        <v>1459</v>
      </c>
      <c r="F64" s="334">
        <f t="shared" ca="1" si="0"/>
        <v>1.4999999999999999E-2</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5.5</v>
      </c>
      <c r="D65" s="1095" t="s">
        <v>1419</v>
      </c>
      <c r="E65" s="1081" t="s">
        <v>1420</v>
      </c>
      <c r="F65" s="336">
        <f t="shared" ca="1" si="0"/>
        <v>2E-3</v>
      </c>
      <c r="I65" s="1648" t="s">
        <v>1544</v>
      </c>
      <c r="J65" s="1649">
        <v>40</v>
      </c>
      <c r="K65" s="1649">
        <v>30</v>
      </c>
      <c r="L65" s="1649">
        <v>50</v>
      </c>
      <c r="M65" s="1651">
        <v>0.02</v>
      </c>
      <c r="O65" s="1604" t="s">
        <v>1008</v>
      </c>
      <c r="P65" s="1605" t="s">
        <v>1545</v>
      </c>
      <c r="Q65" s="1606">
        <f ca="1">C40+J29</f>
        <v>18556</v>
      </c>
      <c r="R65" s="1606" t="s">
        <v>1494</v>
      </c>
    </row>
    <row r="66" spans="1:18" s="1570" customFormat="1" ht="16.5" thickBot="1">
      <c r="A66" s="1113" t="s">
        <v>1469</v>
      </c>
      <c r="B66" s="1081" t="s">
        <v>1404</v>
      </c>
      <c r="C66" s="24">
        <f ca="1">ROUND(C48*F66,1)</f>
        <v>0</v>
      </c>
      <c r="D66" s="1095" t="s">
        <v>1470</v>
      </c>
      <c r="E66" s="1081" t="s">
        <v>1387</v>
      </c>
      <c r="F66" s="318">
        <f t="shared" ca="1" si="0"/>
        <v>1.4999999999999999E-2</v>
      </c>
      <c r="O66" s="1604" t="s">
        <v>1009</v>
      </c>
      <c r="P66" s="1605" t="s">
        <v>1523</v>
      </c>
      <c r="Q66" s="1606">
        <f ca="1">L60</f>
        <v>0</v>
      </c>
      <c r="R66" s="1606" t="s">
        <v>1546</v>
      </c>
    </row>
    <row r="67" spans="1:18" s="1570" customFormat="1" ht="16.5" thickBot="1">
      <c r="A67" s="1088" t="s">
        <v>999</v>
      </c>
      <c r="B67" s="1098" t="s">
        <v>1428</v>
      </c>
      <c r="C67" s="322">
        <f ca="1">C48-C58</f>
        <v>-385</v>
      </c>
      <c r="D67" s="1094" t="s">
        <v>1429</v>
      </c>
      <c r="E67" s="1099"/>
      <c r="F67" s="1100"/>
      <c r="O67" s="1614" t="s">
        <v>1010</v>
      </c>
      <c r="P67" s="1605" t="s">
        <v>1527</v>
      </c>
      <c r="Q67" s="1652">
        <f ca="1">L51</f>
        <v>12142</v>
      </c>
      <c r="R67" s="1606" t="s">
        <v>1547</v>
      </c>
    </row>
    <row r="68" spans="1:18" s="1570" customFormat="1" ht="16.5" thickBot="1">
      <c r="A68" s="1078" t="s">
        <v>1000</v>
      </c>
      <c r="B68" s="1079" t="s">
        <v>1450</v>
      </c>
      <c r="C68" s="307">
        <f ca="1">ROUND(C67*(1-((1+F70)/(1+F68))^F69)/(F68-F70),0)</f>
        <v>-5657</v>
      </c>
      <c r="D68" s="1096" t="s">
        <v>1434</v>
      </c>
      <c r="E68" s="1081" t="s">
        <v>1435</v>
      </c>
      <c r="F68" s="318">
        <f ca="1">F40</f>
        <v>5.5E-2</v>
      </c>
      <c r="O68" s="1614" t="s">
        <v>1011</v>
      </c>
      <c r="P68" s="1653" t="s">
        <v>1548</v>
      </c>
      <c r="Q68" s="1606">
        <f ca="1">ROUND(Q69-Q70*Q71,0)</f>
        <v>712</v>
      </c>
      <c r="R68" s="1606" t="s">
        <v>1019</v>
      </c>
    </row>
    <row r="69" spans="1:18" s="1570" customFormat="1" ht="13.5" thickBot="1">
      <c r="A69" s="1082"/>
      <c r="B69" s="1083"/>
      <c r="C69" s="312"/>
      <c r="D69" s="1101" t="s">
        <v>1438</v>
      </c>
      <c r="E69" s="1081" t="s">
        <v>1439</v>
      </c>
      <c r="F69" s="339">
        <f ca="1">F41</f>
        <v>30.83</v>
      </c>
      <c r="O69" s="1614" t="s">
        <v>1016</v>
      </c>
      <c r="P69" s="1653" t="s">
        <v>1549</v>
      </c>
      <c r="Q69" s="1606">
        <f ca="1">C39</f>
        <v>945</v>
      </c>
      <c r="R69" s="1606" t="s">
        <v>1494</v>
      </c>
    </row>
    <row r="70" spans="1:18" s="1570" customFormat="1" ht="13.5" thickBot="1">
      <c r="A70" s="1085"/>
      <c r="B70" s="1086"/>
      <c r="C70" s="316"/>
      <c r="D70" s="1097"/>
      <c r="E70" s="1081" t="s">
        <v>1442</v>
      </c>
      <c r="F70" s="1185"/>
      <c r="O70" s="1614" t="s">
        <v>1017</v>
      </c>
      <c r="P70" s="1653" t="s">
        <v>1550</v>
      </c>
      <c r="Q70" s="1606">
        <f ca="1">C13</f>
        <v>2743</v>
      </c>
      <c r="R70" s="1606" t="s">
        <v>1494</v>
      </c>
    </row>
    <row r="71" spans="1:18" s="1570" customFormat="1" ht="13.5" thickBot="1">
      <c r="A71" s="1102" t="s">
        <v>1001</v>
      </c>
      <c r="B71" s="1103" t="s">
        <v>1452</v>
      </c>
      <c r="C71" s="342">
        <f ca="1">ROUND(C68*10000/F71,0)</f>
        <v>-6835</v>
      </c>
      <c r="D71" s="1104" t="s">
        <v>1453</v>
      </c>
      <c r="E71" s="1105" t="s">
        <v>1454</v>
      </c>
      <c r="F71" s="345">
        <f ca="1">F43</f>
        <v>8276.64</v>
      </c>
      <c r="O71" s="1614" t="s">
        <v>1018</v>
      </c>
      <c r="P71" s="1653" t="s">
        <v>1551</v>
      </c>
      <c r="Q71" s="1617">
        <f ca="1">C76</f>
        <v>8.5000000000000006E-2</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5" thickBot="1">
      <c r="A75" s="1570"/>
      <c r="B75" s="346" t="s">
        <v>1471</v>
      </c>
      <c r="C75" s="347">
        <f ca="1">ROUND(C13*C76,0)</f>
        <v>233</v>
      </c>
      <c r="D75" s="1570"/>
      <c r="E75" s="1570"/>
      <c r="F75" s="1570"/>
      <c r="K75" s="1588"/>
      <c r="L75" s="1570"/>
      <c r="O75" s="1604" t="s">
        <v>1014</v>
      </c>
      <c r="P75" s="1605" t="s">
        <v>1514</v>
      </c>
      <c r="Q75" s="1606">
        <f ca="1">Q65+Q66</f>
        <v>18556</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0.753</v>
      </c>
    </row>
    <row r="80" spans="1:18">
      <c r="B80" s="346" t="s">
        <v>1476</v>
      </c>
      <c r="C80" s="280">
        <f ca="1">ROUND(C75/C39,3)</f>
        <v>0.247</v>
      </c>
    </row>
    <row r="81" spans="2:3">
      <c r="B81" s="276" t="s">
        <v>1477</v>
      </c>
      <c r="C81" s="244"/>
    </row>
    <row r="82" spans="2:3">
      <c r="B82" s="279" t="s">
        <v>1478</v>
      </c>
      <c r="C82" s="281">
        <f ca="1">1-C83</f>
        <v>0.85199999999999998</v>
      </c>
    </row>
    <row r="83" spans="2:3">
      <c r="B83" s="279" t="s">
        <v>1479</v>
      </c>
      <c r="C83" s="280">
        <f ca="1">ROUND(C13/C40,3)</f>
        <v>0.14799999999999999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U518" sqref="U51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c r="D1" s="1548"/>
      <c r="E1" s="1549" t="s">
        <v>1352</v>
      </c>
      <c r="F1" s="1193">
        <f ca="1">J53</f>
        <v>0</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1555</v>
      </c>
      <c r="B2" s="1572" t="e">
        <f ca="1">ROUND(D2/10000,0)</f>
        <v>#DIV/0!</v>
      </c>
      <c r="C2" s="1573" t="s">
        <v>1556</v>
      </c>
      <c r="D2" s="1657" t="e">
        <f ca="1">C40+J29+L46</f>
        <v>#DIV/0!</v>
      </c>
      <c r="E2" s="1574" t="s">
        <v>1557</v>
      </c>
      <c r="F2" s="1575"/>
      <c r="G2" s="2937"/>
      <c r="H2" s="2926"/>
      <c r="I2" s="2926"/>
      <c r="J2" s="2926"/>
      <c r="K2" s="2927"/>
      <c r="L2" s="2926"/>
      <c r="M2" s="2926"/>
    </row>
    <row r="3" spans="1:37" ht="18" customHeight="1" thickBot="1">
      <c r="A3" s="1576" t="s">
        <v>1558</v>
      </c>
      <c r="B3" s="1577">
        <f ca="1">IF(ISERROR(D2/F43),0,ROUND(D2/F43,0))</f>
        <v>0</v>
      </c>
      <c r="C3" s="1573" t="s">
        <v>1559</v>
      </c>
      <c r="D3" s="1573"/>
      <c r="E3" s="1574"/>
      <c r="F3" s="1575"/>
      <c r="G3" s="2937"/>
      <c r="H3" s="692" t="s">
        <v>1553</v>
      </c>
      <c r="I3" s="1568"/>
      <c r="J3" s="1568"/>
      <c r="K3" s="1569"/>
      <c r="L3" s="1568"/>
      <c r="M3" s="1568"/>
    </row>
    <row r="4" spans="1:37" ht="18" customHeight="1">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c r="A5" s="305">
        <v>1</v>
      </c>
      <c r="B5" s="306" t="s">
        <v>1565</v>
      </c>
      <c r="C5" s="1202">
        <f ca="1">C6+C10+C12</f>
        <v>0</v>
      </c>
      <c r="D5" s="1550" t="s">
        <v>1566</v>
      </c>
      <c r="E5" s="1203"/>
      <c r="F5" s="1204"/>
      <c r="G5" s="1570"/>
      <c r="H5" s="305">
        <v>1</v>
      </c>
      <c r="I5" s="306" t="s">
        <v>1565</v>
      </c>
      <c r="J5" s="1202">
        <f ca="1">J6+J10+J12</f>
        <v>0</v>
      </c>
      <c r="K5" s="1550" t="s">
        <v>1566</v>
      </c>
      <c r="L5" s="1203"/>
      <c r="M5" s="1204"/>
    </row>
    <row r="6" spans="1:37" ht="18" customHeight="1">
      <c r="A6" s="1201" t="s">
        <v>1003</v>
      </c>
      <c r="B6" s="3240" t="s">
        <v>1368</v>
      </c>
      <c r="C6" s="1206">
        <f ca="1">ROUND(F6*F8*F7*(1-F9),0)</f>
        <v>0</v>
      </c>
      <c r="D6" s="160" t="s">
        <v>2848</v>
      </c>
      <c r="E6" s="308" t="s">
        <v>1370</v>
      </c>
      <c r="F6" s="309">
        <f ca="1">INDIRECT("'数据-取费表'!u"&amp;$G$1)</f>
        <v>0</v>
      </c>
      <c r="G6" s="1570"/>
      <c r="H6" s="1201" t="s">
        <v>1003</v>
      </c>
      <c r="I6" s="3240" t="s">
        <v>1368</v>
      </c>
      <c r="J6" s="307">
        <f ca="1">ROUND(M6*M8*M7*(1-M9),0)</f>
        <v>0</v>
      </c>
      <c r="K6" s="1562" t="s">
        <v>2849</v>
      </c>
      <c r="L6" s="308" t="s">
        <v>1370</v>
      </c>
      <c r="M6" s="309">
        <f ca="1">INDIRECT("'数据-取费表'!z"&amp;$G$1)</f>
        <v>0</v>
      </c>
    </row>
    <row r="7" spans="1:37" ht="18" customHeight="1">
      <c r="A7" s="1205"/>
      <c r="B7" s="3241"/>
      <c r="C7" s="1207"/>
      <c r="D7" s="313"/>
      <c r="E7" s="1208" t="s">
        <v>1371</v>
      </c>
      <c r="F7" s="309">
        <f ca="1">IF(INDIRECT("'数据-取费表'!ah"&amp;$G$1)="",INDIRECT("'数据-取费表'!k"&amp;$G$1),INDIRECT("'数据-取费表'!ah"&amp;$G$1))</f>
        <v>0</v>
      </c>
      <c r="G7" s="1570"/>
      <c r="H7" s="310"/>
      <c r="I7" s="3241"/>
      <c r="J7" s="312"/>
      <c r="K7" s="313"/>
      <c r="L7" s="308" t="s">
        <v>1371</v>
      </c>
      <c r="M7" s="309">
        <f ca="1">F7</f>
        <v>0</v>
      </c>
    </row>
    <row r="8" spans="1:37" ht="18" customHeight="1">
      <c r="A8" s="310"/>
      <c r="B8" s="3241"/>
      <c r="C8" s="312"/>
      <c r="D8" s="313"/>
      <c r="E8" s="308" t="s">
        <v>1372</v>
      </c>
      <c r="F8" s="309">
        <f ca="1">INDIRECT("'数据-取费表'!ai"&amp;$G$1)</f>
        <v>0</v>
      </c>
      <c r="G8" s="1570"/>
      <c r="H8" s="310"/>
      <c r="I8" s="3241"/>
      <c r="J8" s="312"/>
      <c r="K8" s="313"/>
      <c r="L8" s="308" t="s">
        <v>1372</v>
      </c>
      <c r="M8" s="309">
        <f ca="1">INDIRECT("'数据-取费表'!ai"&amp;$G$1)</f>
        <v>0</v>
      </c>
    </row>
    <row r="9" spans="1:37" ht="18" customHeight="1">
      <c r="A9" s="310"/>
      <c r="B9" s="3242"/>
      <c r="C9" s="312"/>
      <c r="D9" s="313"/>
      <c r="E9" s="308" t="s">
        <v>1373</v>
      </c>
      <c r="F9" s="318">
        <f ca="1">INDIRECT("'数据-取费表'!w"&amp;$G$1)</f>
        <v>0</v>
      </c>
      <c r="G9" s="1570"/>
      <c r="H9" s="310"/>
      <c r="I9" s="3242"/>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2858</v>
      </c>
      <c r="E10" s="319" t="s">
        <v>1375</v>
      </c>
      <c r="F10" s="1276"/>
      <c r="G10" s="1570"/>
      <c r="H10" s="1201" t="s">
        <v>1007</v>
      </c>
      <c r="I10" s="1551" t="s">
        <v>1374</v>
      </c>
      <c r="J10" s="307">
        <f ca="1">ROUND(IF(M10="押一",J6/12*M11,IF(M10="押二",J6/12*2*M11,IF(M10="押三",J6/12*3*M11,J11*M11))),0)</f>
        <v>0</v>
      </c>
      <c r="K10" s="1563" t="s">
        <v>2860</v>
      </c>
      <c r="L10" s="319" t="s">
        <v>1375</v>
      </c>
      <c r="M10" s="1276"/>
    </row>
    <row r="11" spans="1:37" ht="18" customHeight="1">
      <c r="A11" s="314"/>
      <c r="B11" s="1553" t="s">
        <v>1567</v>
      </c>
      <c r="C11" s="1090"/>
      <c r="D11" s="313"/>
      <c r="E11" s="319" t="s">
        <v>1377</v>
      </c>
      <c r="F11" s="320">
        <f ca="1">'数据-取费表'!B39</f>
        <v>1.4999999999999999E-2</v>
      </c>
      <c r="G11" s="1570"/>
      <c r="H11" s="1209"/>
      <c r="I11" s="1553" t="s">
        <v>1568</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c r="A14" s="1113" t="s">
        <v>1002</v>
      </c>
      <c r="B14" s="308" t="s">
        <v>1382</v>
      </c>
      <c r="C14" s="324">
        <f ca="1">ROUND(INDIRECT("'数据-取费表'!l"&amp;$G$1)*F43+'数据-取费表'!L14*INDIRECT("'数据-取费表'!S"&amp;$G$1),0)</f>
        <v>0</v>
      </c>
      <c r="D14" s="1531" t="s">
        <v>1383</v>
      </c>
      <c r="E14" s="1528"/>
      <c r="F14" s="325"/>
      <c r="G14" s="1570"/>
      <c r="H14" s="1113" t="s">
        <v>1003</v>
      </c>
      <c r="I14" s="308" t="s">
        <v>1384</v>
      </c>
      <c r="J14" s="24">
        <f ca="1">C29</f>
        <v>0</v>
      </c>
      <c r="K14" s="15"/>
      <c r="L14" s="916"/>
      <c r="M14" s="917"/>
    </row>
    <row r="15" spans="1:37" s="1583" customFormat="1" ht="18" customHeight="1" thickBot="1">
      <c r="A15" s="1113" t="s">
        <v>1004</v>
      </c>
      <c r="B15" s="308" t="s">
        <v>1385</v>
      </c>
      <c r="C15" s="24">
        <f ca="1">ROUND(C14*F15,0)</f>
        <v>0</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c r="A17" s="1113" t="s">
        <v>1355</v>
      </c>
      <c r="B17" s="308" t="s">
        <v>1391</v>
      </c>
      <c r="C17" s="24">
        <f ca="1">ROUND(F17*(F43+INDIRECT("'数据-取费表'!S"&amp;$G$1)),0)</f>
        <v>0</v>
      </c>
      <c r="D17" s="308" t="s">
        <v>1392</v>
      </c>
      <c r="E17" s="308" t="s">
        <v>1393</v>
      </c>
      <c r="F17" s="26">
        <f>'数据-取费表'!B35</f>
        <v>200</v>
      </c>
      <c r="G17" s="1582"/>
      <c r="H17" s="1113" t="s">
        <v>1003</v>
      </c>
      <c r="I17" s="308" t="s">
        <v>1394</v>
      </c>
      <c r="J17" s="2536">
        <f ca="1">ROUND(IF(AND(项目基本情况!B11="自然人",项目基本情况!B10="北京市"),J6*M17/(1+'数据-取费表'!C42),J18+J19+J20),0)</f>
        <v>0</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0</v>
      </c>
      <c r="D19" s="136" t="s">
        <v>1401</v>
      </c>
      <c r="E19" s="1546"/>
      <c r="F19" s="26"/>
      <c r="G19" s="1570"/>
      <c r="H19" s="1113" t="s">
        <v>1004</v>
      </c>
      <c r="I19" s="308" t="s">
        <v>1402</v>
      </c>
      <c r="J19" s="24">
        <f ca="1">IF(K19="按租金收入计税",ROUND(J6*M19/(1+'数据-取费表'!C42),0),ROUND(C29*M19*0.7,0))</f>
        <v>0</v>
      </c>
      <c r="K19" s="1556" t="s">
        <v>1403</v>
      </c>
      <c r="L19" s="308" t="s">
        <v>1387</v>
      </c>
      <c r="M19" s="328">
        <f>IF(K19="按租金收入计税",'数据-取费表'!B51,'数据-取费表'!B50)</f>
        <v>1.2E-2</v>
      </c>
    </row>
    <row r="20" spans="1:37" s="1583" customFormat="1" ht="18" customHeight="1">
      <c r="A20" s="1113" t="s">
        <v>1007</v>
      </c>
      <c r="B20" s="308" t="s">
        <v>1404</v>
      </c>
      <c r="C20" s="24">
        <f ca="1">ROUND(C19*F20,0)</f>
        <v>0</v>
      </c>
      <c r="D20" s="329" t="s">
        <v>1405</v>
      </c>
      <c r="E20" s="308" t="s">
        <v>1387</v>
      </c>
      <c r="F20" s="328">
        <f>'数据-取费表'!B37</f>
        <v>0.02</v>
      </c>
      <c r="G20" s="1582"/>
      <c r="H20" s="1113" t="s">
        <v>1354</v>
      </c>
      <c r="I20" s="160" t="s">
        <v>1406</v>
      </c>
      <c r="J20" s="25">
        <f ca="1">ROUND(M20*M21,0)</f>
        <v>0</v>
      </c>
      <c r="K20" s="330" t="s">
        <v>1407</v>
      </c>
      <c r="L20" s="308" t="s">
        <v>1408</v>
      </c>
      <c r="M20" s="331">
        <f>'数据-取费表'!B52</f>
        <v>24</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v>
      </c>
      <c r="D21" s="329" t="s">
        <v>1410</v>
      </c>
      <c r="E21" s="308" t="s">
        <v>1411</v>
      </c>
      <c r="F21" s="328">
        <f>'数据-取费表'!B38</f>
        <v>0.02</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ROUND(J14*M22,0)</f>
        <v>0</v>
      </c>
      <c r="K22" s="1530" t="s">
        <v>1415</v>
      </c>
      <c r="L22" s="308" t="s">
        <v>1387</v>
      </c>
      <c r="M22" s="334">
        <f ca="1">INDIRECT("'数据-取费表'!Ak"&amp;$G$1)</f>
        <v>0</v>
      </c>
    </row>
    <row r="23" spans="1:37" s="1583"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ROUND(J13*M23,0)</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ROUND(J5*M24,0)</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1425</v>
      </c>
      <c r="B25" s="308" t="s">
        <v>1426</v>
      </c>
      <c r="C25" s="24"/>
      <c r="D25" s="136" t="s">
        <v>1427</v>
      </c>
      <c r="E25" s="1546"/>
      <c r="F25" s="26"/>
      <c r="G25" s="1570"/>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0</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0</v>
      </c>
      <c r="D31" s="1531" t="s">
        <v>1395</v>
      </c>
      <c r="E31" s="1530" t="s">
        <v>1446</v>
      </c>
      <c r="F31" s="2535" t="str">
        <f>IF(项目基本情况!B11="企业","——",IF('数据-取费表'!B10="住宅",IF(F6*F7*F8/12/(1+'数据-取费表'!F30)&gt;100000,4%,2.5%),IF(F6*F7*F8/12/(1+'数据-取费表'!F30)&gt;100000,12%,7%)))</f>
        <v>——</v>
      </c>
      <c r="G31" s="1570"/>
      <c r="H31" s="3041" t="s">
        <v>3060</v>
      </c>
      <c r="I31" s="1584"/>
      <c r="J31" s="1585"/>
      <c r="K31" s="2703"/>
      <c r="L31" s="2929"/>
      <c r="M31" s="2930"/>
    </row>
    <row r="32" spans="1:37" ht="18" customHeight="1">
      <c r="A32" s="1113" t="s">
        <v>1002</v>
      </c>
      <c r="B32" s="308" t="s">
        <v>1398</v>
      </c>
      <c r="C32" s="24">
        <f ca="1">IF(项目基本情况!B11="自然人","——",ROUND(C6*F32/(1+'数据-取费表'!C42),0))</f>
        <v>0</v>
      </c>
      <c r="D32" s="1530" t="s">
        <v>1399</v>
      </c>
      <c r="E32" s="308" t="s">
        <v>1387</v>
      </c>
      <c r="F32" s="337">
        <f>'数据-取费表'!B41</f>
        <v>5.6000000000000001E-2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6" t="s">
        <v>1403</v>
      </c>
      <c r="E33" s="308" t="s">
        <v>1387</v>
      </c>
      <c r="F33" s="328">
        <f>IF(D33="按票据","——",IF(D33="按租金收入计税",'数据-取费表'!B51,'数据-取费表'!B50))</f>
        <v>1.2E-2</v>
      </c>
      <c r="G33" s="1570"/>
      <c r="H33" s="2931"/>
      <c r="I33" s="1584"/>
      <c r="J33" s="1585"/>
      <c r="K33" s="2932"/>
      <c r="L33" s="2931"/>
      <c r="M33" s="2931"/>
    </row>
    <row r="34" spans="1:18" ht="18" customHeight="1">
      <c r="A34" s="1201" t="s">
        <v>1354</v>
      </c>
      <c r="B34" s="160" t="s">
        <v>1406</v>
      </c>
      <c r="C34" s="25">
        <f ca="1">IF(项目基本情况!B11="自然人","——",ROUND(F34*F35,))</f>
        <v>0</v>
      </c>
      <c r="D34" s="330" t="s">
        <v>1407</v>
      </c>
      <c r="E34" s="308" t="s">
        <v>1408</v>
      </c>
      <c r="F34" s="331">
        <f>'数据-取费表'!B52</f>
        <v>24</v>
      </c>
      <c r="G34" s="1570"/>
      <c r="H34" s="2928"/>
      <c r="I34" s="1584"/>
      <c r="J34" s="1585"/>
      <c r="K34" s="2933"/>
      <c r="L34" s="2934"/>
      <c r="M34" s="2934"/>
    </row>
    <row r="35" spans="1:18" ht="18" customHeight="1">
      <c r="A35" s="1263"/>
      <c r="B35" s="1261"/>
      <c r="C35" s="29"/>
      <c r="D35" s="333"/>
      <c r="E35" s="308" t="s">
        <v>1412</v>
      </c>
      <c r="F35" s="309">
        <f ca="1">INDIRECT("'数据-取费表'!r"&amp;$G$1)</f>
        <v>0</v>
      </c>
      <c r="G35" s="1570"/>
      <c r="H35" s="2928"/>
      <c r="I35" s="1584"/>
      <c r="J35" s="1585"/>
      <c r="K35" s="2932"/>
      <c r="L35" s="2931"/>
      <c r="M35" s="2931"/>
    </row>
    <row r="36" spans="1:18" ht="18" customHeight="1">
      <c r="A36" s="1262" t="s">
        <v>1007</v>
      </c>
      <c r="B36" s="308" t="s">
        <v>1414</v>
      </c>
      <c r="C36" s="24">
        <f ca="1">ROUND(C29*F36,0)</f>
        <v>0</v>
      </c>
      <c r="D36" s="1530" t="s">
        <v>1447</v>
      </c>
      <c r="E36" s="308" t="s">
        <v>1387</v>
      </c>
      <c r="F36" s="334">
        <f ca="1">INDIRECT("'数据-取费表'!Ak"&amp;$G$1)</f>
        <v>0</v>
      </c>
      <c r="G36" s="1570"/>
      <c r="H36" s="2931"/>
      <c r="I36" s="1584"/>
      <c r="J36" s="1585"/>
      <c r="K36" s="2772"/>
      <c r="L36" s="2931"/>
      <c r="M36" s="2931"/>
    </row>
    <row r="37" spans="1:18" ht="18" customHeight="1">
      <c r="A37" s="1113" t="s">
        <v>1043</v>
      </c>
      <c r="B37" s="308" t="s">
        <v>1418</v>
      </c>
      <c r="C37" s="24">
        <f ca="1">ROUND(C13*F37,0)</f>
        <v>0</v>
      </c>
      <c r="D37" s="1530" t="s">
        <v>1419</v>
      </c>
      <c r="E37" s="308" t="s">
        <v>1420</v>
      </c>
      <c r="F37" s="336">
        <f ca="1">INDIRECT("'数据-取费表'!Al"&amp;$G$1)</f>
        <v>0</v>
      </c>
      <c r="G37" s="1570"/>
      <c r="H37" s="2931"/>
      <c r="I37" s="1584"/>
      <c r="J37" s="1585"/>
      <c r="K37" s="2772"/>
      <c r="L37" s="2931"/>
      <c r="M37" s="2931"/>
    </row>
    <row r="38" spans="1:18" ht="18" customHeight="1" thickBot="1">
      <c r="A38" s="1249" t="s">
        <v>1358</v>
      </c>
      <c r="B38" s="1250" t="s">
        <v>1404</v>
      </c>
      <c r="C38" s="1251">
        <f ca="1">ROUND(C5*F38,1)</f>
        <v>0</v>
      </c>
      <c r="D38" s="1252" t="s">
        <v>1424</v>
      </c>
      <c r="E38" s="1250" t="s">
        <v>1420</v>
      </c>
      <c r="F38" s="1246">
        <f ca="1">INDIRECT("'数据-取费表'!Am"&amp;$G$1)</f>
        <v>0</v>
      </c>
      <c r="G38" s="1570"/>
      <c r="H38" s="2931"/>
      <c r="I38" s="1584"/>
      <c r="J38" s="1585"/>
      <c r="K38" s="2935"/>
      <c r="L38" s="2931"/>
      <c r="M38" s="2931"/>
    </row>
    <row r="39" spans="1:18" ht="24.6" customHeight="1" thickTop="1">
      <c r="A39" s="1239" t="s">
        <v>999</v>
      </c>
      <c r="B39" s="1254" t="s">
        <v>1448</v>
      </c>
      <c r="C39" s="316">
        <f ca="1">C5-C30</f>
        <v>0</v>
      </c>
      <c r="D39" s="1255" t="s">
        <v>1449</v>
      </c>
      <c r="E39" s="1256"/>
      <c r="F39" s="1257"/>
      <c r="G39" s="1570"/>
      <c r="H39" s="2931"/>
      <c r="I39" s="1584"/>
      <c r="J39" s="1585"/>
      <c r="K39" s="2935"/>
      <c r="L39" s="2931"/>
      <c r="M39" s="2931"/>
    </row>
    <row r="40" spans="1:18" ht="18" customHeight="1">
      <c r="A40" s="305" t="s">
        <v>1000</v>
      </c>
      <c r="B40" s="306" t="s">
        <v>1450</v>
      </c>
      <c r="C40" s="307" t="e">
        <f ca="1">ROUND(C39*(1-((1+F42)/(1+F40))^F41)/(F40-F42),0)</f>
        <v>#DIV/0!</v>
      </c>
      <c r="D40" s="330" t="s">
        <v>1434</v>
      </c>
      <c r="E40" s="308" t="s">
        <v>1435</v>
      </c>
      <c r="F40" s="318">
        <f ca="1">INDIRECT("'数据-取费表'!I"&amp;$G$1)</f>
        <v>0</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0</v>
      </c>
      <c r="G41" s="1570"/>
      <c r="H41" s="1353"/>
      <c r="I41" s="1584"/>
      <c r="J41" s="1585"/>
      <c r="K41" s="2772"/>
      <c r="L41" s="1353"/>
      <c r="M41" s="1353"/>
    </row>
    <row r="42" spans="1:18" ht="18" customHeight="1">
      <c r="A42" s="314"/>
      <c r="B42" s="315"/>
      <c r="C42" s="316"/>
      <c r="D42" s="333"/>
      <c r="E42" s="308" t="s">
        <v>1442</v>
      </c>
      <c r="F42" s="318">
        <f ca="1">INDIRECT("'数据-取费表'!v"&amp;$G$1)</f>
        <v>0</v>
      </c>
      <c r="G42" s="1570"/>
      <c r="H42" s="1353"/>
      <c r="I42" s="1584"/>
      <c r="J42" s="1585"/>
      <c r="K42" s="2772"/>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1569</v>
      </c>
      <c r="E45" s="1586"/>
      <c r="F45" s="1586"/>
      <c r="O45" s="1589" t="s">
        <v>1484</v>
      </c>
      <c r="P45" s="1647"/>
      <c r="Q45" s="1647"/>
      <c r="R45" s="1647"/>
    </row>
    <row r="46" spans="1:18" s="1570" customFormat="1" ht="13.5" thickBot="1">
      <c r="A46" s="1590" t="s">
        <v>1485</v>
      </c>
      <c r="C46" s="1591" t="e">
        <f ca="1">ROUND(C45/10000,0)</f>
        <v>#DIV/0!</v>
      </c>
      <c r="D46" s="1592" t="str">
        <f>C2</f>
        <v>万元</v>
      </c>
      <c r="I46" s="1593" t="s">
        <v>1486</v>
      </c>
      <c r="J46" s="1594"/>
      <c r="K46" s="1595"/>
      <c r="L46" s="1596" t="e">
        <f ca="1">IF(M47="住宅",0,IF(L48&gt;J51,L60,J60))</f>
        <v>#DIV/0!</v>
      </c>
      <c r="O46" s="1597" t="s">
        <v>1487</v>
      </c>
      <c r="P46" s="1598" t="s">
        <v>1488</v>
      </c>
      <c r="Q46" s="1599" t="s">
        <v>1489</v>
      </c>
      <c r="R46" s="1599" t="s">
        <v>1490</v>
      </c>
    </row>
    <row r="47" spans="1:18" s="1570" customFormat="1" ht="13.5" thickBot="1">
      <c r="A47" s="1077" t="s">
        <v>1361</v>
      </c>
      <c r="B47" s="1109" t="s">
        <v>1362</v>
      </c>
      <c r="C47" s="1109"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28.5" thickBot="1">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3.5" thickBot="1">
      <c r="A49" s="1106" t="s">
        <v>1104</v>
      </c>
      <c r="B49" s="1557" t="s">
        <v>1455</v>
      </c>
      <c r="C49" s="1274">
        <f ca="1">ROUND(F49*F51*F50*(1-F52),0)</f>
        <v>0</v>
      </c>
      <c r="D49" s="1186" t="s">
        <v>1369</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3.5" thickBot="1">
      <c r="A50" s="1107"/>
      <c r="B50" s="1110"/>
      <c r="C50" s="1111"/>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3.5" thickBot="1">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3.5" thickBot="1">
      <c r="A52" s="1108"/>
      <c r="B52" s="1110"/>
      <c r="C52" s="1111"/>
      <c r="D52" s="1084"/>
      <c r="E52" s="1112" t="s">
        <v>1373</v>
      </c>
      <c r="F52" s="1185"/>
      <c r="I52" s="1623" t="s">
        <v>1508</v>
      </c>
      <c r="J52" s="1624"/>
      <c r="K52" s="1623" t="s">
        <v>1509</v>
      </c>
      <c r="L52" s="1624"/>
      <c r="O52" s="1614" t="s">
        <v>1013</v>
      </c>
      <c r="P52" s="1605" t="s">
        <v>1510</v>
      </c>
      <c r="Q52" s="1606">
        <f ca="1">J53</f>
        <v>0</v>
      </c>
      <c r="R52" s="1606" t="s">
        <v>1511</v>
      </c>
    </row>
    <row r="53" spans="1:18" s="1570" customFormat="1" ht="30.75" customHeight="1" thickBot="1">
      <c r="A53" s="1271" t="s">
        <v>1105</v>
      </c>
      <c r="B53" s="329" t="s">
        <v>1374</v>
      </c>
      <c r="C53" s="322">
        <f ca="1">ROUND(IF(F53="押一",C49/12*F11,IF(F53="押二",C49/12*2*F11,IF(F53="押三",C49/12*3*F11,C54*F11))),0)</f>
        <v>0</v>
      </c>
      <c r="D53" s="1552" t="s">
        <v>2861</v>
      </c>
      <c r="E53" s="319" t="s">
        <v>1375</v>
      </c>
      <c r="F53" s="1276"/>
      <c r="I53" s="1625" t="s">
        <v>1512</v>
      </c>
      <c r="J53" s="2388">
        <f ca="1">IF(M47="住宅",IF(D1="——",MAX(J51,L48),MAX(J51,L48-'数据-取费表'!B24)),IF(D1="——",MIN(J51,L48),MIN(J51,L48-'数据-取费表'!B24)))</f>
        <v>0</v>
      </c>
      <c r="K53" s="3238" t="s">
        <v>1513</v>
      </c>
      <c r="L53" s="3239"/>
      <c r="O53" s="1604" t="s">
        <v>1014</v>
      </c>
      <c r="P53" s="1605" t="s">
        <v>1514</v>
      </c>
      <c r="Q53" s="1606" t="e">
        <f ca="1">Q47+Q48</f>
        <v>#DIV/0!</v>
      </c>
      <c r="R53" s="1606" t="s">
        <v>1015</v>
      </c>
    </row>
    <row r="54" spans="1:18" s="1570" customFormat="1" ht="13.5" thickBot="1">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#DIV/0!</v>
      </c>
      <c r="K55" s="1631" t="s">
        <v>1517</v>
      </c>
      <c r="L55" s="1632"/>
      <c r="O55" s="1597" t="s">
        <v>1487</v>
      </c>
      <c r="P55" s="1598" t="s">
        <v>1488</v>
      </c>
      <c r="Q55" s="1599" t="s">
        <v>1489</v>
      </c>
      <c r="R55" s="1599" t="s">
        <v>1490</v>
      </c>
    </row>
    <row r="56" spans="1:18" s="1570" customFormat="1" ht="36" customHeight="1" thickTop="1" thickBot="1">
      <c r="A56" s="1088">
        <v>2</v>
      </c>
      <c r="B56" s="1089" t="s">
        <v>1379</v>
      </c>
      <c r="C56" s="238">
        <f ca="1">C13</f>
        <v>0</v>
      </c>
      <c r="D56" s="1633"/>
      <c r="E56" s="1634"/>
      <c r="F56" s="1626"/>
      <c r="I56" s="1635" t="s">
        <v>1519</v>
      </c>
      <c r="J56" s="1636"/>
      <c r="K56" s="1607" t="s">
        <v>1520</v>
      </c>
      <c r="L56" s="1610">
        <f ca="1">IF(L48&lt;J51,"——",L48-J51)</f>
        <v>0</v>
      </c>
      <c r="O56" s="1604" t="s">
        <v>1008</v>
      </c>
      <c r="P56" s="1605" t="s">
        <v>1493</v>
      </c>
      <c r="Q56" s="1606" t="e">
        <f ca="1">C40+J29</f>
        <v>#DIV/0!</v>
      </c>
      <c r="R56" s="1606" t="s">
        <v>1494</v>
      </c>
    </row>
    <row r="57" spans="1:18" s="1570" customFormat="1" ht="24.75" thickBot="1">
      <c r="A57" s="1637"/>
      <c r="B57" s="1081" t="s">
        <v>1443</v>
      </c>
      <c r="C57" s="244">
        <f ca="1">C29</f>
        <v>0</v>
      </c>
      <c r="D57" s="1638"/>
      <c r="E57" s="1639"/>
      <c r="F57" s="1640"/>
      <c r="I57" s="1641" t="s">
        <v>1521</v>
      </c>
      <c r="J57" s="1642">
        <f ca="1">IF(OR(M47="住宅",J51&lt;L48,J56="是"),"——",J51-L48)</f>
        <v>0</v>
      </c>
      <c r="K57" s="1607" t="s">
        <v>1570</v>
      </c>
      <c r="L57" s="1610">
        <f ca="1">IF(L48&lt;J51,"——",IF(L55="比较法",L49,IF(L55="基准地价",L50,L51)))</f>
        <v>0</v>
      </c>
      <c r="O57" s="1604" t="s">
        <v>1009</v>
      </c>
      <c r="P57" s="1605" t="s">
        <v>1571</v>
      </c>
      <c r="Q57" s="1606" t="e">
        <f ca="1">L60</f>
        <v>#DIV/0!</v>
      </c>
      <c r="R57" s="1606" t="s">
        <v>1572</v>
      </c>
    </row>
    <row r="58" spans="1:18" s="1570" customFormat="1" ht="24.75" thickBot="1">
      <c r="A58" s="321" t="s">
        <v>998</v>
      </c>
      <c r="B58" s="1089" t="s">
        <v>1389</v>
      </c>
      <c r="C58" s="322">
        <f ca="1">ROUND(C59+C64+C65+C66,0)</f>
        <v>0</v>
      </c>
      <c r="D58" s="1091" t="s">
        <v>1390</v>
      </c>
      <c r="E58" s="1092"/>
      <c r="F58" s="1093"/>
      <c r="I58" s="1641" t="s">
        <v>1525</v>
      </c>
      <c r="J58" s="1643" t="e">
        <f ca="1">IF(J55&lt;0.4,0.4,J55)</f>
        <v>#DIV/0!</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6">
        <f ca="1">ROUND(IF(AND(项目基本情况!B11="自然人",项目基本情况!B10="北京市"),C49*F59/(1+'数据-取费表'!C42),C60+C61+C62),0)</f>
        <v>0</v>
      </c>
      <c r="D59" s="1094" t="s">
        <v>1395</v>
      </c>
      <c r="E59" s="1095" t="s">
        <v>1396</v>
      </c>
      <c r="F59" s="2535" t="str">
        <f>IF(项目基本情况!B11="企业","——",IF('数据-取费表'!B10="住宅",IF(F49*F50*F51/12/(1+'数据-取费表'!F30)&gt;100000,4%,2.5%),IF(F49*F50*F51/12/(1+'数据-取费表'!F30)&gt;100000,12%,7%)))</f>
        <v>——</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IF(项目基本情况!B11="自然人","——",IF(D61="按租金收入计税",ROUND(C48*F61,0),IF(D61="按房产原值计税",ROUND(C57*F61*0.7,0),INDIRECT("'数据-取费表'!Aj"&amp;$G$1))))</f>
        <v>0</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3.5" thickBot="1">
      <c r="A62" s="1113" t="s">
        <v>1460</v>
      </c>
      <c r="B62" s="1080" t="s">
        <v>1461</v>
      </c>
      <c r="C62" s="25">
        <f ca="1">IF(项目基本情况!B11="自然人","——",ROUND(F62*F63,0))</f>
        <v>0</v>
      </c>
      <c r="D62" s="1096" t="s">
        <v>1462</v>
      </c>
      <c r="E62" s="1081" t="s">
        <v>1463</v>
      </c>
      <c r="F62" s="331">
        <f t="shared" si="0"/>
        <v>24</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3.5"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ROUND(C57*F64,0)</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ROUND(C56*F65,0)</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5" thickBot="1">
      <c r="A66" s="1113" t="s">
        <v>1469</v>
      </c>
      <c r="B66" s="1081" t="s">
        <v>1404</v>
      </c>
      <c r="C66" s="24">
        <f ca="1">ROUND(C48*F66,0)</f>
        <v>0</v>
      </c>
      <c r="D66" s="1095" t="s">
        <v>1470</v>
      </c>
      <c r="E66" s="1081" t="s">
        <v>1387</v>
      </c>
      <c r="F66" s="318">
        <f t="shared" ca="1" si="0"/>
        <v>0</v>
      </c>
      <c r="O66" s="1604" t="s">
        <v>1009</v>
      </c>
      <c r="P66" s="1605" t="s">
        <v>1523</v>
      </c>
      <c r="Q66" s="1606" t="e">
        <f ca="1">L60</f>
        <v>#DIV/0!</v>
      </c>
      <c r="R66" s="1606" t="s">
        <v>1546</v>
      </c>
    </row>
    <row r="67" spans="1:18" s="1570" customFormat="1" ht="16.5" thickBot="1">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5" thickBot="1">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3.5" thickBot="1">
      <c r="A69" s="1082"/>
      <c r="B69" s="1083"/>
      <c r="C69" s="312"/>
      <c r="D69" s="1101" t="s">
        <v>1438</v>
      </c>
      <c r="E69" s="1081" t="s">
        <v>1439</v>
      </c>
      <c r="F69" s="339">
        <f ca="1">F41</f>
        <v>0</v>
      </c>
      <c r="O69" s="1614" t="s">
        <v>1016</v>
      </c>
      <c r="P69" s="1653" t="s">
        <v>1549</v>
      </c>
      <c r="Q69" s="1606">
        <f ca="1">C39</f>
        <v>0</v>
      </c>
      <c r="R69" s="1606" t="s">
        <v>1494</v>
      </c>
    </row>
    <row r="70" spans="1:18" s="1570" customFormat="1" ht="13.5" thickBot="1">
      <c r="A70" s="1085"/>
      <c r="B70" s="1086"/>
      <c r="C70" s="316"/>
      <c r="D70" s="1097"/>
      <c r="E70" s="1081" t="s">
        <v>1442</v>
      </c>
      <c r="F70" s="1185">
        <f ca="1">F42</f>
        <v>0</v>
      </c>
      <c r="O70" s="1614" t="s">
        <v>1017</v>
      </c>
      <c r="P70" s="1653" t="s">
        <v>1550</v>
      </c>
      <c r="Q70" s="1606">
        <f ca="1">C13</f>
        <v>0</v>
      </c>
      <c r="R70" s="1606" t="s">
        <v>1494</v>
      </c>
    </row>
    <row r="71" spans="1:18" s="1570" customFormat="1" ht="13.5" thickBot="1">
      <c r="A71" s="1102" t="s">
        <v>1001</v>
      </c>
      <c r="B71" s="1103" t="s">
        <v>1452</v>
      </c>
      <c r="C71" s="342" t="e">
        <f ca="1">ROUND(C68/F71,0)</f>
        <v>#DIV/0!</v>
      </c>
      <c r="D71" s="1104" t="s">
        <v>1453</v>
      </c>
      <c r="E71" s="1105" t="s">
        <v>1454</v>
      </c>
      <c r="F71" s="345">
        <f ca="1">F43</f>
        <v>0</v>
      </c>
      <c r="O71" s="1614" t="s">
        <v>1018</v>
      </c>
      <c r="P71" s="1653" t="s">
        <v>1551</v>
      </c>
      <c r="Q71" s="1617">
        <f ca="1">C76</f>
        <v>0</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3.5" thickBot="1">
      <c r="A75" s="1570"/>
      <c r="B75" s="346" t="s">
        <v>1471</v>
      </c>
      <c r="C75" s="347">
        <f ca="1">ROUND(C13*C76,0)</f>
        <v>0</v>
      </c>
      <c r="D75" s="1570"/>
      <c r="E75" s="1570"/>
      <c r="F75" s="1570"/>
      <c r="K75" s="1588"/>
      <c r="L75" s="1570"/>
      <c r="O75" s="1604" t="s">
        <v>1014</v>
      </c>
      <c r="P75" s="1605" t="s">
        <v>1514</v>
      </c>
      <c r="Q75" s="1606" t="e">
        <f ca="1">Q65+Q66</f>
        <v>#DIV/0!</v>
      </c>
      <c r="R75" s="1606" t="s">
        <v>1015</v>
      </c>
    </row>
    <row r="76" spans="1:18">
      <c r="B76" s="348" t="s">
        <v>1472</v>
      </c>
      <c r="C76" s="349">
        <f ca="1">INDIRECT("'数据-取费表'!j"&amp;$G$1)</f>
        <v>0</v>
      </c>
      <c r="I76" s="1570"/>
      <c r="J76" s="1570"/>
      <c r="K76" s="1588"/>
      <c r="L76" s="1570"/>
    </row>
    <row r="77" spans="1:18">
      <c r="B77" s="350" t="s">
        <v>1473</v>
      </c>
      <c r="C77" s="351"/>
      <c r="I77" s="1570"/>
      <c r="J77" s="1570"/>
      <c r="K77" s="1588"/>
      <c r="L77" s="1570"/>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U518" sqref="U518"/>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5" t="s">
        <v>2348</v>
      </c>
      <c r="B1" s="2056"/>
      <c r="C1" s="2056"/>
      <c r="D1" s="2056"/>
      <c r="E1" s="2057"/>
      <c r="F1" s="2938"/>
      <c r="G1" s="1676"/>
      <c r="H1" s="1676"/>
      <c r="I1" s="1676"/>
      <c r="J1" s="1676"/>
      <c r="K1" s="1676"/>
      <c r="L1" s="1676"/>
      <c r="M1" s="1676"/>
      <c r="N1" s="1676"/>
      <c r="O1" s="1676"/>
      <c r="P1" s="1676"/>
      <c r="Q1" s="1676"/>
      <c r="R1" s="1676"/>
      <c r="S1" s="1676"/>
    </row>
    <row r="2" spans="1:22" ht="15.75">
      <c r="A2" s="2058" t="s">
        <v>2149</v>
      </c>
      <c r="B2" s="2059">
        <f ca="1">SUMIF(B6:B13,"&lt;&gt;#ref!",B6:B13)</f>
        <v>18556</v>
      </c>
      <c r="C2" s="2060" t="s">
        <v>2341</v>
      </c>
      <c r="D2" s="2061" t="s">
        <v>2342</v>
      </c>
      <c r="E2" s="2835">
        <f>SUM(E6:E13)</f>
        <v>8276.64</v>
      </c>
      <c r="F2" s="2938"/>
      <c r="G2" s="1676"/>
      <c r="H2" s="1676"/>
      <c r="I2" s="1676"/>
      <c r="J2" s="1676"/>
      <c r="K2" s="1676"/>
      <c r="L2" s="1676"/>
      <c r="M2" s="1676"/>
      <c r="N2" s="1676"/>
      <c r="O2" s="1676"/>
      <c r="P2" s="1676"/>
      <c r="Q2" s="1676"/>
      <c r="R2" s="1676"/>
      <c r="S2" s="1676"/>
    </row>
    <row r="3" spans="1:22" ht="15.75">
      <c r="A3" s="2058" t="s">
        <v>1360</v>
      </c>
      <c r="B3" s="2829">
        <f ca="1">ROUND(B2*10000/E2,0)</f>
        <v>22420</v>
      </c>
      <c r="C3" s="2060" t="s">
        <v>2349</v>
      </c>
      <c r="D3" s="2940"/>
      <c r="E3" s="2942"/>
      <c r="F3" s="2938"/>
      <c r="G3" s="1676"/>
      <c r="H3" s="1676"/>
      <c r="I3" s="1676"/>
      <c r="J3" s="1676"/>
      <c r="K3" s="1676"/>
      <c r="L3" s="1676"/>
      <c r="M3" s="1676"/>
      <c r="N3" s="1676"/>
      <c r="O3" s="1676"/>
      <c r="P3" s="1676"/>
      <c r="Q3" s="1676"/>
      <c r="R3" s="1676"/>
      <c r="S3" s="1676"/>
    </row>
    <row r="4" spans="1:22" ht="15.75">
      <c r="A4" s="2943"/>
      <c r="B4" s="2940"/>
      <c r="C4" s="2940"/>
      <c r="D4" s="2940"/>
      <c r="E4" s="2942"/>
      <c r="F4" s="2938"/>
      <c r="G4" s="1676"/>
      <c r="H4" s="1676"/>
      <c r="I4" s="1676"/>
      <c r="J4" s="1676"/>
      <c r="K4" s="1676"/>
      <c r="L4" s="1676"/>
      <c r="M4" s="1676"/>
      <c r="N4" s="1676"/>
      <c r="O4" s="1676"/>
      <c r="P4" s="1676"/>
      <c r="Q4" s="1676"/>
      <c r="R4" s="1676"/>
      <c r="S4" s="1676"/>
    </row>
    <row r="5" spans="1:22" ht="15">
      <c r="A5" s="2831" t="s">
        <v>2343</v>
      </c>
      <c r="B5" s="3243" t="s">
        <v>2344</v>
      </c>
      <c r="C5" s="3244"/>
      <c r="D5" s="2939"/>
      <c r="E5" s="2062" t="s">
        <v>2345</v>
      </c>
      <c r="F5" s="2063" t="s">
        <v>2346</v>
      </c>
      <c r="G5" s="1676"/>
      <c r="H5" s="1676"/>
      <c r="I5" s="1676"/>
      <c r="J5" s="1676"/>
      <c r="K5" s="1676"/>
      <c r="L5" s="1676"/>
      <c r="M5" s="1676"/>
      <c r="N5" s="1676"/>
      <c r="O5" s="1676"/>
      <c r="P5" s="1676"/>
      <c r="Q5" s="1676"/>
      <c r="R5" s="1676"/>
      <c r="S5" s="1676"/>
    </row>
    <row r="6" spans="1:22">
      <c r="A6" s="2832" t="str">
        <f>'数据-取费表'!AN6</f>
        <v>收益法</v>
      </c>
      <c r="B6" s="2830">
        <f ca="1">IF(F6="是",'数据-取费表'!AO6,0)</f>
        <v>18556</v>
      </c>
      <c r="C6" s="2060" t="s">
        <v>2341</v>
      </c>
      <c r="D6" s="2940"/>
      <c r="E6" s="2834">
        <f>IF(OR(A6=0,F6="否"),0,'数据-取费表'!K6+'数据-取费表'!S6)</f>
        <v>8276.64</v>
      </c>
      <c r="F6" s="2064" t="s">
        <v>2347</v>
      </c>
      <c r="G6" s="1676"/>
      <c r="H6" s="1676"/>
      <c r="I6" s="1676"/>
      <c r="J6" s="1676"/>
      <c r="K6" s="1676"/>
      <c r="L6" s="1676"/>
      <c r="M6" s="1676"/>
      <c r="N6" s="1676"/>
      <c r="O6" s="1676"/>
      <c r="P6" s="1676"/>
      <c r="Q6" s="1676"/>
      <c r="R6" s="1676"/>
      <c r="S6" s="1676"/>
    </row>
    <row r="7" spans="1:22">
      <c r="A7" s="2832">
        <f>'数据-取费表'!AN7</f>
        <v>0</v>
      </c>
      <c r="B7" s="2830" t="e">
        <f ca="1">IF(F7="是",'数据-取费表'!AO7,0)</f>
        <v>#REF!</v>
      </c>
      <c r="C7" s="2060" t="s">
        <v>2341</v>
      </c>
      <c r="D7" s="2940"/>
      <c r="E7" s="2834">
        <f>IF(OR(A7=0,F7="否"),0,'数据-取费表'!K7+'数据-取费表'!S7)</f>
        <v>0</v>
      </c>
      <c r="F7" s="2064" t="s">
        <v>2347</v>
      </c>
      <c r="G7" s="1676"/>
      <c r="H7" s="1676"/>
      <c r="I7" s="1676"/>
      <c r="J7" s="1676"/>
      <c r="K7" s="1676"/>
      <c r="L7" s="1676"/>
      <c r="M7" s="1676"/>
      <c r="N7" s="1676"/>
      <c r="O7" s="1676"/>
      <c r="P7" s="1676"/>
      <c r="Q7" s="1676"/>
      <c r="R7" s="1676"/>
      <c r="S7" s="1676"/>
    </row>
    <row r="8" spans="1:22">
      <c r="A8" s="2832">
        <f>'数据-取费表'!AN8</f>
        <v>0</v>
      </c>
      <c r="B8" s="2830" t="e">
        <f ca="1">IF(F8="是",'数据-取费表'!AO8,0)</f>
        <v>#REF!</v>
      </c>
      <c r="C8" s="2060" t="s">
        <v>2341</v>
      </c>
      <c r="D8" s="2940"/>
      <c r="E8" s="2834">
        <f>IF(OR(A8=0,F8="否"),0,'数据-取费表'!K8+'数据-取费表'!S8)</f>
        <v>0</v>
      </c>
      <c r="F8" s="2064" t="s">
        <v>2347</v>
      </c>
      <c r="G8" s="1676"/>
      <c r="H8" s="1676"/>
      <c r="I8" s="1676"/>
      <c r="J8" s="1676"/>
      <c r="K8" s="1676"/>
      <c r="L8" s="1676"/>
      <c r="M8" s="1676"/>
      <c r="N8" s="1676"/>
      <c r="O8" s="1676"/>
      <c r="P8" s="1676"/>
      <c r="Q8" s="1676"/>
      <c r="R8" s="1676"/>
      <c r="S8" s="1676"/>
    </row>
    <row r="9" spans="1:22">
      <c r="A9" s="2832">
        <f>'数据-取费表'!AN9</f>
        <v>0</v>
      </c>
      <c r="B9" s="2830" t="e">
        <f ca="1">IF(F9="是",'数据-取费表'!AO9,0)</f>
        <v>#REF!</v>
      </c>
      <c r="C9" s="2060" t="s">
        <v>2341</v>
      </c>
      <c r="D9" s="2940"/>
      <c r="E9" s="2834">
        <f>IF(OR(A9=0,F9="否"),0,'数据-取费表'!K9+'数据-取费表'!S9)</f>
        <v>0</v>
      </c>
      <c r="F9" s="2064" t="s">
        <v>2347</v>
      </c>
      <c r="G9" s="1676"/>
      <c r="H9" s="1676"/>
      <c r="I9" s="1676"/>
      <c r="J9" s="1676"/>
      <c r="K9" s="1676"/>
      <c r="L9" s="1676"/>
      <c r="M9" s="1676"/>
      <c r="N9" s="1676"/>
      <c r="O9" s="1676"/>
      <c r="P9" s="1676"/>
      <c r="Q9" s="1676"/>
      <c r="R9" s="1676"/>
      <c r="S9" s="1676"/>
    </row>
    <row r="10" spans="1:22">
      <c r="A10" s="2832">
        <f>'数据-取费表'!AN10</f>
        <v>0</v>
      </c>
      <c r="B10" s="2830" t="e">
        <f ca="1">IF(F10="是",'数据-取费表'!AO10,0)</f>
        <v>#REF!</v>
      </c>
      <c r="C10" s="2060" t="s">
        <v>2341</v>
      </c>
      <c r="D10" s="2940"/>
      <c r="E10" s="2834">
        <f>IF(OR(A10=0,F10="否"),0,'数据-取费表'!K10+'数据-取费表'!S10)</f>
        <v>0</v>
      </c>
      <c r="F10" s="2064" t="s">
        <v>2347</v>
      </c>
      <c r="G10" s="1676"/>
      <c r="H10" s="1676"/>
      <c r="I10" s="1676"/>
      <c r="J10" s="1676"/>
      <c r="K10" s="1676"/>
      <c r="L10" s="1676"/>
      <c r="M10" s="1676"/>
      <c r="N10" s="1676"/>
      <c r="O10" s="1676"/>
      <c r="P10" s="1676"/>
      <c r="Q10" s="1676"/>
      <c r="R10" s="1676"/>
      <c r="S10" s="1676"/>
    </row>
    <row r="11" spans="1:22">
      <c r="A11" s="2832">
        <f>'数据-取费表'!AN11</f>
        <v>0</v>
      </c>
      <c r="B11" s="2830" t="e">
        <f ca="1">IF(F11="是",'数据-取费表'!AO11,0)</f>
        <v>#REF!</v>
      </c>
      <c r="C11" s="2060" t="s">
        <v>2341</v>
      </c>
      <c r="D11" s="2940"/>
      <c r="E11" s="2834">
        <f>IF(OR(A11=0,F11="否"),0,'数据-取费表'!K11+'数据-取费表'!S11)</f>
        <v>0</v>
      </c>
      <c r="F11" s="2064" t="s">
        <v>2347</v>
      </c>
      <c r="G11" s="1676"/>
      <c r="H11" s="1676"/>
      <c r="I11" s="1676"/>
      <c r="J11" s="1676"/>
      <c r="K11" s="1676"/>
      <c r="L11" s="1676"/>
      <c r="M11" s="1676"/>
      <c r="N11" s="1676"/>
      <c r="O11" s="1676"/>
      <c r="P11" s="1676"/>
      <c r="Q11" s="1676"/>
      <c r="R11" s="1676"/>
      <c r="S11" s="1676"/>
    </row>
    <row r="12" spans="1:22">
      <c r="A12" s="2832">
        <f>'数据-取费表'!AN12</f>
        <v>0</v>
      </c>
      <c r="B12" s="2830" t="e">
        <f ca="1">IF(F12="是",'数据-取费表'!AO12,0)</f>
        <v>#REF!</v>
      </c>
      <c r="C12" s="2060" t="s">
        <v>2341</v>
      </c>
      <c r="D12" s="2940"/>
      <c r="E12" s="2834">
        <f>IF(OR(A12=0,F12="否"),0,'数据-取费表'!K12+'数据-取费表'!S12)</f>
        <v>0</v>
      </c>
      <c r="F12" s="2064" t="s">
        <v>2347</v>
      </c>
      <c r="G12" s="1676"/>
      <c r="H12" s="1676"/>
      <c r="I12" s="1676"/>
      <c r="J12" s="1676"/>
      <c r="K12" s="1676"/>
      <c r="L12" s="1676"/>
      <c r="M12" s="1676"/>
      <c r="N12" s="1676"/>
      <c r="O12" s="1676"/>
      <c r="P12" s="1676"/>
      <c r="Q12" s="1676"/>
      <c r="R12" s="1676"/>
      <c r="S12" s="1676"/>
    </row>
    <row r="13" spans="1:22" ht="15" thickBot="1">
      <c r="A13" s="2833">
        <f>'数据-取费表'!AN13</f>
        <v>0</v>
      </c>
      <c r="B13" s="2830" t="e">
        <f ca="1">IF(F13="是",'数据-取费表'!AO13,0)</f>
        <v>#REF!</v>
      </c>
      <c r="C13" s="2065" t="s">
        <v>2341</v>
      </c>
      <c r="D13" s="2941"/>
      <c r="E13" s="2834">
        <f>IF(OR(A13=0,F13="否"),0,'数据-取费表'!K13+'数据-取费表'!S13)</f>
        <v>0</v>
      </c>
      <c r="F13" s="2064" t="s">
        <v>2347</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U518" sqref="U518"/>
    </sheetView>
  </sheetViews>
  <sheetFormatPr defaultRowHeight="13.5"/>
  <cols>
    <col min="1" max="1" width="10.5" customWidth="1"/>
    <col min="2" max="2" width="12.875" customWidth="1"/>
    <col min="3" max="3" width="8.75" customWidth="1"/>
  </cols>
  <sheetData>
    <row r="1" spans="1:9" ht="14.25">
      <c r="A1" s="3245" t="s">
        <v>1044</v>
      </c>
      <c r="B1" s="3246"/>
      <c r="C1" s="3247"/>
      <c r="D1" s="3248">
        <f>SUM(I10,I15,I20,I21,I23)</f>
        <v>0</v>
      </c>
      <c r="E1" s="3248"/>
      <c r="F1" s="3248"/>
      <c r="G1" s="3248"/>
      <c r="H1" s="3248"/>
      <c r="I1" s="3249"/>
    </row>
    <row r="2" spans="1:9">
      <c r="A2" s="3250" t="s">
        <v>1045</v>
      </c>
      <c r="B2" s="3251" t="s">
        <v>1046</v>
      </c>
      <c r="C2" s="3251"/>
      <c r="D2" s="1211" t="s">
        <v>1047</v>
      </c>
      <c r="E2" s="1211" t="s">
        <v>1048</v>
      </c>
      <c r="F2" s="1211" t="s">
        <v>1049</v>
      </c>
      <c r="G2" s="1211" t="s">
        <v>1050</v>
      </c>
      <c r="H2" s="1211" t="s">
        <v>1051</v>
      </c>
      <c r="I2" s="1212" t="s">
        <v>1052</v>
      </c>
    </row>
    <row r="3" spans="1:9">
      <c r="A3" s="3250"/>
      <c r="B3" s="3251" t="s">
        <v>1053</v>
      </c>
      <c r="C3" s="3251"/>
      <c r="D3" s="1213"/>
      <c r="E3" s="1211"/>
      <c r="F3" s="1214"/>
      <c r="G3" s="1214"/>
      <c r="H3" s="1215"/>
      <c r="I3" s="1216">
        <f>ROUND(D3*E3*F3*G3*H3/10000,0)</f>
        <v>0</v>
      </c>
    </row>
    <row r="4" spans="1:9">
      <c r="A4" s="3250"/>
      <c r="B4" s="3251" t="s">
        <v>1054</v>
      </c>
      <c r="C4" s="3251"/>
      <c r="D4" s="1213"/>
      <c r="E4" s="1211"/>
      <c r="F4" s="1214"/>
      <c r="G4" s="1214"/>
      <c r="H4" s="1215"/>
      <c r="I4" s="1216">
        <f t="shared" ref="I4:I9" si="0">ROUND(D4*E4*F4*G4*H4/10000,0)</f>
        <v>0</v>
      </c>
    </row>
    <row r="5" spans="1:9">
      <c r="A5" s="3250"/>
      <c r="B5" s="3251" t="s">
        <v>1055</v>
      </c>
      <c r="C5" s="3251"/>
      <c r="D5" s="1213"/>
      <c r="E5" s="1211"/>
      <c r="F5" s="1214"/>
      <c r="G5" s="1214"/>
      <c r="H5" s="1215"/>
      <c r="I5" s="1216">
        <f t="shared" si="0"/>
        <v>0</v>
      </c>
    </row>
    <row r="6" spans="1:9">
      <c r="A6" s="3250"/>
      <c r="B6" s="3251" t="s">
        <v>1056</v>
      </c>
      <c r="C6" s="3251"/>
      <c r="D6" s="1213"/>
      <c r="E6" s="1211"/>
      <c r="F6" s="1214"/>
      <c r="G6" s="1214"/>
      <c r="H6" s="1215"/>
      <c r="I6" s="1216">
        <f t="shared" si="0"/>
        <v>0</v>
      </c>
    </row>
    <row r="7" spans="1:9">
      <c r="A7" s="3250"/>
      <c r="B7" s="3251" t="s">
        <v>1057</v>
      </c>
      <c r="C7" s="3251"/>
      <c r="D7" s="1213"/>
      <c r="E7" s="1211"/>
      <c r="F7" s="1214"/>
      <c r="G7" s="1214"/>
      <c r="H7" s="1215"/>
      <c r="I7" s="1216">
        <f t="shared" si="0"/>
        <v>0</v>
      </c>
    </row>
    <row r="8" spans="1:9">
      <c r="A8" s="3250"/>
      <c r="B8" s="3251" t="s">
        <v>1058</v>
      </c>
      <c r="C8" s="3251"/>
      <c r="D8" s="1213"/>
      <c r="E8" s="1211"/>
      <c r="F8" s="1214"/>
      <c r="G8" s="1214"/>
      <c r="H8" s="1215"/>
      <c r="I8" s="1216">
        <f t="shared" si="0"/>
        <v>0</v>
      </c>
    </row>
    <row r="9" spans="1:9">
      <c r="A9" s="3250"/>
      <c r="B9" s="3251" t="s">
        <v>1059</v>
      </c>
      <c r="C9" s="3251"/>
      <c r="D9" s="1213"/>
      <c r="E9" s="1211"/>
      <c r="F9" s="1214"/>
      <c r="G9" s="1214"/>
      <c r="H9" s="1215"/>
      <c r="I9" s="1216">
        <f t="shared" si="0"/>
        <v>0</v>
      </c>
    </row>
    <row r="10" spans="1:9">
      <c r="A10" s="3250"/>
      <c r="B10" s="3252" t="s">
        <v>1060</v>
      </c>
      <c r="C10" s="3252"/>
      <c r="D10" s="1217"/>
      <c r="E10" s="1217" t="e">
        <f>ROUND(D1*10000/D10/H9,0)</f>
        <v>#DIV/0!</v>
      </c>
      <c r="F10" s="1218"/>
      <c r="G10" s="1218"/>
      <c r="H10" s="1219"/>
      <c r="I10" s="1220">
        <f>SUM(I3:I9)</f>
        <v>0</v>
      </c>
    </row>
    <row r="11" spans="1:9" ht="14.25">
      <c r="A11" s="3250" t="s">
        <v>1061</v>
      </c>
      <c r="B11" s="3251" t="s">
        <v>1062</v>
      </c>
      <c r="C11" s="3251"/>
      <c r="D11" s="1213" t="s">
        <v>1063</v>
      </c>
      <c r="E11" s="1213" t="s">
        <v>1064</v>
      </c>
      <c r="F11" s="1214" t="s">
        <v>1065</v>
      </c>
      <c r="G11" s="1214" t="s">
        <v>1051</v>
      </c>
      <c r="H11" s="1221" t="s">
        <v>1066</v>
      </c>
      <c r="I11" s="1212" t="s">
        <v>1052</v>
      </c>
    </row>
    <row r="12" spans="1:9">
      <c r="A12" s="3250"/>
      <c r="B12" s="3251" t="s">
        <v>1067</v>
      </c>
      <c r="C12" s="3251"/>
      <c r="D12" s="1213"/>
      <c r="E12" s="1213"/>
      <c r="F12" s="1214"/>
      <c r="G12" s="1215"/>
      <c r="H12" s="1222"/>
      <c r="I12" s="1212">
        <f>ROUND(D12*E12*F12*G12/10000,0)</f>
        <v>0</v>
      </c>
    </row>
    <row r="13" spans="1:9">
      <c r="A13" s="3250"/>
      <c r="B13" s="3251" t="s">
        <v>1068</v>
      </c>
      <c r="C13" s="3251"/>
      <c r="D13" s="1213"/>
      <c r="E13" s="1213"/>
      <c r="F13" s="1214"/>
      <c r="G13" s="1215"/>
      <c r="H13" s="1222"/>
      <c r="I13" s="1212">
        <f>ROUND(D13*E13*F13*G13/10000,0)</f>
        <v>0</v>
      </c>
    </row>
    <row r="14" spans="1:9">
      <c r="A14" s="3250"/>
      <c r="B14" s="3251" t="s">
        <v>1069</v>
      </c>
      <c r="C14" s="3251"/>
      <c r="D14" s="1213"/>
      <c r="E14" s="1213"/>
      <c r="F14" s="1214"/>
      <c r="G14" s="1215"/>
      <c r="H14" s="1222"/>
      <c r="I14" s="1212">
        <f>ROUND(D14*E14*F14*G14/10000,0)</f>
        <v>0</v>
      </c>
    </row>
    <row r="15" spans="1:9">
      <c r="A15" s="3250"/>
      <c r="B15" s="3252" t="s">
        <v>1060</v>
      </c>
      <c r="C15" s="3252"/>
      <c r="D15" s="1217"/>
      <c r="E15" s="1217">
        <f>SUM(E12:E14)</f>
        <v>0</v>
      </c>
      <c r="F15" s="1218"/>
      <c r="G15" s="1215"/>
      <c r="H15" s="1222"/>
      <c r="I15" s="1223">
        <f>SUM(I12:I14)</f>
        <v>0</v>
      </c>
    </row>
    <row r="16" spans="1:9" ht="24">
      <c r="A16" s="3250" t="s">
        <v>1070</v>
      </c>
      <c r="B16" s="3251" t="s">
        <v>1071</v>
      </c>
      <c r="C16" s="3251"/>
      <c r="D16" s="1213" t="s">
        <v>1047</v>
      </c>
      <c r="E16" s="1224" t="s">
        <v>1072</v>
      </c>
      <c r="F16" s="1214" t="s">
        <v>1073</v>
      </c>
      <c r="G16" s="1215" t="s">
        <v>1051</v>
      </c>
      <c r="H16" s="1221" t="s">
        <v>1066</v>
      </c>
      <c r="I16" s="1212" t="s">
        <v>1052</v>
      </c>
    </row>
    <row r="17" spans="1:9" ht="14.25">
      <c r="A17" s="3250"/>
      <c r="B17" s="3251" t="s">
        <v>1074</v>
      </c>
      <c r="C17" s="3251"/>
      <c r="D17" s="1213"/>
      <c r="E17" s="1213"/>
      <c r="F17" s="1214"/>
      <c r="G17" s="1215"/>
      <c r="H17" s="1225"/>
      <c r="I17" s="1226">
        <f>ROUND(D17*E17*F17*G17/10000,0)</f>
        <v>0</v>
      </c>
    </row>
    <row r="18" spans="1:9" ht="14.25">
      <c r="A18" s="3250"/>
      <c r="B18" s="3251" t="s">
        <v>1075</v>
      </c>
      <c r="C18" s="3251"/>
      <c r="D18" s="1213"/>
      <c r="E18" s="1213"/>
      <c r="F18" s="1214"/>
      <c r="G18" s="1215"/>
      <c r="H18" s="1225"/>
      <c r="I18" s="1226">
        <f>ROUND(D18*E18*F18*G18/10000,0)</f>
        <v>0</v>
      </c>
    </row>
    <row r="19" spans="1:9" ht="14.25">
      <c r="A19" s="3250"/>
      <c r="B19" s="3251" t="s">
        <v>1076</v>
      </c>
      <c r="C19" s="3251"/>
      <c r="D19" s="1213"/>
      <c r="E19" s="1213"/>
      <c r="F19" s="1214"/>
      <c r="G19" s="1215"/>
      <c r="H19" s="1225"/>
      <c r="I19" s="1226">
        <f>ROUND(D19*E19*F19*G19/10000,0)</f>
        <v>0</v>
      </c>
    </row>
    <row r="20" spans="1:9">
      <c r="A20" s="3250"/>
      <c r="B20" s="3252" t="s">
        <v>1060</v>
      </c>
      <c r="C20" s="3252"/>
      <c r="D20" s="1217">
        <f>SUM(D17:D19)</f>
        <v>0</v>
      </c>
      <c r="E20" s="1217"/>
      <c r="F20" s="1218"/>
      <c r="G20" s="1215"/>
      <c r="H20" s="1222"/>
      <c r="I20" s="1223">
        <f>SUM(I17:I19)</f>
        <v>0</v>
      </c>
    </row>
    <row r="21" spans="1:9">
      <c r="A21" s="3250" t="s">
        <v>1077</v>
      </c>
      <c r="B21" s="3254"/>
      <c r="C21" s="3254"/>
      <c r="D21" s="3254"/>
      <c r="E21" s="3254"/>
      <c r="F21" s="3254"/>
      <c r="G21" s="3254"/>
      <c r="H21" s="1504">
        <v>0.1</v>
      </c>
      <c r="I21" s="1220">
        <f>ROUND(I10*H21,0)</f>
        <v>0</v>
      </c>
    </row>
    <row r="22" spans="1:9" ht="14.25">
      <c r="A22" s="3255" t="s">
        <v>1078</v>
      </c>
      <c r="B22" s="3256"/>
      <c r="C22" s="3257"/>
      <c r="D22" s="1227" t="s">
        <v>1079</v>
      </c>
      <c r="E22" s="1227" t="s">
        <v>1080</v>
      </c>
      <c r="F22" s="1228" t="s">
        <v>1081</v>
      </c>
      <c r="G22" s="1228" t="s">
        <v>1082</v>
      </c>
      <c r="H22" s="1221" t="s">
        <v>1083</v>
      </c>
      <c r="I22" s="1212" t="s">
        <v>1084</v>
      </c>
    </row>
    <row r="23" spans="1:9" ht="14.25" thickBot="1">
      <c r="A23" s="3258"/>
      <c r="B23" s="3259"/>
      <c r="C23" s="3260"/>
      <c r="D23" s="1229"/>
      <c r="E23" s="1229"/>
      <c r="F23" s="1229"/>
      <c r="G23" s="1230"/>
      <c r="H23" s="1231"/>
      <c r="I23" s="1232">
        <f>ROUND(E23*D23*F23*(1-G23)/10000,0)</f>
        <v>0</v>
      </c>
    </row>
    <row r="26" spans="1:9">
      <c r="A26" s="1233" t="s">
        <v>1085</v>
      </c>
      <c r="B26" s="1233"/>
      <c r="C26" s="1233"/>
      <c r="D26" s="1233"/>
      <c r="E26" s="3261">
        <f>C27-C30-C31-C32</f>
        <v>0</v>
      </c>
      <c r="F26" s="3261"/>
      <c r="G26" s="3261"/>
      <c r="H26" s="1501" t="s">
        <v>1306</v>
      </c>
    </row>
    <row r="27" spans="1:9">
      <c r="A27" s="1234">
        <v>1</v>
      </c>
      <c r="B27" s="1235" t="s">
        <v>1086</v>
      </c>
      <c r="C27" s="1235">
        <f>C28+C29</f>
        <v>0</v>
      </c>
      <c r="D27" s="1235"/>
      <c r="E27" s="3262"/>
      <c r="F27" s="3262"/>
      <c r="G27" s="3262"/>
    </row>
    <row r="28" spans="1:9">
      <c r="A28" s="1236" t="s">
        <v>1087</v>
      </c>
      <c r="B28" s="1235" t="s">
        <v>1088</v>
      </c>
      <c r="C28" s="1235"/>
      <c r="D28" s="1235"/>
      <c r="E28" s="3262"/>
      <c r="F28" s="3262"/>
      <c r="G28" s="3262"/>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253"/>
      <c r="F32" s="3253"/>
      <c r="G32" s="3253"/>
    </row>
    <row r="33" spans="1:7" hidden="1">
      <c r="A33" s="3263" t="s">
        <v>1097</v>
      </c>
      <c r="B33" s="3264"/>
      <c r="C33" s="3264"/>
      <c r="D33" s="3265"/>
      <c r="E33" s="3261"/>
      <c r="F33" s="3261"/>
      <c r="G33" s="3261"/>
    </row>
    <row r="34" spans="1:7" hidden="1">
      <c r="A34" s="1238">
        <v>1</v>
      </c>
      <c r="B34" s="1235" t="s">
        <v>1098</v>
      </c>
      <c r="C34" s="1235"/>
      <c r="D34" s="1235"/>
      <c r="E34" s="3262"/>
      <c r="F34" s="3262"/>
      <c r="G34" s="3262"/>
    </row>
    <row r="35" spans="1:7" hidden="1">
      <c r="A35" s="1238">
        <v>2</v>
      </c>
      <c r="B35" s="1235" t="s">
        <v>1099</v>
      </c>
      <c r="C35" s="1235"/>
      <c r="D35" s="1235"/>
      <c r="E35" s="3262"/>
      <c r="F35" s="3262"/>
      <c r="G35" s="3262"/>
    </row>
    <row r="36" spans="1:7" hidden="1">
      <c r="A36" s="1238">
        <v>3</v>
      </c>
      <c r="B36" s="1235" t="s">
        <v>1100</v>
      </c>
      <c r="C36" s="1235"/>
      <c r="D36" s="1235"/>
      <c r="E36" s="3262"/>
      <c r="F36" s="3262"/>
      <c r="G36" s="3262"/>
    </row>
    <row r="37" spans="1:7" hidden="1">
      <c r="A37" s="1238">
        <v>4</v>
      </c>
      <c r="B37" s="1235" t="s">
        <v>1101</v>
      </c>
      <c r="C37" s="1235"/>
      <c r="D37" s="1235"/>
      <c r="E37" s="3262"/>
      <c r="F37" s="3262"/>
      <c r="G37" s="3262"/>
    </row>
    <row r="38" spans="1:7" hidden="1">
      <c r="A38" s="3263" t="s">
        <v>1102</v>
      </c>
      <c r="B38" s="3264"/>
      <c r="C38" s="3264"/>
      <c r="D38" s="3265"/>
      <c r="E38" s="3261"/>
      <c r="F38" s="3261"/>
      <c r="G38" s="326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U518" sqref="U51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066" t="s">
        <v>2351</v>
      </c>
      <c r="C1" s="1406" t="s">
        <v>2352</v>
      </c>
      <c r="D1" s="1393"/>
      <c r="E1" s="2546"/>
      <c r="F1" s="2067" t="s">
        <v>2353</v>
      </c>
      <c r="G1" s="1403" t="s">
        <v>2354</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9"/>
      <c r="D2" s="1275" t="e">
        <f ca="1">SUMIF(INDIRECT("'"&amp;F2&amp;"'"&amp;"!A:A"),"承租人权益价值",INDIRECT("'"&amp;F2&amp;"'"&amp;"!c:c"))</f>
        <v>#REF!</v>
      </c>
      <c r="E2" s="2070" t="s">
        <v>2355</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c r="A3" s="209" t="s">
        <v>1360</v>
      </c>
      <c r="B3" s="359" t="e">
        <f ca="1">IF(C2="——",C49,ROUND(B2*10000/D3,0))</f>
        <v>#DIV/0!</v>
      </c>
      <c r="C3" s="360" t="s">
        <v>2356</v>
      </c>
      <c r="D3" s="359">
        <f>IF(D1="",'数据-汇总表'!E3,SUMIF('数据-汇总表'!$C19:$C33,D1,'数据-汇总表'!$E19:$E33))</f>
        <v>8276.64</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ht="15">
      <c r="A4" s="361" t="s">
        <v>2357</v>
      </c>
      <c r="B4" s="362"/>
      <c r="C4" s="3284" t="s">
        <v>2358</v>
      </c>
      <c r="D4" s="3285"/>
      <c r="E4" s="3286" t="s">
        <v>2359</v>
      </c>
      <c r="F4" s="3287"/>
      <c r="G4" s="3284" t="s">
        <v>2360</v>
      </c>
      <c r="H4" s="3285"/>
      <c r="I4" s="3284" t="s">
        <v>2361</v>
      </c>
      <c r="J4" s="3285"/>
      <c r="K4" s="2077" t="s">
        <v>2362</v>
      </c>
      <c r="L4" s="2946"/>
      <c r="M4" s="2947"/>
      <c r="N4" s="2947"/>
      <c r="O4" s="2947"/>
      <c r="P4" s="3288" t="s">
        <v>2363</v>
      </c>
      <c r="Q4" s="3289"/>
      <c r="R4" s="3271" t="s">
        <v>2359</v>
      </c>
      <c r="S4" s="3272"/>
      <c r="T4" s="3271" t="s">
        <v>2360</v>
      </c>
      <c r="U4" s="3272"/>
      <c r="V4" s="3296" t="s">
        <v>2361</v>
      </c>
      <c r="W4" s="3296"/>
      <c r="X4" s="1541"/>
      <c r="Y4" s="3271" t="s">
        <v>2363</v>
      </c>
      <c r="Z4" s="3272"/>
      <c r="AA4" s="3266" t="s">
        <v>2359</v>
      </c>
      <c r="AB4" s="3266" t="s">
        <v>2360</v>
      </c>
      <c r="AC4" s="3266" t="s">
        <v>2361</v>
      </c>
    </row>
    <row r="5" spans="1:29" ht="15">
      <c r="A5" s="364"/>
      <c r="B5" s="365"/>
      <c r="C5" s="3277" t="s">
        <v>2364</v>
      </c>
      <c r="D5" s="3278"/>
      <c r="E5" s="3275" t="s">
        <v>2365</v>
      </c>
      <c r="F5" s="3276"/>
      <c r="G5" s="3277" t="s">
        <v>2366</v>
      </c>
      <c r="H5" s="3278"/>
      <c r="I5" s="3277" t="s">
        <v>2367</v>
      </c>
      <c r="J5" s="3278"/>
      <c r="K5" s="2078"/>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279" t="s">
        <v>2368</v>
      </c>
      <c r="D6" s="3280"/>
      <c r="E6" s="3281" t="s">
        <v>2368</v>
      </c>
      <c r="F6" s="3282"/>
      <c r="G6" s="3279" t="s">
        <v>2368</v>
      </c>
      <c r="H6" s="3280"/>
      <c r="I6" s="3279" t="s">
        <v>2368</v>
      </c>
      <c r="J6" s="3280"/>
      <c r="K6" s="2078" t="s">
        <v>2369</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2370</v>
      </c>
      <c r="B7" s="369"/>
      <c r="C7" s="370">
        <f>'数据-取费表'!B2</f>
        <v>44076</v>
      </c>
      <c r="D7" s="371">
        <v>100</v>
      </c>
      <c r="E7" s="372"/>
      <c r="F7" s="373">
        <f>SUMIF(58:58,YEAR(E7)&amp;"-"&amp;MONTH(E7),59:59)</f>
        <v>0</v>
      </c>
      <c r="G7" s="372"/>
      <c r="H7" s="371">
        <f>SUMIF(58:58,YEAR(G7)&amp;"-"&amp;MONTH(G7),59:59)</f>
        <v>0</v>
      </c>
      <c r="I7" s="372"/>
      <c r="J7" s="371">
        <f>SUMIF(58:58,YEAR(I7)&amp;"-"&amp;MONTH(I7),59:59)</f>
        <v>0</v>
      </c>
      <c r="K7" s="2079"/>
      <c r="L7" s="2948"/>
      <c r="M7" s="2949"/>
      <c r="N7" s="2949"/>
      <c r="O7" s="2949"/>
      <c r="P7" s="3269" t="s">
        <v>2371</v>
      </c>
      <c r="Q7" s="3297"/>
      <c r="R7" s="710" t="s">
        <v>23</v>
      </c>
      <c r="S7" s="711">
        <f t="shared" ref="S7:S15" si="0">F7</f>
        <v>0</v>
      </c>
      <c r="T7" s="710" t="s">
        <v>23</v>
      </c>
      <c r="U7" s="711">
        <f t="shared" ref="U7:U15" si="1">H7</f>
        <v>0</v>
      </c>
      <c r="V7" s="710" t="s">
        <v>23</v>
      </c>
      <c r="W7" s="711">
        <f t="shared" ref="W7:W15" si="2">J7</f>
        <v>0</v>
      </c>
      <c r="X7" s="712"/>
      <c r="Y7" s="3269" t="s">
        <v>2371</v>
      </c>
      <c r="Z7" s="3270"/>
      <c r="AA7" s="713" t="e">
        <f>D7/F7</f>
        <v>#DIV/0!</v>
      </c>
      <c r="AB7" s="713" t="e">
        <f>D7/H7</f>
        <v>#DIV/0!</v>
      </c>
      <c r="AC7" s="713" t="e">
        <f>D7/J7</f>
        <v>#DIV/0!</v>
      </c>
    </row>
    <row r="8" spans="1:29" s="113" customFormat="1" ht="15.75" thickBot="1">
      <c r="A8" s="368" t="s">
        <v>2372</v>
      </c>
      <c r="B8" s="369"/>
      <c r="C8" s="374" t="s">
        <v>2373</v>
      </c>
      <c r="D8" s="371">
        <v>100</v>
      </c>
      <c r="E8" s="2080"/>
      <c r="F8" s="373">
        <f>SUMIF(61:61,E8,62:62)-SUMIF(61:61,C8,62:62)+100</f>
        <v>0</v>
      </c>
      <c r="G8" s="374"/>
      <c r="H8" s="371">
        <f>SUMIF(61:61,G8,62:62)-SUMIF(61:61,C8,62:62)+100</f>
        <v>0</v>
      </c>
      <c r="I8" s="2080"/>
      <c r="J8" s="371">
        <f>SUMIF(61:61,I8,62:62)-SUMIF(61:61,C8,62:62)+100</f>
        <v>0</v>
      </c>
      <c r="K8" s="2079"/>
      <c r="L8" s="2948"/>
      <c r="M8" s="2949"/>
      <c r="N8" s="2949"/>
      <c r="O8" s="2949"/>
      <c r="P8" s="3269" t="s">
        <v>2374</v>
      </c>
      <c r="Q8" s="3270"/>
      <c r="R8" s="710" t="s">
        <v>23</v>
      </c>
      <c r="S8" s="711">
        <f t="shared" si="0"/>
        <v>0</v>
      </c>
      <c r="T8" s="710" t="s">
        <v>23</v>
      </c>
      <c r="U8" s="711">
        <f t="shared" si="1"/>
        <v>0</v>
      </c>
      <c r="V8" s="710" t="s">
        <v>23</v>
      </c>
      <c r="W8" s="711">
        <f t="shared" si="2"/>
        <v>0</v>
      </c>
      <c r="X8" s="712"/>
      <c r="Y8" s="3269" t="s">
        <v>2374</v>
      </c>
      <c r="Z8" s="3270"/>
      <c r="AA8" s="713" t="e">
        <f t="shared" ref="AA8:AA19" si="3">D8/F8</f>
        <v>#DIV/0!</v>
      </c>
      <c r="AB8" s="713" t="e">
        <f t="shared" ref="AB8:AB19" si="4">D8/H8</f>
        <v>#DIV/0!</v>
      </c>
      <c r="AC8" s="713" t="e">
        <f t="shared" ref="AC8:AC19" si="5">D8/J8</f>
        <v>#DIV/0!</v>
      </c>
    </row>
    <row r="9" spans="1:29" s="113" customFormat="1">
      <c r="A9" s="375" t="s">
        <v>2375</v>
      </c>
      <c r="B9" s="67" t="s">
        <v>2376</v>
      </c>
      <c r="C9" s="376"/>
      <c r="D9" s="131">
        <v>100</v>
      </c>
      <c r="E9" s="377"/>
      <c r="F9" s="378">
        <f>SUMIF(63:63,E9,64:64)-SUMIF(63:63,C9,64:64)+100</f>
        <v>100</v>
      </c>
      <c r="G9" s="379"/>
      <c r="H9" s="131">
        <f>SUMIF(63:63,G9,64:64)-SUMIF(63:63,C9,64:64)+100</f>
        <v>100</v>
      </c>
      <c r="I9" s="379"/>
      <c r="J9" s="131">
        <f>SUMIF(63:63,I9,64:64)-SUMIF(63:63,C9,64:64)+100</f>
        <v>100</v>
      </c>
      <c r="K9" s="2079"/>
      <c r="L9" s="2948"/>
      <c r="M9" s="2949"/>
      <c r="N9" s="2949"/>
      <c r="O9" s="2949"/>
      <c r="P9" s="3283" t="s">
        <v>2377</v>
      </c>
      <c r="Q9" s="1529" t="str">
        <f t="shared" ref="Q9:Q15" si="6">B9</f>
        <v>用途</v>
      </c>
      <c r="R9" s="710" t="s">
        <v>17</v>
      </c>
      <c r="S9" s="711">
        <f t="shared" si="0"/>
        <v>100</v>
      </c>
      <c r="T9" s="710" t="s">
        <v>17</v>
      </c>
      <c r="U9" s="711">
        <f t="shared" si="1"/>
        <v>100</v>
      </c>
      <c r="V9" s="710" t="s">
        <v>17</v>
      </c>
      <c r="W9" s="711">
        <f t="shared" si="2"/>
        <v>100</v>
      </c>
      <c r="X9" s="712"/>
      <c r="Y9" s="3211" t="s">
        <v>2378</v>
      </c>
      <c r="Z9" s="55" t="str">
        <f t="shared" ref="Z9:Z15" si="7">Q9</f>
        <v>用途</v>
      </c>
      <c r="AA9" s="713">
        <f t="shared" si="3"/>
        <v>1</v>
      </c>
      <c r="AB9" s="713">
        <f t="shared" si="4"/>
        <v>1</v>
      </c>
      <c r="AC9" s="713">
        <f t="shared" si="5"/>
        <v>1</v>
      </c>
    </row>
    <row r="10" spans="1:29" s="386" customFormat="1" ht="27">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385"/>
      <c r="L10" s="2950"/>
      <c r="M10" s="2951"/>
      <c r="N10" s="2951"/>
      <c r="O10" s="2951"/>
      <c r="P10" s="3283"/>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2"/>
      <c r="M11" s="2947"/>
      <c r="N11" s="2947"/>
      <c r="O11" s="2947"/>
      <c r="P11" s="3283"/>
      <c r="Q11" s="1529" t="str">
        <f t="shared" si="6"/>
        <v>容积率</v>
      </c>
      <c r="R11" s="710" t="s">
        <v>21</v>
      </c>
      <c r="S11" s="711" t="e">
        <f t="shared" si="0"/>
        <v>#N/A</v>
      </c>
      <c r="T11" s="710" t="s">
        <v>21</v>
      </c>
      <c r="U11" s="711" t="e">
        <f t="shared" si="1"/>
        <v>#N/A</v>
      </c>
      <c r="V11" s="710" t="s">
        <v>21</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283"/>
      <c r="Q12" s="1529">
        <f t="shared" si="6"/>
        <v>111</v>
      </c>
      <c r="R12" s="710" t="s">
        <v>21</v>
      </c>
      <c r="S12" s="711">
        <f t="shared" si="0"/>
        <v>100</v>
      </c>
      <c r="T12" s="710" t="s">
        <v>21</v>
      </c>
      <c r="U12" s="711">
        <f t="shared" si="1"/>
        <v>100</v>
      </c>
      <c r="V12" s="710" t="s">
        <v>21</v>
      </c>
      <c r="W12" s="711">
        <f t="shared" si="2"/>
        <v>100</v>
      </c>
      <c r="X12" s="712"/>
      <c r="Y12" s="3211"/>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283"/>
      <c r="Q13" s="1529">
        <f t="shared" si="6"/>
        <v>111</v>
      </c>
      <c r="R13" s="710" t="s">
        <v>21</v>
      </c>
      <c r="S13" s="711">
        <f t="shared" si="0"/>
        <v>100</v>
      </c>
      <c r="T13" s="710" t="s">
        <v>21</v>
      </c>
      <c r="U13" s="711">
        <f t="shared" si="1"/>
        <v>100</v>
      </c>
      <c r="V13" s="710" t="s">
        <v>21</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283"/>
      <c r="Q14" s="1529">
        <f t="shared" si="6"/>
        <v>111</v>
      </c>
      <c r="R14" s="710" t="s">
        <v>21</v>
      </c>
      <c r="S14" s="711">
        <f t="shared" si="0"/>
        <v>100</v>
      </c>
      <c r="T14" s="710" t="s">
        <v>21</v>
      </c>
      <c r="U14" s="711">
        <f t="shared" si="1"/>
        <v>100</v>
      </c>
      <c r="V14" s="710" t="s">
        <v>21</v>
      </c>
      <c r="W14" s="711">
        <f t="shared" si="2"/>
        <v>100</v>
      </c>
      <c r="X14" s="712"/>
      <c r="Y14" s="3211"/>
      <c r="Z14" s="55">
        <f t="shared" si="7"/>
        <v>111</v>
      </c>
      <c r="AA14" s="713">
        <f t="shared" si="3"/>
        <v>1</v>
      </c>
      <c r="AB14" s="713">
        <f t="shared" si="4"/>
        <v>1</v>
      </c>
      <c r="AC14" s="713">
        <f t="shared" si="5"/>
        <v>1</v>
      </c>
    </row>
    <row r="15" spans="1:29" ht="99.75">
      <c r="A15" s="399" t="s">
        <v>2381</v>
      </c>
      <c r="B15" s="65" t="s">
        <v>1944</v>
      </c>
      <c r="C15" s="2084"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3"/>
      <c r="M15" s="2947"/>
      <c r="N15" s="2947"/>
      <c r="O15" s="2947"/>
      <c r="P15" s="3310" t="s">
        <v>2382</v>
      </c>
      <c r="Q15" s="1538" t="str">
        <f t="shared" si="6"/>
        <v>居住社区成熟度</v>
      </c>
      <c r="R15" s="714" t="s">
        <v>21</v>
      </c>
      <c r="S15" s="715">
        <f t="shared" si="0"/>
        <v>100</v>
      </c>
      <c r="T15" s="714" t="s">
        <v>21</v>
      </c>
      <c r="U15" s="715">
        <f t="shared" si="1"/>
        <v>100</v>
      </c>
      <c r="V15" s="714" t="s">
        <v>21</v>
      </c>
      <c r="W15" s="715">
        <f t="shared" si="2"/>
        <v>100</v>
      </c>
      <c r="X15" s="1541"/>
      <c r="Y15" s="3303" t="s">
        <v>2382</v>
      </c>
      <c r="Z15" s="1542" t="str">
        <f t="shared" si="7"/>
        <v>居住社区成熟度</v>
      </c>
      <c r="AA15" s="1539">
        <f t="shared" si="3"/>
        <v>1</v>
      </c>
      <c r="AB15" s="1539">
        <f t="shared" si="4"/>
        <v>1</v>
      </c>
      <c r="AC15" s="1539">
        <f t="shared" si="5"/>
        <v>1</v>
      </c>
    </row>
    <row r="16" spans="1:29" ht="15">
      <c r="A16" s="387"/>
      <c r="B16" s="405"/>
      <c r="C16" s="406"/>
      <c r="D16" s="407"/>
      <c r="E16" s="2085"/>
      <c r="F16" s="407"/>
      <c r="G16" s="2086"/>
      <c r="H16" s="409"/>
      <c r="I16" s="2086"/>
      <c r="J16" s="407"/>
      <c r="K16" s="2087"/>
      <c r="L16" s="2953"/>
      <c r="M16" s="2947"/>
      <c r="N16" s="2947"/>
      <c r="O16" s="2947"/>
      <c r="P16" s="3311"/>
      <c r="Q16" s="1538"/>
      <c r="R16" s="714"/>
      <c r="S16" s="715"/>
      <c r="T16" s="714"/>
      <c r="U16" s="715"/>
      <c r="V16" s="714"/>
      <c r="W16" s="715"/>
      <c r="X16" s="1541"/>
      <c r="Y16" s="3304"/>
      <c r="Z16" s="1542"/>
      <c r="AA16" s="1539">
        <v>1</v>
      </c>
      <c r="AB16" s="1539">
        <v>1</v>
      </c>
      <c r="AC16" s="1539">
        <v>1</v>
      </c>
    </row>
    <row r="17" spans="1:29" ht="85.5">
      <c r="A17" s="387"/>
      <c r="B17" s="410" t="s">
        <v>1946</v>
      </c>
      <c r="C17" s="2088"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3"/>
      <c r="M17" s="2947"/>
      <c r="N17" s="2947"/>
      <c r="O17" s="2947"/>
      <c r="P17" s="3311"/>
      <c r="Q17" s="1538" t="str">
        <f>B17</f>
        <v>交通便捷度</v>
      </c>
      <c r="R17" s="714" t="s">
        <v>21</v>
      </c>
      <c r="S17" s="715">
        <f>F17</f>
        <v>100</v>
      </c>
      <c r="T17" s="714" t="s">
        <v>21</v>
      </c>
      <c r="U17" s="715">
        <f>H17</f>
        <v>100</v>
      </c>
      <c r="V17" s="714" t="s">
        <v>21</v>
      </c>
      <c r="W17" s="715">
        <f>J17</f>
        <v>100</v>
      </c>
      <c r="X17" s="1541"/>
      <c r="Y17" s="3304"/>
      <c r="Z17" s="1542" t="str">
        <f>Q17</f>
        <v>交通便捷度</v>
      </c>
      <c r="AA17" s="1539">
        <f t="shared" si="3"/>
        <v>1</v>
      </c>
      <c r="AB17" s="1539">
        <f t="shared" si="4"/>
        <v>1</v>
      </c>
      <c r="AC17" s="1539">
        <f t="shared" si="5"/>
        <v>1</v>
      </c>
    </row>
    <row r="18" spans="1:29" ht="15">
      <c r="A18" s="387"/>
      <c r="B18" s="415"/>
      <c r="C18" s="2089"/>
      <c r="D18" s="409"/>
      <c r="E18" s="2090"/>
      <c r="F18" s="409"/>
      <c r="G18" s="2091"/>
      <c r="H18" s="407"/>
      <c r="I18" s="2091"/>
      <c r="J18" s="407"/>
      <c r="K18" s="2087"/>
      <c r="L18" s="2953"/>
      <c r="M18" s="2947"/>
      <c r="N18" s="2947"/>
      <c r="O18" s="2947"/>
      <c r="P18" s="3311"/>
      <c r="Q18" s="1538"/>
      <c r="R18" s="714"/>
      <c r="S18" s="715"/>
      <c r="T18" s="714"/>
      <c r="U18" s="715"/>
      <c r="V18" s="714"/>
      <c r="W18" s="715"/>
      <c r="X18" s="1541"/>
      <c r="Y18" s="3304"/>
      <c r="Z18" s="1542"/>
      <c r="AA18" s="1539">
        <v>1</v>
      </c>
      <c r="AB18" s="1539">
        <v>1</v>
      </c>
      <c r="AC18" s="1539">
        <v>1</v>
      </c>
    </row>
    <row r="19" spans="1:29" ht="42.75">
      <c r="A19" s="387"/>
      <c r="B19" s="410" t="s">
        <v>1945</v>
      </c>
      <c r="C19" s="2088"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3"/>
      <c r="M19" s="2947"/>
      <c r="N19" s="2947"/>
      <c r="O19" s="2947"/>
      <c r="P19" s="3311"/>
      <c r="Q19" s="1538" t="str">
        <f>B19</f>
        <v>公共配套设施</v>
      </c>
      <c r="R19" s="714" t="s">
        <v>21</v>
      </c>
      <c r="S19" s="715">
        <f>F19</f>
        <v>100</v>
      </c>
      <c r="T19" s="714" t="s">
        <v>21</v>
      </c>
      <c r="U19" s="715">
        <f>H19</f>
        <v>100</v>
      </c>
      <c r="V19" s="714" t="s">
        <v>21</v>
      </c>
      <c r="W19" s="715">
        <f>J19</f>
        <v>100</v>
      </c>
      <c r="X19" s="1541"/>
      <c r="Y19" s="3304"/>
      <c r="Z19" s="1542" t="str">
        <f>Q19</f>
        <v>公共配套设施</v>
      </c>
      <c r="AA19" s="1539">
        <f t="shared" si="3"/>
        <v>1</v>
      </c>
      <c r="AB19" s="1539">
        <f t="shared" si="4"/>
        <v>1</v>
      </c>
      <c r="AC19" s="1539">
        <f t="shared" si="5"/>
        <v>1</v>
      </c>
    </row>
    <row r="20" spans="1:29" ht="15">
      <c r="A20" s="387"/>
      <c r="B20" s="415"/>
      <c r="C20" s="406"/>
      <c r="D20" s="407"/>
      <c r="E20" s="2085"/>
      <c r="F20" s="407"/>
      <c r="G20" s="2086"/>
      <c r="H20" s="407"/>
      <c r="I20" s="2086"/>
      <c r="J20" s="407"/>
      <c r="K20" s="2087"/>
      <c r="L20" s="2953"/>
      <c r="M20" s="2947"/>
      <c r="N20" s="2947"/>
      <c r="O20" s="2947"/>
      <c r="P20" s="3311"/>
      <c r="Q20" s="1538"/>
      <c r="R20" s="714"/>
      <c r="S20" s="715"/>
      <c r="T20" s="714"/>
      <c r="U20" s="715"/>
      <c r="V20" s="714"/>
      <c r="W20" s="715"/>
      <c r="X20" s="1541"/>
      <c r="Y20" s="3304"/>
      <c r="Z20" s="1542"/>
      <c r="AA20" s="1539">
        <v>1</v>
      </c>
      <c r="AB20" s="1539">
        <v>1</v>
      </c>
      <c r="AC20" s="1539">
        <v>1</v>
      </c>
    </row>
    <row r="21" spans="1:29" ht="28.5">
      <c r="A21" s="387"/>
      <c r="B21" s="1293" t="s">
        <v>1947</v>
      </c>
      <c r="C21" s="2088"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3"/>
      <c r="M21" s="2947"/>
      <c r="N21" s="2947"/>
      <c r="O21" s="2947"/>
      <c r="P21" s="3311"/>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7"/>
      <c r="G22" s="2092"/>
      <c r="H22" s="407"/>
      <c r="I22" s="406"/>
      <c r="J22" s="407"/>
      <c r="K22" s="2093"/>
      <c r="L22" s="2953"/>
      <c r="M22" s="2947"/>
      <c r="N22" s="2947"/>
      <c r="O22" s="2947"/>
      <c r="P22" s="3311"/>
      <c r="Q22" s="1538"/>
      <c r="R22" s="714"/>
      <c r="S22" s="715"/>
      <c r="T22" s="714"/>
      <c r="U22" s="715"/>
      <c r="V22" s="714"/>
      <c r="W22" s="715"/>
      <c r="X22" s="1541"/>
      <c r="Y22" s="3304"/>
      <c r="Z22" s="1542"/>
      <c r="AA22" s="1539">
        <v>1</v>
      </c>
      <c r="AB22" s="1539">
        <v>1</v>
      </c>
      <c r="AC22" s="1539">
        <v>1</v>
      </c>
    </row>
    <row r="23" spans="1:29" ht="57">
      <c r="A23" s="387"/>
      <c r="B23" s="410" t="s">
        <v>1948</v>
      </c>
      <c r="C23" s="2088"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3"/>
      <c r="M23" s="2947"/>
      <c r="N23" s="2947"/>
      <c r="O23" s="2947"/>
      <c r="P23" s="3311"/>
      <c r="Q23" s="1538" t="str">
        <f>B23</f>
        <v>自然及人文环境</v>
      </c>
      <c r="R23" s="714" t="s">
        <v>21</v>
      </c>
      <c r="S23" s="715">
        <f>F23</f>
        <v>100</v>
      </c>
      <c r="T23" s="714" t="s">
        <v>21</v>
      </c>
      <c r="U23" s="715">
        <f>H23</f>
        <v>100</v>
      </c>
      <c r="V23" s="714" t="s">
        <v>21</v>
      </c>
      <c r="W23" s="715">
        <f>J23</f>
        <v>100</v>
      </c>
      <c r="X23" s="1541"/>
      <c r="Y23" s="3304"/>
      <c r="Z23" s="1542" t="str">
        <f>Q23</f>
        <v>自然及人文环境</v>
      </c>
      <c r="AA23" s="1539">
        <f>D23/F23</f>
        <v>1</v>
      </c>
      <c r="AB23" s="1539">
        <f>D23/H23</f>
        <v>1</v>
      </c>
      <c r="AC23" s="1539">
        <f>D23/J23</f>
        <v>1</v>
      </c>
    </row>
    <row r="24" spans="1:29" ht="15">
      <c r="A24" s="387"/>
      <c r="B24" s="415"/>
      <c r="C24" s="406"/>
      <c r="D24" s="407"/>
      <c r="E24" s="2085"/>
      <c r="F24" s="407"/>
      <c r="G24" s="2086"/>
      <c r="H24" s="407"/>
      <c r="I24" s="2086"/>
      <c r="J24" s="407"/>
      <c r="K24" s="2087"/>
      <c r="L24" s="2953"/>
      <c r="M24" s="2947"/>
      <c r="N24" s="2947"/>
      <c r="O24" s="2947"/>
      <c r="P24" s="3311"/>
      <c r="Q24" s="1538"/>
      <c r="R24" s="714"/>
      <c r="S24" s="715"/>
      <c r="T24" s="714"/>
      <c r="U24" s="715"/>
      <c r="V24" s="714"/>
      <c r="W24" s="715"/>
      <c r="X24" s="1541"/>
      <c r="Y24" s="3304"/>
      <c r="Z24" s="1542"/>
      <c r="AA24" s="1539">
        <v>1</v>
      </c>
      <c r="AB24" s="1539">
        <v>1</v>
      </c>
      <c r="AC24" s="1539">
        <v>1</v>
      </c>
    </row>
    <row r="25" spans="1:29" ht="15">
      <c r="A25" s="387"/>
      <c r="B25" s="381" t="s">
        <v>2383</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311"/>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04"/>
      <c r="Z25" s="1542" t="str">
        <f>Q25</f>
        <v>楼层-1</v>
      </c>
      <c r="AA25" s="1539">
        <f t="shared" ref="AA25:AA46" si="15">D25/F25</f>
        <v>1</v>
      </c>
      <c r="AB25" s="1539">
        <f t="shared" ref="AB25:AB46" si="16">D25/H25</f>
        <v>1</v>
      </c>
      <c r="AC25" s="1539">
        <f t="shared" ref="AC25:AC46" si="17">D25/J25</f>
        <v>1</v>
      </c>
    </row>
    <row r="26" spans="1:29" ht="15">
      <c r="A26" s="387"/>
      <c r="B26" s="381" t="s">
        <v>2384</v>
      </c>
      <c r="C26" s="419"/>
      <c r="D26" s="394">
        <v>100</v>
      </c>
      <c r="E26" s="2094"/>
      <c r="F26" s="394">
        <f>SUMIF(88:88,E26,89:89)-SUMIF(88:88,C26,89:89)+100</f>
        <v>100</v>
      </c>
      <c r="G26" s="2095"/>
      <c r="H26" s="394">
        <f>SUMIF(88:88,G26,89:89)-SUMIF(88:88,C26,89:89)+100</f>
        <v>100</v>
      </c>
      <c r="I26" s="2095"/>
      <c r="J26" s="394">
        <f>SUMIF(88:88,I26,89:89)-SUMIF(88:88,C26,89:89)+100</f>
        <v>100</v>
      </c>
      <c r="K26" s="385"/>
      <c r="L26" s="2953"/>
      <c r="M26" s="2947"/>
      <c r="N26" s="2947"/>
      <c r="O26" s="2947"/>
      <c r="P26" s="3311"/>
      <c r="Q26" s="1538" t="str">
        <f t="shared" si="11"/>
        <v>朝向</v>
      </c>
      <c r="R26" s="714" t="s">
        <v>21</v>
      </c>
      <c r="S26" s="715">
        <f t="shared" si="12"/>
        <v>100</v>
      </c>
      <c r="T26" s="714" t="s">
        <v>21</v>
      </c>
      <c r="U26" s="715">
        <f t="shared" si="13"/>
        <v>100</v>
      </c>
      <c r="V26" s="714" t="s">
        <v>21</v>
      </c>
      <c r="W26" s="715">
        <f t="shared" si="14"/>
        <v>100</v>
      </c>
      <c r="X26" s="1541"/>
      <c r="Y26" s="3304"/>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2"/>
      <c r="L27" s="2948"/>
      <c r="M27" s="2949"/>
      <c r="N27" s="2949"/>
      <c r="O27" s="2949"/>
      <c r="P27" s="3311"/>
      <c r="Q27" s="1529">
        <f t="shared" si="11"/>
        <v>111</v>
      </c>
      <c r="R27" s="710" t="s">
        <v>21</v>
      </c>
      <c r="S27" s="711">
        <f t="shared" si="12"/>
        <v>100</v>
      </c>
      <c r="T27" s="710" t="s">
        <v>21</v>
      </c>
      <c r="U27" s="711">
        <f t="shared" si="13"/>
        <v>100</v>
      </c>
      <c r="V27" s="710" t="s">
        <v>21</v>
      </c>
      <c r="W27" s="711">
        <f t="shared" si="14"/>
        <v>100</v>
      </c>
      <c r="X27" s="712"/>
      <c r="Y27" s="3304"/>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6"/>
      <c r="H28" s="394">
        <f>SUMIF(92:92,G28,93:93)-SUMIF(92:92,C28,93:93)+100</f>
        <v>100</v>
      </c>
      <c r="I28" s="393"/>
      <c r="J28" s="394">
        <f>SUMIF(92:92,I28,93:93)-SUMIF(92:92,C28,93:93)+100</f>
        <v>100</v>
      </c>
      <c r="K28" s="2082"/>
      <c r="L28" s="2953"/>
      <c r="M28" s="2947"/>
      <c r="N28" s="2947"/>
      <c r="O28" s="2947"/>
      <c r="P28" s="3311"/>
      <c r="Q28" s="1538">
        <f t="shared" si="11"/>
        <v>111</v>
      </c>
      <c r="R28" s="714" t="s">
        <v>21</v>
      </c>
      <c r="S28" s="715">
        <f t="shared" si="12"/>
        <v>100</v>
      </c>
      <c r="T28" s="714" t="s">
        <v>21</v>
      </c>
      <c r="U28" s="715">
        <f t="shared" si="13"/>
        <v>100</v>
      </c>
      <c r="V28" s="714" t="s">
        <v>21</v>
      </c>
      <c r="W28" s="715">
        <f t="shared" si="14"/>
        <v>100</v>
      </c>
      <c r="X28" s="1541"/>
      <c r="Y28" s="3304"/>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311"/>
      <c r="Q29" s="1538">
        <f t="shared" si="11"/>
        <v>111</v>
      </c>
      <c r="R29" s="714" t="s">
        <v>21</v>
      </c>
      <c r="S29" s="715">
        <f t="shared" si="12"/>
        <v>100</v>
      </c>
      <c r="T29" s="714" t="s">
        <v>21</v>
      </c>
      <c r="U29" s="715">
        <f t="shared" si="13"/>
        <v>100</v>
      </c>
      <c r="V29" s="714" t="s">
        <v>21</v>
      </c>
      <c r="W29" s="715">
        <f t="shared" si="14"/>
        <v>100</v>
      </c>
      <c r="X29" s="1541"/>
      <c r="Y29" s="3304"/>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311"/>
      <c r="Q30" s="1538">
        <f t="shared" si="11"/>
        <v>111</v>
      </c>
      <c r="R30" s="714" t="s">
        <v>21</v>
      </c>
      <c r="S30" s="715">
        <f t="shared" si="12"/>
        <v>100</v>
      </c>
      <c r="T30" s="714" t="s">
        <v>21</v>
      </c>
      <c r="U30" s="715">
        <f t="shared" si="13"/>
        <v>100</v>
      </c>
      <c r="V30" s="714" t="s">
        <v>21</v>
      </c>
      <c r="W30" s="715">
        <f t="shared" si="14"/>
        <v>100</v>
      </c>
      <c r="X30" s="1541"/>
      <c r="Y30" s="3304"/>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311"/>
      <c r="Q31" s="1538">
        <f t="shared" si="11"/>
        <v>111</v>
      </c>
      <c r="R31" s="714" t="s">
        <v>21</v>
      </c>
      <c r="S31" s="715">
        <f t="shared" si="12"/>
        <v>100</v>
      </c>
      <c r="T31" s="714" t="s">
        <v>21</v>
      </c>
      <c r="U31" s="715">
        <f t="shared" si="13"/>
        <v>100</v>
      </c>
      <c r="V31" s="714" t="s">
        <v>21</v>
      </c>
      <c r="W31" s="715">
        <f t="shared" si="14"/>
        <v>100</v>
      </c>
      <c r="X31" s="1541"/>
      <c r="Y31" s="3304"/>
      <c r="Z31" s="1542">
        <f t="shared" si="18"/>
        <v>111</v>
      </c>
      <c r="AA31" s="1539">
        <f t="shared" si="15"/>
        <v>1</v>
      </c>
      <c r="AB31" s="1539">
        <f t="shared" si="16"/>
        <v>1</v>
      </c>
      <c r="AC31" s="1539">
        <f t="shared" si="17"/>
        <v>1</v>
      </c>
    </row>
    <row r="32" spans="1:29" ht="15">
      <c r="A32" s="399" t="s">
        <v>2385</v>
      </c>
      <c r="B32" s="67" t="s">
        <v>2386</v>
      </c>
      <c r="C32" s="2098"/>
      <c r="D32" s="426">
        <v>100</v>
      </c>
      <c r="E32" s="2099"/>
      <c r="F32" s="420">
        <f>SUMIF(100:100,E32,101:101)-SUMIF(100:100,C32,101:101)+100</f>
        <v>100</v>
      </c>
      <c r="G32" s="2098"/>
      <c r="H32" s="426">
        <f>SUMIF(100:100,G32,101:101)-SUMIF(100:100,C32,101:101)+100</f>
        <v>100</v>
      </c>
      <c r="I32" s="2099"/>
      <c r="J32" s="394">
        <f>SUMIF(100:100,I32,101:101)-SUMIF(100:100,C32,101:101)+100</f>
        <v>100</v>
      </c>
      <c r="K32" s="385"/>
      <c r="L32" s="2953"/>
      <c r="M32" s="2947"/>
      <c r="N32" s="2947"/>
      <c r="O32" s="2947"/>
      <c r="P32" s="3305" t="s">
        <v>2387</v>
      </c>
      <c r="Q32" s="1538" t="str">
        <f t="shared" si="11"/>
        <v>建筑类型</v>
      </c>
      <c r="R32" s="714" t="s">
        <v>21</v>
      </c>
      <c r="S32" s="715">
        <f t="shared" si="12"/>
        <v>100</v>
      </c>
      <c r="T32" s="714" t="s">
        <v>21</v>
      </c>
      <c r="U32" s="715">
        <f t="shared" si="13"/>
        <v>100</v>
      </c>
      <c r="V32" s="714" t="s">
        <v>21</v>
      </c>
      <c r="W32" s="715">
        <f t="shared" si="14"/>
        <v>100</v>
      </c>
      <c r="X32" s="1541"/>
      <c r="Y32" s="3308" t="s">
        <v>2387</v>
      </c>
      <c r="Z32" s="1542" t="str">
        <f t="shared" si="18"/>
        <v>建筑类型</v>
      </c>
      <c r="AA32" s="1539">
        <f t="shared" si="15"/>
        <v>1</v>
      </c>
      <c r="AB32" s="1539">
        <f t="shared" si="16"/>
        <v>1</v>
      </c>
      <c r="AC32" s="1539">
        <f t="shared" si="17"/>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2"/>
      <c r="L33" s="2952"/>
      <c r="M33" s="2954"/>
      <c r="N33" s="2954"/>
      <c r="O33" s="2954"/>
      <c r="P33" s="3306"/>
      <c r="Q33" s="716" t="str">
        <f t="shared" si="11"/>
        <v>项目建筑规模</v>
      </c>
      <c r="R33" s="717" t="s">
        <v>21</v>
      </c>
      <c r="S33" s="718" t="e">
        <f t="shared" si="12"/>
        <v>#N/A</v>
      </c>
      <c r="T33" s="717" t="s">
        <v>21</v>
      </c>
      <c r="U33" s="718" t="e">
        <f t="shared" si="13"/>
        <v>#N/A</v>
      </c>
      <c r="V33" s="717" t="s">
        <v>21</v>
      </c>
      <c r="W33" s="718" t="e">
        <f t="shared" si="14"/>
        <v>#N/A</v>
      </c>
      <c r="X33" s="719"/>
      <c r="Y33" s="3308"/>
      <c r="Z33" s="720" t="str">
        <f t="shared" si="18"/>
        <v>项目建筑规模</v>
      </c>
      <c r="AA33" s="1539" t="e">
        <f t="shared" si="15"/>
        <v>#N/A</v>
      </c>
      <c r="AB33" s="1539" t="e">
        <f t="shared" si="16"/>
        <v>#N/A</v>
      </c>
      <c r="AC33" s="1539" t="e">
        <f t="shared" si="17"/>
        <v>#N/A</v>
      </c>
    </row>
    <row r="34" spans="1:29" ht="15">
      <c r="A34" s="431"/>
      <c r="B34" s="381" t="s">
        <v>2389</v>
      </c>
      <c r="C34" s="2100"/>
      <c r="D34" s="394">
        <v>100</v>
      </c>
      <c r="E34" s="2101"/>
      <c r="F34" s="420">
        <f>SUMIF(105:105,E34,106:106)-SUMIF(105:105,C34,106:106)+100</f>
        <v>100</v>
      </c>
      <c r="G34" s="2100"/>
      <c r="H34" s="394">
        <f>SUMIF(105:105,G34,106:106)-SUMIF(105:105,C34,106:106)+100</f>
        <v>100</v>
      </c>
      <c r="I34" s="2101"/>
      <c r="J34" s="394">
        <f>SUMIF(105:105,I34,106:106)-SUMIF(105:105,C34,106:106)+100</f>
        <v>100</v>
      </c>
      <c r="K34" s="385"/>
      <c r="L34" s="2953"/>
      <c r="M34" s="2947"/>
      <c r="N34" s="2947"/>
      <c r="O34" s="2947"/>
      <c r="P34" s="3306"/>
      <c r="Q34" s="1538" t="str">
        <f t="shared" si="11"/>
        <v>建筑结构</v>
      </c>
      <c r="R34" s="714" t="s">
        <v>21</v>
      </c>
      <c r="S34" s="715">
        <f t="shared" si="12"/>
        <v>100</v>
      </c>
      <c r="T34" s="714" t="s">
        <v>21</v>
      </c>
      <c r="U34" s="715">
        <f t="shared" si="13"/>
        <v>100</v>
      </c>
      <c r="V34" s="714" t="s">
        <v>21</v>
      </c>
      <c r="W34" s="715">
        <f t="shared" si="14"/>
        <v>100</v>
      </c>
      <c r="X34" s="1541"/>
      <c r="Y34" s="3308"/>
      <c r="Z34" s="1542" t="str">
        <f t="shared" si="18"/>
        <v>建筑结构</v>
      </c>
      <c r="AA34" s="1539">
        <f t="shared" si="15"/>
        <v>1</v>
      </c>
      <c r="AB34" s="1539">
        <f t="shared" si="16"/>
        <v>1</v>
      </c>
      <c r="AC34" s="1539">
        <f t="shared" si="17"/>
        <v>1</v>
      </c>
    </row>
    <row r="35" spans="1:29" ht="15">
      <c r="A35" s="431"/>
      <c r="B35" s="381" t="s">
        <v>2390</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306"/>
      <c r="Q35" s="1538" t="str">
        <f t="shared" si="11"/>
        <v>建筑品质</v>
      </c>
      <c r="R35" s="714" t="s">
        <v>21</v>
      </c>
      <c r="S35" s="715">
        <f t="shared" si="12"/>
        <v>100</v>
      </c>
      <c r="T35" s="714" t="s">
        <v>21</v>
      </c>
      <c r="U35" s="715">
        <f t="shared" si="13"/>
        <v>100</v>
      </c>
      <c r="V35" s="714" t="s">
        <v>21</v>
      </c>
      <c r="W35" s="715">
        <f t="shared" si="14"/>
        <v>100</v>
      </c>
      <c r="X35" s="1541"/>
      <c r="Y35" s="3308"/>
      <c r="Z35" s="1542" t="str">
        <f t="shared" si="18"/>
        <v>建筑品质</v>
      </c>
      <c r="AA35" s="1539">
        <f t="shared" si="15"/>
        <v>1</v>
      </c>
      <c r="AB35" s="1539">
        <f t="shared" si="16"/>
        <v>1</v>
      </c>
      <c r="AC35" s="1539">
        <f t="shared" si="17"/>
        <v>1</v>
      </c>
    </row>
    <row r="36" spans="1:29" ht="15">
      <c r="A36" s="431"/>
      <c r="B36" s="381" t="s">
        <v>2391</v>
      </c>
      <c r="C36" s="2094"/>
      <c r="D36" s="394">
        <v>100</v>
      </c>
      <c r="E36" s="2095"/>
      <c r="F36" s="420">
        <f>SUMIF(109:109,E36,110:110)-SUMIF(109:109,C36,110:110)+100</f>
        <v>100</v>
      </c>
      <c r="G36" s="2094"/>
      <c r="H36" s="394">
        <f>SUMIF(109:109,G36,110:110)-SUMIF(109:109,C36,110:110)+100</f>
        <v>100</v>
      </c>
      <c r="I36" s="2095"/>
      <c r="J36" s="394">
        <f>SUMIF(109:109,I36,110:110)-SUMIF(109:109,C36,110:110)+100</f>
        <v>100</v>
      </c>
      <c r="K36" s="385"/>
      <c r="L36" s="2953"/>
      <c r="M36" s="2947"/>
      <c r="N36" s="2947"/>
      <c r="O36" s="2947"/>
      <c r="P36" s="3306"/>
      <c r="Q36" s="1538" t="str">
        <f t="shared" si="11"/>
        <v>公共部分装修</v>
      </c>
      <c r="R36" s="714" t="s">
        <v>21</v>
      </c>
      <c r="S36" s="715">
        <f t="shared" si="12"/>
        <v>100</v>
      </c>
      <c r="T36" s="714" t="s">
        <v>21</v>
      </c>
      <c r="U36" s="715">
        <f t="shared" si="13"/>
        <v>100</v>
      </c>
      <c r="V36" s="714" t="s">
        <v>21</v>
      </c>
      <c r="W36" s="715">
        <f t="shared" si="14"/>
        <v>100</v>
      </c>
      <c r="X36" s="1541"/>
      <c r="Y36" s="3308"/>
      <c r="Z36" s="1542" t="str">
        <f t="shared" si="18"/>
        <v>公共部分装修</v>
      </c>
      <c r="AA36" s="1539">
        <f t="shared" si="15"/>
        <v>1</v>
      </c>
      <c r="AB36" s="1539">
        <f t="shared" si="16"/>
        <v>1</v>
      </c>
      <c r="AC36" s="1539">
        <f t="shared" si="17"/>
        <v>1</v>
      </c>
    </row>
    <row r="37" spans="1:29" s="113" customFormat="1" ht="15">
      <c r="A37" s="432"/>
      <c r="B37" s="381" t="s">
        <v>2392</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8"/>
      <c r="M37" s="2949"/>
      <c r="N37" s="2949"/>
      <c r="O37" s="2949"/>
      <c r="P37" s="3306"/>
      <c r="Q37" s="1529" t="str">
        <f t="shared" si="11"/>
        <v>成新度</v>
      </c>
      <c r="R37" s="710" t="s">
        <v>21</v>
      </c>
      <c r="S37" s="711" t="e">
        <f t="shared" si="12"/>
        <v>#N/A</v>
      </c>
      <c r="T37" s="710" t="s">
        <v>21</v>
      </c>
      <c r="U37" s="711" t="e">
        <f t="shared" si="13"/>
        <v>#N/A</v>
      </c>
      <c r="V37" s="710" t="s">
        <v>21</v>
      </c>
      <c r="W37" s="711" t="e">
        <f t="shared" si="14"/>
        <v>#N/A</v>
      </c>
      <c r="X37" s="712"/>
      <c r="Y37" s="3308"/>
      <c r="Z37" s="55" t="str">
        <f t="shared" si="18"/>
        <v>成新度</v>
      </c>
      <c r="AA37" s="713" t="e">
        <f t="shared" si="15"/>
        <v>#N/A</v>
      </c>
      <c r="AB37" s="713" t="e">
        <f t="shared" si="16"/>
        <v>#N/A</v>
      </c>
      <c r="AC37" s="713" t="e">
        <f t="shared" si="17"/>
        <v>#N/A</v>
      </c>
    </row>
    <row r="38" spans="1:29" ht="15">
      <c r="A38" s="431"/>
      <c r="B38" s="381" t="s">
        <v>2393</v>
      </c>
      <c r="C38" s="2094"/>
      <c r="D38" s="394">
        <v>100</v>
      </c>
      <c r="E38" s="2095"/>
      <c r="F38" s="420">
        <f>SUMIF(114:114,E38,115:115)-SUMIF(114:114,C38,115:115)+100</f>
        <v>100</v>
      </c>
      <c r="G38" s="2094"/>
      <c r="H38" s="394">
        <f>SUMIF(114:114,G38,115:115)-SUMIF(114:114,C38,115:115)+100</f>
        <v>100</v>
      </c>
      <c r="I38" s="2095"/>
      <c r="J38" s="394">
        <f>SUMIF(114:114,I38,115:115)-SUMIF(114:114,C38,115:115)+100</f>
        <v>100</v>
      </c>
      <c r="K38" s="385"/>
      <c r="L38" s="2953"/>
      <c r="M38" s="2947"/>
      <c r="N38" s="2947"/>
      <c r="O38" s="2947"/>
      <c r="P38" s="3306" t="s">
        <v>2387</v>
      </c>
      <c r="Q38" s="1538" t="str">
        <f t="shared" si="11"/>
        <v>物业管理</v>
      </c>
      <c r="R38" s="714" t="s">
        <v>21</v>
      </c>
      <c r="S38" s="715">
        <f t="shared" si="12"/>
        <v>100</v>
      </c>
      <c r="T38" s="714" t="s">
        <v>21</v>
      </c>
      <c r="U38" s="715">
        <f t="shared" si="13"/>
        <v>100</v>
      </c>
      <c r="V38" s="714" t="s">
        <v>21</v>
      </c>
      <c r="W38" s="715">
        <f t="shared" si="14"/>
        <v>100</v>
      </c>
      <c r="X38" s="1541"/>
      <c r="Y38" s="3308" t="s">
        <v>2387</v>
      </c>
      <c r="Z38" s="1542" t="str">
        <f t="shared" si="18"/>
        <v>物业管理</v>
      </c>
      <c r="AA38" s="1539">
        <f t="shared" si="15"/>
        <v>1</v>
      </c>
      <c r="AB38" s="1539">
        <f t="shared" si="16"/>
        <v>1</v>
      </c>
      <c r="AC38" s="1539">
        <f t="shared" si="17"/>
        <v>1</v>
      </c>
    </row>
    <row r="39" spans="1:29" ht="15">
      <c r="A39" s="431"/>
      <c r="B39" s="381" t="s">
        <v>2394</v>
      </c>
      <c r="C39" s="2094"/>
      <c r="D39" s="394">
        <v>100</v>
      </c>
      <c r="E39" s="2095"/>
      <c r="F39" s="420">
        <f>SUMIF(116:116,E39,117:117)-SUMIF(116:116,C39,117:117)+100</f>
        <v>100</v>
      </c>
      <c r="G39" s="2094"/>
      <c r="H39" s="394">
        <f>SUMIF(116:116,G39,117:117)-SUMIF(116:116,C39,117:117)+100</f>
        <v>100</v>
      </c>
      <c r="I39" s="2095"/>
      <c r="J39" s="394">
        <f>SUMIF(116:116,I39,117:117)-SUMIF(116:116,C39,117:117)+100</f>
        <v>100</v>
      </c>
      <c r="K39" s="385"/>
      <c r="L39" s="2953"/>
      <c r="M39" s="2947"/>
      <c r="N39" s="2947"/>
      <c r="O39" s="2947"/>
      <c r="P39" s="3306"/>
      <c r="Q39" s="1538" t="str">
        <f t="shared" si="11"/>
        <v>市政基础设施</v>
      </c>
      <c r="R39" s="714" t="s">
        <v>21</v>
      </c>
      <c r="S39" s="715">
        <f t="shared" si="12"/>
        <v>100</v>
      </c>
      <c r="T39" s="714" t="s">
        <v>21</v>
      </c>
      <c r="U39" s="715">
        <f t="shared" si="13"/>
        <v>100</v>
      </c>
      <c r="V39" s="714" t="s">
        <v>21</v>
      </c>
      <c r="W39" s="715">
        <f t="shared" si="14"/>
        <v>100</v>
      </c>
      <c r="X39" s="1541"/>
      <c r="Y39" s="3308"/>
      <c r="Z39" s="1542" t="str">
        <f t="shared" si="18"/>
        <v>市政基础设施</v>
      </c>
      <c r="AA39" s="1539">
        <f t="shared" si="15"/>
        <v>1</v>
      </c>
      <c r="AB39" s="1539">
        <f t="shared" si="16"/>
        <v>1</v>
      </c>
      <c r="AC39" s="1539">
        <f t="shared" si="17"/>
        <v>1</v>
      </c>
    </row>
    <row r="40" spans="1:29" ht="15">
      <c r="A40" s="431"/>
      <c r="B40" s="381" t="s">
        <v>2395</v>
      </c>
      <c r="C40" s="2094"/>
      <c r="D40" s="394">
        <v>100</v>
      </c>
      <c r="E40" s="2095"/>
      <c r="F40" s="420">
        <f>SUMIF(118:118,E40,119:119)-SUMIF(118:118,C40,119:119)+100</f>
        <v>100</v>
      </c>
      <c r="G40" s="2094"/>
      <c r="H40" s="394">
        <f>SUMIF(118:118,G40,119:119)-SUMIF(118:118,C40,119:119)+100</f>
        <v>100</v>
      </c>
      <c r="I40" s="2095"/>
      <c r="J40" s="394">
        <f>SUMIF(118:118,I40,119:119)-SUMIF(118:118,C40,119:119)+100</f>
        <v>100</v>
      </c>
      <c r="K40" s="385"/>
      <c r="L40" s="2953"/>
      <c r="M40" s="2947"/>
      <c r="N40" s="2947"/>
      <c r="O40" s="2947"/>
      <c r="P40" s="3306"/>
      <c r="Q40" s="1538" t="str">
        <f t="shared" si="11"/>
        <v>房型</v>
      </c>
      <c r="R40" s="714" t="s">
        <v>21</v>
      </c>
      <c r="S40" s="715">
        <f t="shared" si="12"/>
        <v>100</v>
      </c>
      <c r="T40" s="714" t="s">
        <v>21</v>
      </c>
      <c r="U40" s="715">
        <f t="shared" si="13"/>
        <v>100</v>
      </c>
      <c r="V40" s="714" t="s">
        <v>21</v>
      </c>
      <c r="W40" s="715">
        <f t="shared" si="14"/>
        <v>100</v>
      </c>
      <c r="X40" s="1541"/>
      <c r="Y40" s="3308"/>
      <c r="Z40" s="1542" t="str">
        <f t="shared" si="18"/>
        <v>房型</v>
      </c>
      <c r="AA40" s="1539">
        <f t="shared" si="15"/>
        <v>1</v>
      </c>
      <c r="AB40" s="1539">
        <f t="shared" si="16"/>
        <v>1</v>
      </c>
      <c r="AC40" s="1539">
        <f t="shared" si="17"/>
        <v>1</v>
      </c>
    </row>
    <row r="41" spans="1:29" s="430" customFormat="1" ht="28.5">
      <c r="A41" s="427"/>
      <c r="B41" s="381" t="s">
        <v>2396</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306"/>
      <c r="Q41" s="716" t="str">
        <f t="shared" si="11"/>
        <v>单套/主力户型建筑面积</v>
      </c>
      <c r="R41" s="717" t="s">
        <v>21</v>
      </c>
      <c r="S41" s="718">
        <f t="shared" si="12"/>
        <v>100</v>
      </c>
      <c r="T41" s="717" t="s">
        <v>21</v>
      </c>
      <c r="U41" s="718">
        <f t="shared" si="13"/>
        <v>100</v>
      </c>
      <c r="V41" s="717" t="s">
        <v>21</v>
      </c>
      <c r="W41" s="718">
        <f t="shared" si="14"/>
        <v>100</v>
      </c>
      <c r="X41" s="719"/>
      <c r="Y41" s="3308"/>
      <c r="Z41" s="720" t="str">
        <f t="shared" si="18"/>
        <v>单套/主力户型建筑面积</v>
      </c>
      <c r="AA41" s="1539">
        <f t="shared" si="15"/>
        <v>1</v>
      </c>
      <c r="AB41" s="1539">
        <f t="shared" si="16"/>
        <v>1</v>
      </c>
      <c r="AC41" s="1539">
        <f t="shared" si="17"/>
        <v>1</v>
      </c>
    </row>
    <row r="42" spans="1:29" ht="15">
      <c r="A42" s="431"/>
      <c r="B42" s="381" t="s">
        <v>2397</v>
      </c>
      <c r="C42" s="2094"/>
      <c r="D42" s="394">
        <v>100</v>
      </c>
      <c r="E42" s="2095"/>
      <c r="F42" s="420">
        <f>SUMIF(122:122,E42,123:123)-SUMIF(122:122,C42,123:123)+100</f>
        <v>100</v>
      </c>
      <c r="G42" s="2094"/>
      <c r="H42" s="394">
        <f>SUMIF(122:122,G42,123:123)-SUMIF(122:122,C42,123:123)+100</f>
        <v>100</v>
      </c>
      <c r="I42" s="2095"/>
      <c r="J42" s="394">
        <f>SUMIF(122:122,I42,123:123)-SUMIF(122:122,C42,123:123)+100</f>
        <v>100</v>
      </c>
      <c r="K42" s="385"/>
      <c r="L42" s="2953"/>
      <c r="M42" s="2947"/>
      <c r="N42" s="2947"/>
      <c r="O42" s="2947"/>
      <c r="P42" s="3306"/>
      <c r="Q42" s="1538" t="str">
        <f t="shared" si="11"/>
        <v>内部装修</v>
      </c>
      <c r="R42" s="714" t="s">
        <v>21</v>
      </c>
      <c r="S42" s="715">
        <f t="shared" si="12"/>
        <v>100</v>
      </c>
      <c r="T42" s="714" t="s">
        <v>21</v>
      </c>
      <c r="U42" s="715">
        <f t="shared" si="13"/>
        <v>100</v>
      </c>
      <c r="V42" s="714" t="s">
        <v>21</v>
      </c>
      <c r="W42" s="715">
        <f t="shared" si="14"/>
        <v>100</v>
      </c>
      <c r="X42" s="1541"/>
      <c r="Y42" s="3308"/>
      <c r="Z42" s="1542" t="str">
        <f t="shared" si="18"/>
        <v>内部装修</v>
      </c>
      <c r="AA42" s="1539">
        <f t="shared" si="15"/>
        <v>1</v>
      </c>
      <c r="AB42" s="1539">
        <f t="shared" si="16"/>
        <v>1</v>
      </c>
      <c r="AC42" s="1539">
        <f t="shared" si="17"/>
        <v>1</v>
      </c>
    </row>
    <row r="43" spans="1:29" ht="15">
      <c r="A43" s="431"/>
      <c r="B43" s="381" t="s">
        <v>2398</v>
      </c>
      <c r="C43" s="2094"/>
      <c r="D43" s="394">
        <v>100</v>
      </c>
      <c r="E43" s="2095"/>
      <c r="F43" s="420">
        <f>SUMIF(124:124,E43,125:125)-SUMIF(124:124,C43,125:125)+100</f>
        <v>100</v>
      </c>
      <c r="G43" s="2094"/>
      <c r="H43" s="394">
        <f>SUMIF(124:124,G43,125:125)-SUMIF(124:124,C43,125:125)+100</f>
        <v>100</v>
      </c>
      <c r="I43" s="2095"/>
      <c r="J43" s="394">
        <f>SUMIF(124:124,I43,125:125)-SUMIF(124:124,C43,125:125)+100</f>
        <v>100</v>
      </c>
      <c r="K43" s="385"/>
      <c r="L43" s="2953"/>
      <c r="M43" s="2947"/>
      <c r="N43" s="2947"/>
      <c r="O43" s="2947"/>
      <c r="P43" s="3306"/>
      <c r="Q43" s="1538" t="str">
        <f t="shared" si="11"/>
        <v>内部装修维护情况</v>
      </c>
      <c r="R43" s="714" t="s">
        <v>21</v>
      </c>
      <c r="S43" s="715">
        <f t="shared" si="12"/>
        <v>100</v>
      </c>
      <c r="T43" s="714" t="s">
        <v>21</v>
      </c>
      <c r="U43" s="715">
        <f t="shared" si="13"/>
        <v>100</v>
      </c>
      <c r="V43" s="714" t="s">
        <v>21</v>
      </c>
      <c r="W43" s="715">
        <f t="shared" si="14"/>
        <v>100</v>
      </c>
      <c r="X43" s="1541"/>
      <c r="Y43" s="3308"/>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2"/>
      <c r="L44" s="2948"/>
      <c r="M44" s="2949"/>
      <c r="N44" s="2949"/>
      <c r="O44" s="2949"/>
      <c r="P44" s="3306"/>
      <c r="Q44" s="1529">
        <f t="shared" si="11"/>
        <v>111</v>
      </c>
      <c r="R44" s="710" t="s">
        <v>21</v>
      </c>
      <c r="S44" s="711">
        <f t="shared" si="12"/>
        <v>100</v>
      </c>
      <c r="T44" s="710" t="s">
        <v>21</v>
      </c>
      <c r="U44" s="711">
        <f t="shared" si="13"/>
        <v>100</v>
      </c>
      <c r="V44" s="710" t="s">
        <v>21</v>
      </c>
      <c r="W44" s="711">
        <f t="shared" si="14"/>
        <v>100</v>
      </c>
      <c r="X44" s="712"/>
      <c r="Y44" s="3308"/>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306"/>
      <c r="Q45" s="1538">
        <f t="shared" si="11"/>
        <v>111</v>
      </c>
      <c r="R45" s="714" t="s">
        <v>21</v>
      </c>
      <c r="S45" s="715">
        <f t="shared" si="12"/>
        <v>100</v>
      </c>
      <c r="T45" s="714" t="s">
        <v>21</v>
      </c>
      <c r="U45" s="715">
        <f t="shared" si="13"/>
        <v>100</v>
      </c>
      <c r="V45" s="714" t="s">
        <v>21</v>
      </c>
      <c r="W45" s="715">
        <f t="shared" si="14"/>
        <v>100</v>
      </c>
      <c r="X45" s="1541"/>
      <c r="Y45" s="3308"/>
      <c r="Z45" s="1542">
        <f t="shared" si="18"/>
        <v>111</v>
      </c>
      <c r="AA45" s="1539">
        <f t="shared" si="15"/>
        <v>1</v>
      </c>
      <c r="AB45" s="1539">
        <f t="shared" si="16"/>
        <v>1</v>
      </c>
      <c r="AC45" s="1539">
        <f t="shared" si="17"/>
        <v>1</v>
      </c>
    </row>
    <row r="46" spans="1:29" ht="15.75" thickBot="1">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307"/>
      <c r="Q46" s="1538">
        <f t="shared" si="11"/>
        <v>111</v>
      </c>
      <c r="R46" s="714" t="s">
        <v>20</v>
      </c>
      <c r="S46" s="715">
        <f t="shared" si="12"/>
        <v>100</v>
      </c>
      <c r="T46" s="714" t="s">
        <v>20</v>
      </c>
      <c r="U46" s="715">
        <f t="shared" si="13"/>
        <v>100</v>
      </c>
      <c r="V46" s="714" t="s">
        <v>20</v>
      </c>
      <c r="W46" s="715">
        <f t="shared" si="14"/>
        <v>100</v>
      </c>
      <c r="X46" s="1541"/>
      <c r="Y46" s="3309"/>
      <c r="Z46" s="1542">
        <f t="shared" si="18"/>
        <v>111</v>
      </c>
      <c r="AA46" s="1539">
        <f t="shared" si="15"/>
        <v>1</v>
      </c>
      <c r="AB46" s="1539">
        <f t="shared" si="16"/>
        <v>1</v>
      </c>
      <c r="AC46" s="1539">
        <f t="shared" si="17"/>
        <v>1</v>
      </c>
    </row>
    <row r="47" spans="1:29" ht="15">
      <c r="A47" s="438" t="s">
        <v>2399</v>
      </c>
      <c r="B47" s="439"/>
      <c r="C47" s="1316" t="s">
        <v>19</v>
      </c>
      <c r="D47" s="1317"/>
      <c r="E47" s="1318"/>
      <c r="F47" s="1319"/>
      <c r="G47" s="1320"/>
      <c r="H47" s="1321"/>
      <c r="I47" s="1318"/>
      <c r="J47" s="1321"/>
      <c r="K47" s="2102"/>
      <c r="L47" s="2955"/>
      <c r="M47" s="2956"/>
      <c r="N47" s="2947"/>
      <c r="O47" s="2956"/>
      <c r="P47" s="3301" t="str">
        <f>A47</f>
        <v>成交单价（元/平方米）</v>
      </c>
      <c r="Q47" s="3301"/>
      <c r="R47" s="3302">
        <f>E47</f>
        <v>0</v>
      </c>
      <c r="S47" s="3302"/>
      <c r="T47" s="3302">
        <f>G47</f>
        <v>0</v>
      </c>
      <c r="U47" s="3302"/>
      <c r="V47" s="3302">
        <f>I47</f>
        <v>0</v>
      </c>
      <c r="W47" s="3302"/>
      <c r="X47" s="699"/>
      <c r="Y47" s="721"/>
      <c r="Z47" s="699"/>
      <c r="AA47" s="699"/>
      <c r="AB47" s="699"/>
      <c r="AC47" s="699"/>
    </row>
    <row r="48" spans="1:29" ht="15.75" thickBot="1">
      <c r="A48" s="445" t="s">
        <v>2400</v>
      </c>
      <c r="B48" s="446"/>
      <c r="C48" s="1322" t="e">
        <f>R49</f>
        <v>#DIV/0!</v>
      </c>
      <c r="D48" s="2540" t="s">
        <v>2882</v>
      </c>
      <c r="E48" s="1323" t="e">
        <f>R48</f>
        <v>#DIV/0!</v>
      </c>
      <c r="F48" s="2541"/>
      <c r="G48" s="1322" t="e">
        <f>T48</f>
        <v>#DIV/0!</v>
      </c>
      <c r="H48" s="2541"/>
      <c r="I48" s="1323" t="e">
        <f>V48</f>
        <v>#DIV/0!</v>
      </c>
      <c r="J48" s="2541"/>
      <c r="K48" s="2542">
        <f>F48+H48+J48</f>
        <v>0</v>
      </c>
      <c r="L48" s="2955"/>
      <c r="M48" s="2956"/>
      <c r="N48" s="2956"/>
      <c r="O48" s="2956"/>
      <c r="P48" s="3301" t="str">
        <f>A48</f>
        <v>比较价值（元/平方米）</v>
      </c>
      <c r="Q48" s="3301"/>
      <c r="R48" s="3302" t="e">
        <f>IF(F1="售价",ROUND(PRODUCT(R47,AA7:AA46),0),ROUND(PRODUCT(R47,AA7:AA46),1))</f>
        <v>#DIV/0!</v>
      </c>
      <c r="S48" s="3302"/>
      <c r="T48" s="3302" t="e">
        <f>IF(F1="售价",ROUND(PRODUCT(T47,AB7:AB46),0),ROUND(PRODUCT(T47,AB7:AB46),1))</f>
        <v>#DIV/0!</v>
      </c>
      <c r="U48" s="3302"/>
      <c r="V48" s="3302" t="e">
        <f>IF(F1="售价",ROUND(PRODUCT(V47,AC7:AC46),0),ROUND(PRODUCT(V47,AC7:AC46),1))</f>
        <v>#DIV/0!</v>
      </c>
      <c r="W48" s="3302"/>
      <c r="X48" s="699"/>
      <c r="Y48" s="699"/>
      <c r="Z48" s="699"/>
      <c r="AA48" s="699"/>
      <c r="AB48" s="699"/>
      <c r="AC48" s="699"/>
    </row>
    <row r="49" spans="1:29" ht="15.75" thickBot="1">
      <c r="A49" s="449" t="s">
        <v>2401</v>
      </c>
      <c r="B49" s="450"/>
      <c r="C49" s="1324" t="e">
        <f>R49</f>
        <v>#DIV/0!</v>
      </c>
      <c r="D49" s="1325"/>
      <c r="E49" s="1325"/>
      <c r="F49" s="1325"/>
      <c r="G49" s="1325"/>
      <c r="H49" s="1325"/>
      <c r="I49" s="1325"/>
      <c r="J49" s="1325"/>
      <c r="K49" s="2103"/>
      <c r="L49" s="2955"/>
      <c r="M49" s="2956"/>
      <c r="N49" s="2956"/>
      <c r="O49" s="2956"/>
      <c r="P49" s="3298" t="str">
        <f>A49</f>
        <v>估价对象XX用房的比较价值（楼面单价，元/平方米）</v>
      </c>
      <c r="Q49" s="3299"/>
      <c r="R49" s="3300" t="e">
        <f>IF(F1="售价",ROUND(IF(D48="简单平均",AVERAGE(R48:V48),R48*F48+T48*H48+V48*J48),0),ROUND(IF(D48="简单平均",AVERAGE(R48:V48),R48*F48+T48*H48+V48*J48),1))</f>
        <v>#DIV/0!</v>
      </c>
      <c r="S49" s="3300"/>
      <c r="T49" s="3300"/>
      <c r="U49" s="3300"/>
      <c r="V49" s="3300"/>
      <c r="W49" s="3300"/>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row>
    <row r="51" spans="1:29">
      <c r="A51" s="2956"/>
      <c r="B51" s="2956"/>
      <c r="C51" s="2956"/>
      <c r="D51" s="2956"/>
      <c r="E51" s="2956"/>
      <c r="F51" s="2956"/>
      <c r="G51" s="2956"/>
      <c r="H51" s="2956"/>
      <c r="I51" s="2956"/>
      <c r="J51" s="2956"/>
      <c r="K51" s="2961"/>
      <c r="L51" s="2957"/>
      <c r="M51" s="2956"/>
      <c r="N51" s="2956"/>
      <c r="O51" s="2956"/>
    </row>
    <row r="52" spans="1:29" ht="13.5" customHeight="1">
      <c r="A52" s="2956"/>
      <c r="B52" s="2956"/>
      <c r="C52" s="454" t="s">
        <v>2402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row>
    <row r="53" spans="1:29" ht="13.5" customHeight="1">
      <c r="A53" s="2956"/>
      <c r="B53" s="2956"/>
      <c r="C53" s="454" t="s">
        <v>2403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row>
    <row r="54" spans="1:29" s="459" customFormat="1" ht="13.5" customHeight="1">
      <c r="A54" s="2959"/>
      <c r="B54" s="2959"/>
      <c r="C54" s="454" t="s">
        <v>2404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105"/>
    </row>
    <row r="55" spans="1:29" s="459" customFormat="1">
      <c r="A55" s="2959"/>
      <c r="B55" s="2962"/>
      <c r="C55" s="2963"/>
      <c r="D55" s="2959"/>
      <c r="E55" s="2959"/>
      <c r="F55" s="2959"/>
      <c r="G55" s="2959"/>
      <c r="H55" s="2959"/>
      <c r="I55" s="2959"/>
      <c r="J55" s="2959"/>
      <c r="K55" s="2964"/>
      <c r="L55" s="2958"/>
      <c r="M55" s="2959"/>
      <c r="N55" s="2959"/>
      <c r="O55" s="2959"/>
      <c r="P55" s="2105"/>
    </row>
    <row r="56" spans="1:29">
      <c r="A56" s="2956"/>
      <c r="B56" s="2962"/>
      <c r="C56" s="2963"/>
      <c r="D56" s="2956"/>
      <c r="E56" s="2956"/>
      <c r="F56" s="2956"/>
      <c r="G56" s="2956"/>
      <c r="H56" s="2956"/>
      <c r="I56" s="2956"/>
      <c r="J56" s="2956"/>
      <c r="K56" s="2961"/>
      <c r="L56" s="2957"/>
      <c r="M56" s="2956"/>
      <c r="N56" s="2956"/>
      <c r="O56" s="2956"/>
    </row>
    <row r="57" spans="1:29" ht="21.75" thickBot="1">
      <c r="A57" s="703" t="s">
        <v>2405</v>
      </c>
      <c r="B57" s="699"/>
      <c r="C57" s="704"/>
      <c r="D57" s="704"/>
      <c r="E57" s="704"/>
      <c r="F57" s="705"/>
      <c r="G57" s="705"/>
      <c r="H57" s="704"/>
      <c r="I57" s="704"/>
      <c r="J57" s="704"/>
      <c r="K57" s="1072"/>
      <c r="L57" s="1073"/>
      <c r="M57" s="1071"/>
      <c r="N57" s="1071"/>
      <c r="O57" s="1071"/>
      <c r="P57" s="2106"/>
      <c r="Q57" s="461"/>
    </row>
    <row r="58" spans="1:29" s="465" customFormat="1" ht="15">
      <c r="A58" s="462" t="s">
        <v>2406</v>
      </c>
      <c r="B58" s="463"/>
      <c r="C58" s="1348" t="str">
        <f>YEAR(C7)&amp;"-"&amp;MONTH(C7)</f>
        <v>2020-9</v>
      </c>
      <c r="D58" s="1347">
        <f>EDATE(C58,-1)</f>
        <v>44044</v>
      </c>
      <c r="E58" s="1347">
        <f>EDATE(D58,-1)</f>
        <v>44013</v>
      </c>
      <c r="F58" s="1347">
        <f t="shared" ref="F58:O58" si="19">EDATE(E58,-1)</f>
        <v>43983</v>
      </c>
      <c r="G58" s="1347">
        <f t="shared" si="19"/>
        <v>43952</v>
      </c>
      <c r="H58" s="1347">
        <f t="shared" si="19"/>
        <v>43922</v>
      </c>
      <c r="I58" s="1347">
        <f t="shared" si="19"/>
        <v>43891</v>
      </c>
      <c r="J58" s="1347">
        <f t="shared" si="19"/>
        <v>43862</v>
      </c>
      <c r="K58" s="1347">
        <f t="shared" si="19"/>
        <v>43831</v>
      </c>
      <c r="L58" s="1347">
        <f t="shared" si="19"/>
        <v>43800</v>
      </c>
      <c r="M58" s="1347">
        <f t="shared" si="19"/>
        <v>43770</v>
      </c>
      <c r="N58" s="1347">
        <f t="shared" si="19"/>
        <v>43739</v>
      </c>
      <c r="O58" s="1347">
        <f t="shared" si="19"/>
        <v>43709</v>
      </c>
      <c r="P58" s="1343"/>
    </row>
    <row r="59" spans="1:29" s="113" customFormat="1" ht="15">
      <c r="A59" s="466"/>
      <c r="B59" s="2107"/>
      <c r="C59" s="1345">
        <v>100</v>
      </c>
      <c r="D59" s="468"/>
      <c r="E59" s="469"/>
      <c r="F59" s="469"/>
      <c r="G59" s="469"/>
      <c r="H59" s="469"/>
      <c r="I59" s="469"/>
      <c r="J59" s="469"/>
      <c r="K59" s="469"/>
      <c r="L59" s="469"/>
      <c r="M59" s="470"/>
      <c r="N59" s="469"/>
      <c r="O59" s="470"/>
      <c r="P59" s="2108"/>
    </row>
    <row r="60" spans="1:29" s="113" customFormat="1" ht="15.75" thickBot="1">
      <c r="A60" s="472" t="s">
        <v>2407</v>
      </c>
      <c r="B60" s="473"/>
      <c r="C60" s="474"/>
      <c r="D60" s="475"/>
      <c r="E60" s="475"/>
      <c r="F60" s="475"/>
      <c r="G60" s="475"/>
      <c r="H60" s="475"/>
      <c r="I60" s="475"/>
      <c r="J60" s="475"/>
      <c r="K60" s="475"/>
      <c r="L60" s="475"/>
      <c r="M60" s="476"/>
      <c r="N60" s="475"/>
      <c r="O60" s="476"/>
      <c r="P60" s="2108"/>
      <c r="Q60" s="461"/>
    </row>
    <row r="61" spans="1:29" s="113" customFormat="1" ht="15">
      <c r="A61" s="478" t="s">
        <v>2408</v>
      </c>
      <c r="B61" s="467"/>
      <c r="C61" s="479" t="s">
        <v>2409</v>
      </c>
      <c r="D61" s="480"/>
      <c r="E61" s="480"/>
      <c r="F61" s="480"/>
      <c r="G61" s="480"/>
      <c r="H61" s="480"/>
      <c r="I61" s="480"/>
      <c r="J61" s="480"/>
      <c r="K61" s="480"/>
      <c r="L61" s="481"/>
      <c r="M61" s="482"/>
      <c r="N61" s="1063"/>
      <c r="O61" s="1063"/>
      <c r="P61" s="2109"/>
      <c r="Q61" s="461"/>
    </row>
    <row r="62" spans="1:29" s="113" customFormat="1" ht="15.75" thickBot="1">
      <c r="A62" s="478"/>
      <c r="B62" s="467"/>
      <c r="C62" s="468">
        <v>100</v>
      </c>
      <c r="D62" s="469"/>
      <c r="E62" s="469"/>
      <c r="F62" s="469"/>
      <c r="G62" s="469"/>
      <c r="H62" s="469"/>
      <c r="I62" s="469"/>
      <c r="J62" s="469"/>
      <c r="K62" s="469"/>
      <c r="L62" s="469"/>
      <c r="M62" s="471"/>
      <c r="N62" s="1063"/>
      <c r="O62" s="1063"/>
      <c r="P62" s="2108"/>
      <c r="Q62" s="461"/>
    </row>
    <row r="63" spans="1:29">
      <c r="A63" s="484" t="s">
        <v>2410</v>
      </c>
      <c r="B63" s="485" t="s">
        <v>2376</v>
      </c>
      <c r="C63" s="486">
        <f>C9</f>
        <v>0</v>
      </c>
      <c r="D63" s="487"/>
      <c r="E63" s="487"/>
      <c r="F63" s="487"/>
      <c r="G63" s="487"/>
      <c r="H63" s="487"/>
      <c r="I63" s="487"/>
      <c r="J63" s="487"/>
      <c r="K63" s="488"/>
      <c r="L63" s="489"/>
      <c r="M63" s="490"/>
      <c r="N63" s="1064"/>
      <c r="O63" s="1064"/>
      <c r="P63" s="2110"/>
      <c r="Q63" s="461"/>
    </row>
    <row r="64" spans="1:29" ht="15.75" thickBot="1">
      <c r="A64" s="491"/>
      <c r="B64" s="492"/>
      <c r="C64" s="493">
        <v>100</v>
      </c>
      <c r="D64" s="493"/>
      <c r="E64" s="493"/>
      <c r="F64" s="493"/>
      <c r="G64" s="493"/>
      <c r="H64" s="493"/>
      <c r="I64" s="493"/>
      <c r="J64" s="493"/>
      <c r="K64" s="493"/>
      <c r="L64" s="493"/>
      <c r="M64" s="494"/>
      <c r="N64" s="1065"/>
      <c r="O64" s="1065"/>
      <c r="P64" s="2110"/>
      <c r="Q64" s="461"/>
    </row>
    <row r="65" spans="1:17" ht="27.75" thickTop="1">
      <c r="A65" s="491"/>
      <c r="B65" s="495" t="s">
        <v>2379</v>
      </c>
      <c r="C65" s="496" t="s">
        <v>2411</v>
      </c>
      <c r="D65" s="496" t="s">
        <v>2412</v>
      </c>
      <c r="E65" s="496" t="s">
        <v>2413</v>
      </c>
      <c r="F65" s="496" t="s">
        <v>2414</v>
      </c>
      <c r="G65" s="496" t="s">
        <v>2415</v>
      </c>
      <c r="H65" s="496" t="s">
        <v>2416</v>
      </c>
      <c r="I65" s="496" t="s">
        <v>2417</v>
      </c>
      <c r="J65" s="496"/>
      <c r="K65" s="497"/>
      <c r="L65" s="498"/>
      <c r="M65" s="499"/>
      <c r="N65" s="1064"/>
      <c r="O65" s="1064"/>
      <c r="P65" s="2110"/>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75" thickTop="1">
      <c r="A67" s="491"/>
      <c r="B67" s="503" t="s">
        <v>2380</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ht="15">
      <c r="A68" s="491"/>
      <c r="B68" s="505"/>
      <c r="C68" s="506"/>
      <c r="D68" s="506"/>
      <c r="E68" s="506"/>
      <c r="F68" s="506"/>
      <c r="G68" s="506"/>
      <c r="H68" s="506"/>
      <c r="I68" s="506"/>
      <c r="J68" s="506"/>
      <c r="K68" s="507"/>
      <c r="L68" s="508"/>
      <c r="M68" s="509"/>
      <c r="N68" s="1064"/>
      <c r="O68" s="1064"/>
      <c r="P68" s="2110"/>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5.75" thickTop="1">
      <c r="A70" s="510"/>
      <c r="B70" s="495">
        <f>B12</f>
        <v>111</v>
      </c>
      <c r="C70" s="511"/>
      <c r="D70" s="511"/>
      <c r="E70" s="511"/>
      <c r="F70" s="511"/>
      <c r="G70" s="511"/>
      <c r="H70" s="512"/>
      <c r="I70" s="512"/>
      <c r="J70" s="512"/>
      <c r="K70" s="512"/>
      <c r="L70" s="513"/>
      <c r="M70" s="514"/>
      <c r="N70" s="1066"/>
      <c r="O70" s="1066"/>
      <c r="P70" s="2111"/>
      <c r="Q70" s="516"/>
    </row>
    <row r="71" spans="1:17" s="430" customFormat="1" ht="15.75" thickBot="1">
      <c r="A71" s="510"/>
      <c r="B71" s="500"/>
      <c r="C71" s="517"/>
      <c r="D71" s="493"/>
      <c r="E71" s="493"/>
      <c r="F71" s="493"/>
      <c r="G71" s="493"/>
      <c r="H71" s="493"/>
      <c r="I71" s="493"/>
      <c r="J71" s="493"/>
      <c r="K71" s="493"/>
      <c r="L71" s="493"/>
      <c r="M71" s="494"/>
      <c r="N71" s="1065"/>
      <c r="O71" s="1065"/>
      <c r="P71" s="2111"/>
      <c r="Q71" s="516"/>
    </row>
    <row r="72" spans="1:17" s="430" customFormat="1" ht="15.75" thickTop="1">
      <c r="A72" s="510"/>
      <c r="B72" s="495">
        <f>B13</f>
        <v>111</v>
      </c>
      <c r="C72" s="511"/>
      <c r="D72" s="511"/>
      <c r="E72" s="511"/>
      <c r="F72" s="511"/>
      <c r="G72" s="511"/>
      <c r="H72" s="512"/>
      <c r="I72" s="512"/>
      <c r="J72" s="512"/>
      <c r="K72" s="512"/>
      <c r="L72" s="513"/>
      <c r="M72" s="514"/>
      <c r="N72" s="1066"/>
      <c r="O72" s="1066"/>
      <c r="P72" s="2112"/>
      <c r="Q72" s="518"/>
    </row>
    <row r="73" spans="1:17" s="430" customFormat="1" ht="15.75" thickBot="1">
      <c r="A73" s="510"/>
      <c r="B73" s="500"/>
      <c r="C73" s="517"/>
      <c r="D73" s="517"/>
      <c r="E73" s="517"/>
      <c r="F73" s="517"/>
      <c r="G73" s="517"/>
      <c r="H73" s="519"/>
      <c r="I73" s="519"/>
      <c r="J73" s="519"/>
      <c r="K73" s="519"/>
      <c r="L73" s="519"/>
      <c r="M73" s="520"/>
      <c r="N73" s="1066"/>
      <c r="O73" s="1066"/>
      <c r="P73" s="2111"/>
      <c r="Q73" s="516"/>
    </row>
    <row r="74" spans="1:17" s="430" customFormat="1" ht="15.75" thickTop="1">
      <c r="A74" s="510"/>
      <c r="B74" s="503">
        <f>B14</f>
        <v>111</v>
      </c>
      <c r="C74" s="511"/>
      <c r="D74" s="511"/>
      <c r="E74" s="511"/>
      <c r="F74" s="511"/>
      <c r="G74" s="480"/>
      <c r="H74" s="521"/>
      <c r="I74" s="521"/>
      <c r="J74" s="521"/>
      <c r="K74" s="521"/>
      <c r="L74" s="522"/>
      <c r="M74" s="523"/>
      <c r="N74" s="1066"/>
      <c r="O74" s="1066"/>
      <c r="P74" s="2113"/>
      <c r="Q74" s="516"/>
    </row>
    <row r="75" spans="1:17" s="430" customFormat="1" ht="15.75" thickBot="1">
      <c r="A75" s="525"/>
      <c r="B75" s="526"/>
      <c r="C75" s="527"/>
      <c r="D75" s="527"/>
      <c r="E75" s="527"/>
      <c r="F75" s="527"/>
      <c r="G75" s="527"/>
      <c r="H75" s="528"/>
      <c r="I75" s="528"/>
      <c r="J75" s="528"/>
      <c r="K75" s="528"/>
      <c r="L75" s="528"/>
      <c r="M75" s="529"/>
      <c r="N75" s="1066"/>
      <c r="O75" s="1066"/>
      <c r="P75" s="2111"/>
      <c r="Q75" s="516"/>
    </row>
    <row r="76" spans="1:17">
      <c r="A76" s="484" t="s">
        <v>2381</v>
      </c>
      <c r="B76" s="485" t="s">
        <v>2418</v>
      </c>
      <c r="C76" s="530" t="s">
        <v>2419</v>
      </c>
      <c r="D76" s="530" t="s">
        <v>2420</v>
      </c>
      <c r="E76" s="530" t="s">
        <v>2421</v>
      </c>
      <c r="F76" s="530" t="s">
        <v>2422</v>
      </c>
      <c r="G76" s="530" t="s">
        <v>2423</v>
      </c>
      <c r="H76" s="486"/>
      <c r="I76" s="486"/>
      <c r="J76" s="486"/>
      <c r="K76" s="531"/>
      <c r="L76" s="532"/>
      <c r="M76" s="533"/>
      <c r="N76" s="1064"/>
      <c r="O76" s="1064"/>
      <c r="P76" s="2114"/>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10"/>
      <c r="Q77" s="461"/>
    </row>
    <row r="78" spans="1:17" ht="15.75" thickTop="1">
      <c r="A78" s="491"/>
      <c r="B78" s="495" t="s">
        <v>2424</v>
      </c>
      <c r="C78" s="535" t="s">
        <v>2419</v>
      </c>
      <c r="D78" s="535" t="s">
        <v>2420</v>
      </c>
      <c r="E78" s="535" t="s">
        <v>2421</v>
      </c>
      <c r="F78" s="535" t="s">
        <v>2422</v>
      </c>
      <c r="G78" s="535" t="s">
        <v>2423</v>
      </c>
      <c r="H78" s="496"/>
      <c r="I78" s="496"/>
      <c r="J78" s="496"/>
      <c r="K78" s="497"/>
      <c r="L78" s="498"/>
      <c r="M78" s="499"/>
      <c r="N78" s="1064"/>
      <c r="O78" s="1064"/>
      <c r="P78" s="2110"/>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10"/>
      <c r="Q79" s="461"/>
    </row>
    <row r="80" spans="1:17" ht="15.75" thickTop="1">
      <c r="A80" s="491"/>
      <c r="B80" s="495" t="s">
        <v>2425</v>
      </c>
      <c r="C80" s="535" t="s">
        <v>2419</v>
      </c>
      <c r="D80" s="535" t="s">
        <v>2420</v>
      </c>
      <c r="E80" s="535" t="s">
        <v>2421</v>
      </c>
      <c r="F80" s="535" t="s">
        <v>2422</v>
      </c>
      <c r="G80" s="535" t="s">
        <v>2423</v>
      </c>
      <c r="H80" s="496"/>
      <c r="I80" s="496"/>
      <c r="J80" s="496"/>
      <c r="K80" s="497"/>
      <c r="L80" s="498"/>
      <c r="M80" s="499"/>
      <c r="N80" s="1064"/>
      <c r="O80" s="1064"/>
      <c r="P80" s="2110"/>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10"/>
      <c r="Q81" s="461"/>
    </row>
    <row r="82" spans="1:17" ht="15.75" thickTop="1">
      <c r="A82" s="491"/>
      <c r="B82" s="503" t="s">
        <v>1947</v>
      </c>
      <c r="C82" s="496" t="s">
        <v>2426</v>
      </c>
      <c r="D82" s="496" t="s">
        <v>2427</v>
      </c>
      <c r="E82" s="496" t="s">
        <v>2428</v>
      </c>
      <c r="F82" s="496" t="s">
        <v>2429</v>
      </c>
      <c r="G82" s="496" t="s">
        <v>2430</v>
      </c>
      <c r="H82" s="496"/>
      <c r="I82" s="496"/>
      <c r="J82" s="496"/>
      <c r="K82" s="496"/>
      <c r="L82" s="496"/>
      <c r="M82" s="1291"/>
      <c r="N82" s="1065"/>
      <c r="O82" s="1065"/>
      <c r="P82" s="2110"/>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10"/>
      <c r="Q83" s="461"/>
    </row>
    <row r="84" spans="1:17" ht="15.75" thickTop="1">
      <c r="A84" s="491"/>
      <c r="B84" s="495" t="s">
        <v>2431</v>
      </c>
      <c r="C84" s="535" t="s">
        <v>2419</v>
      </c>
      <c r="D84" s="535" t="s">
        <v>2420</v>
      </c>
      <c r="E84" s="535" t="s">
        <v>2421</v>
      </c>
      <c r="F84" s="535" t="s">
        <v>2422</v>
      </c>
      <c r="G84" s="535" t="s">
        <v>2423</v>
      </c>
      <c r="H84" s="496"/>
      <c r="I84" s="496"/>
      <c r="J84" s="496"/>
      <c r="K84" s="497"/>
      <c r="L84" s="498"/>
      <c r="M84" s="499"/>
      <c r="N84" s="1064"/>
      <c r="O84" s="1064"/>
      <c r="P84" s="2110"/>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10"/>
      <c r="Q85" s="461"/>
    </row>
    <row r="86" spans="1:17" s="113" customFormat="1" ht="15.75" thickTop="1">
      <c r="A86" s="536"/>
      <c r="B86" s="495" t="s">
        <v>2432</v>
      </c>
      <c r="C86" s="511"/>
      <c r="D86" s="511"/>
      <c r="E86" s="511"/>
      <c r="F86" s="511"/>
      <c r="G86" s="511"/>
      <c r="H86" s="511"/>
      <c r="I86" s="511"/>
      <c r="J86" s="511"/>
      <c r="K86" s="511"/>
      <c r="L86" s="537"/>
      <c r="M86" s="538"/>
      <c r="N86" s="1063"/>
      <c r="O86" s="1063"/>
      <c r="P86" s="2110"/>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75" thickTop="1">
      <c r="A88" s="536"/>
      <c r="B88" s="495" t="s">
        <v>2433</v>
      </c>
      <c r="C88" s="511"/>
      <c r="D88" s="511"/>
      <c r="E88" s="511"/>
      <c r="F88" s="2115"/>
      <c r="G88" s="511"/>
      <c r="H88" s="511"/>
      <c r="I88" s="511"/>
      <c r="J88" s="511"/>
      <c r="K88" s="511"/>
      <c r="L88" s="511"/>
      <c r="M88" s="538"/>
      <c r="N88" s="1063"/>
      <c r="O88" s="1063"/>
      <c r="P88" s="2110"/>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10"/>
      <c r="Q89" s="461"/>
    </row>
    <row r="90" spans="1:17" s="430" customFormat="1" ht="15.75" thickTop="1">
      <c r="A90" s="510"/>
      <c r="B90" s="495">
        <f>B27</f>
        <v>111</v>
      </c>
      <c r="C90" s="511"/>
      <c r="D90" s="511"/>
      <c r="E90" s="511"/>
      <c r="F90" s="511"/>
      <c r="G90" s="511"/>
      <c r="H90" s="512"/>
      <c r="I90" s="512"/>
      <c r="J90" s="512"/>
      <c r="K90" s="512"/>
      <c r="L90" s="513"/>
      <c r="M90" s="514"/>
      <c r="N90" s="1066"/>
      <c r="O90" s="1066"/>
      <c r="P90" s="2111"/>
      <c r="Q90" s="516"/>
    </row>
    <row r="91" spans="1:17" s="430" customFormat="1" ht="15.75" thickBot="1">
      <c r="A91" s="510"/>
      <c r="B91" s="500"/>
      <c r="C91" s="517"/>
      <c r="D91" s="517"/>
      <c r="E91" s="517"/>
      <c r="F91" s="517"/>
      <c r="G91" s="517"/>
      <c r="H91" s="519"/>
      <c r="I91" s="519"/>
      <c r="J91" s="519"/>
      <c r="K91" s="519"/>
      <c r="L91" s="519"/>
      <c r="M91" s="520"/>
      <c r="N91" s="1066"/>
      <c r="O91" s="1066"/>
      <c r="P91" s="2111"/>
      <c r="Q91" s="516"/>
    </row>
    <row r="92" spans="1:17" ht="15.75" thickTop="1">
      <c r="A92" s="491"/>
      <c r="B92" s="495">
        <f>B28</f>
        <v>111</v>
      </c>
      <c r="C92" s="511"/>
      <c r="D92" s="511"/>
      <c r="E92" s="511"/>
      <c r="F92" s="511"/>
      <c r="G92" s="540"/>
      <c r="H92" s="540"/>
      <c r="I92" s="540"/>
      <c r="J92" s="540"/>
      <c r="K92" s="541"/>
      <c r="L92" s="542"/>
      <c r="M92" s="543"/>
      <c r="N92" s="1064"/>
      <c r="O92" s="1064"/>
      <c r="P92" s="2110"/>
      <c r="Q92" s="461"/>
    </row>
    <row r="93" spans="1:17" ht="15.75" thickBot="1">
      <c r="A93" s="491"/>
      <c r="B93" s="500"/>
      <c r="C93" s="517"/>
      <c r="D93" s="493"/>
      <c r="E93" s="493"/>
      <c r="F93" s="493"/>
      <c r="G93" s="493"/>
      <c r="H93" s="493"/>
      <c r="I93" s="493"/>
      <c r="J93" s="493"/>
      <c r="K93" s="493"/>
      <c r="L93" s="493"/>
      <c r="M93" s="494"/>
      <c r="N93" s="1065"/>
      <c r="O93" s="1065"/>
      <c r="P93" s="2110"/>
      <c r="Q93" s="461"/>
    </row>
    <row r="94" spans="1:17" ht="15.75" thickTop="1">
      <c r="A94" s="491"/>
      <c r="B94" s="495">
        <f>B29</f>
        <v>111</v>
      </c>
      <c r="C94" s="511"/>
      <c r="D94" s="511"/>
      <c r="E94" s="511"/>
      <c r="F94" s="511"/>
      <c r="G94" s="540"/>
      <c r="H94" s="540"/>
      <c r="I94" s="540"/>
      <c r="J94" s="540"/>
      <c r="K94" s="541"/>
      <c r="L94" s="542"/>
      <c r="M94" s="543"/>
      <c r="N94" s="1064"/>
      <c r="O94" s="1064"/>
      <c r="P94" s="2110"/>
      <c r="Q94" s="461"/>
    </row>
    <row r="95" spans="1:17" ht="15.75" thickBot="1">
      <c r="A95" s="491"/>
      <c r="B95" s="500"/>
      <c r="C95" s="517"/>
      <c r="D95" s="517"/>
      <c r="E95" s="517"/>
      <c r="F95" s="517"/>
      <c r="G95" s="493"/>
      <c r="H95" s="493"/>
      <c r="I95" s="493"/>
      <c r="J95" s="493"/>
      <c r="K95" s="493"/>
      <c r="L95" s="493"/>
      <c r="M95" s="494"/>
      <c r="N95" s="1065"/>
      <c r="O95" s="1065"/>
      <c r="P95" s="2110"/>
      <c r="Q95" s="461"/>
    </row>
    <row r="96" spans="1:17" ht="15.75" thickTop="1">
      <c r="A96" s="491"/>
      <c r="B96" s="495">
        <f>B30</f>
        <v>111</v>
      </c>
      <c r="C96" s="511"/>
      <c r="D96" s="511"/>
      <c r="E96" s="511"/>
      <c r="F96" s="511"/>
      <c r="G96" s="540"/>
      <c r="H96" s="540"/>
      <c r="I96" s="540"/>
      <c r="J96" s="540"/>
      <c r="K96" s="541"/>
      <c r="L96" s="542"/>
      <c r="M96" s="543"/>
      <c r="N96" s="1064"/>
      <c r="O96" s="1064"/>
      <c r="P96" s="2110"/>
      <c r="Q96" s="461"/>
    </row>
    <row r="97" spans="1:17" ht="15.75" thickBot="1">
      <c r="A97" s="491"/>
      <c r="B97" s="500"/>
      <c r="C97" s="527"/>
      <c r="D97" s="527"/>
      <c r="E97" s="527"/>
      <c r="F97" s="527"/>
      <c r="G97" s="493"/>
      <c r="H97" s="493"/>
      <c r="I97" s="493"/>
      <c r="J97" s="493"/>
      <c r="K97" s="493"/>
      <c r="L97" s="493"/>
      <c r="M97" s="494"/>
      <c r="N97" s="1065"/>
      <c r="O97" s="1065"/>
      <c r="P97" s="2110"/>
      <c r="Q97" s="461"/>
    </row>
    <row r="98" spans="1:17" ht="15.75" thickTop="1">
      <c r="A98" s="491"/>
      <c r="B98" s="503">
        <f>B31</f>
        <v>111</v>
      </c>
      <c r="C98" s="544"/>
      <c r="D98" s="544"/>
      <c r="E98" s="544"/>
      <c r="F98" s="544"/>
      <c r="G98" s="544"/>
      <c r="H98" s="544"/>
      <c r="I98" s="544"/>
      <c r="J98" s="544"/>
      <c r="K98" s="545"/>
      <c r="L98" s="546"/>
      <c r="M98" s="547"/>
      <c r="N98" s="1064"/>
      <c r="O98" s="1064"/>
      <c r="P98" s="2110"/>
      <c r="Q98" s="461"/>
    </row>
    <row r="99" spans="1:17" ht="15.75" thickBot="1">
      <c r="A99" s="2116"/>
      <c r="B99" s="526"/>
      <c r="C99" s="548"/>
      <c r="D99" s="548"/>
      <c r="E99" s="548"/>
      <c r="F99" s="548"/>
      <c r="G99" s="548"/>
      <c r="H99" s="548"/>
      <c r="I99" s="548"/>
      <c r="J99" s="548"/>
      <c r="K99" s="548"/>
      <c r="L99" s="548"/>
      <c r="M99" s="549"/>
      <c r="N99" s="1065"/>
      <c r="O99" s="1065"/>
      <c r="P99" s="2110"/>
      <c r="Q99" s="461"/>
    </row>
    <row r="100" spans="1:17">
      <c r="A100" s="484" t="s">
        <v>2385</v>
      </c>
      <c r="B100" s="485" t="s">
        <v>2434</v>
      </c>
      <c r="C100" s="487"/>
      <c r="D100" s="487"/>
      <c r="E100" s="487"/>
      <c r="F100" s="487"/>
      <c r="G100" s="487"/>
      <c r="H100" s="487"/>
      <c r="I100" s="487"/>
      <c r="J100" s="487"/>
      <c r="K100" s="488"/>
      <c r="L100" s="489"/>
      <c r="M100" s="490"/>
      <c r="N100" s="1064"/>
      <c r="O100" s="1064"/>
      <c r="P100" s="2110"/>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10"/>
      <c r="Q101" s="461"/>
    </row>
    <row r="102" spans="1:17" ht="15.75" thickTop="1">
      <c r="A102" s="491"/>
      <c r="B102" s="495" t="s">
        <v>2435</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c r="A103" s="550"/>
      <c r="B103" s="551"/>
      <c r="C103" s="552"/>
      <c r="D103" s="552"/>
      <c r="E103" s="552"/>
      <c r="F103" s="552"/>
      <c r="G103" s="552"/>
      <c r="H103" s="552"/>
      <c r="I103" s="552"/>
      <c r="J103" s="553"/>
      <c r="K103" s="553"/>
      <c r="L103" s="554"/>
      <c r="M103" s="555"/>
      <c r="N103" s="1066"/>
      <c r="O103" s="1066"/>
      <c r="P103" s="2111"/>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1"/>
      <c r="Q104" s="516"/>
    </row>
    <row r="105" spans="1:17" ht="15" thickTop="1">
      <c r="A105" s="556"/>
      <c r="B105" s="495" t="s">
        <v>2436</v>
      </c>
      <c r="C105" s="511"/>
      <c r="D105" s="511"/>
      <c r="E105" s="540"/>
      <c r="F105" s="540"/>
      <c r="G105" s="540"/>
      <c r="H105" s="540"/>
      <c r="I105" s="540"/>
      <c r="J105" s="540"/>
      <c r="K105" s="541"/>
      <c r="L105" s="542"/>
      <c r="M105" s="543"/>
      <c r="N105" s="1064"/>
      <c r="O105" s="1064"/>
      <c r="P105" s="2110"/>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10"/>
      <c r="Q106" s="461"/>
    </row>
    <row r="107" spans="1:17" ht="15" thickTop="1">
      <c r="A107" s="556"/>
      <c r="B107" s="495" t="s">
        <v>2437</v>
      </c>
      <c r="C107" s="540"/>
      <c r="D107" s="540"/>
      <c r="E107" s="540"/>
      <c r="F107" s="540"/>
      <c r="G107" s="540"/>
      <c r="H107" s="540"/>
      <c r="I107" s="540"/>
      <c r="J107" s="540"/>
      <c r="K107" s="541"/>
      <c r="L107" s="542"/>
      <c r="M107" s="543"/>
      <c r="N107" s="1064"/>
      <c r="O107" s="1064"/>
      <c r="P107" s="2110"/>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c r="A109" s="556"/>
      <c r="B109" s="495" t="s">
        <v>2438</v>
      </c>
      <c r="C109" s="511"/>
      <c r="D109" s="511"/>
      <c r="E109" s="511"/>
      <c r="F109" s="540"/>
      <c r="G109" s="540"/>
      <c r="H109" s="540"/>
      <c r="I109" s="540"/>
      <c r="J109" s="540"/>
      <c r="K109" s="541"/>
      <c r="L109" s="542"/>
      <c r="M109" s="543"/>
      <c r="N109" s="1064"/>
      <c r="O109" s="1064"/>
      <c r="P109" s="2110"/>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10"/>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c r="A114" s="556"/>
      <c r="B114" s="495" t="s">
        <v>2439</v>
      </c>
      <c r="C114" s="511"/>
      <c r="D114" s="511"/>
      <c r="E114" s="540"/>
      <c r="F114" s="540"/>
      <c r="G114" s="540"/>
      <c r="H114" s="540"/>
      <c r="I114" s="540"/>
      <c r="J114" s="540"/>
      <c r="K114" s="541"/>
      <c r="L114" s="542"/>
      <c r="M114" s="543"/>
      <c r="N114" s="1064"/>
      <c r="O114" s="1064"/>
      <c r="P114" s="2110"/>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10"/>
      <c r="Q115" s="461"/>
    </row>
    <row r="116" spans="1:17" ht="15" thickTop="1">
      <c r="A116" s="556"/>
      <c r="B116" s="495" t="s">
        <v>2440</v>
      </c>
      <c r="C116" s="511"/>
      <c r="D116" s="511"/>
      <c r="E116" s="511"/>
      <c r="F116" s="511"/>
      <c r="G116" s="511"/>
      <c r="H116" s="540"/>
      <c r="I116" s="540"/>
      <c r="J116" s="540"/>
      <c r="K116" s="541"/>
      <c r="L116" s="542"/>
      <c r="M116" s="543"/>
      <c r="N116" s="1064"/>
      <c r="O116" s="1064"/>
      <c r="P116" s="2110"/>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10"/>
      <c r="Q117" s="461"/>
    </row>
    <row r="118" spans="1:17" ht="15" thickTop="1">
      <c r="A118" s="556"/>
      <c r="B118" s="495" t="s">
        <v>2441</v>
      </c>
      <c r="C118" s="540"/>
      <c r="D118" s="540"/>
      <c r="E118" s="540"/>
      <c r="F118" s="540"/>
      <c r="G118" s="540"/>
      <c r="H118" s="540"/>
      <c r="I118" s="540"/>
      <c r="J118" s="540"/>
      <c r="K118" s="541"/>
      <c r="L118" s="542"/>
      <c r="M118" s="543"/>
      <c r="N118" s="1064"/>
      <c r="O118" s="1064"/>
      <c r="P118" s="2110"/>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10"/>
      <c r="Q119" s="461"/>
    </row>
    <row r="120" spans="1:17" s="430" customFormat="1" ht="28.5" thickTop="1">
      <c r="A120" s="550"/>
      <c r="B120" s="495" t="s">
        <v>2396</v>
      </c>
      <c r="C120" s="511"/>
      <c r="D120" s="511"/>
      <c r="E120" s="511"/>
      <c r="F120" s="511"/>
      <c r="G120" s="511"/>
      <c r="H120" s="511"/>
      <c r="I120" s="511"/>
      <c r="J120" s="511"/>
      <c r="K120" s="511"/>
      <c r="L120" s="537"/>
      <c r="M120" s="538"/>
      <c r="N120" s="1066"/>
      <c r="O120" s="1066"/>
      <c r="P120" s="2111"/>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1"/>
      <c r="Q121" s="516"/>
    </row>
    <row r="122" spans="1:17" ht="15" thickTop="1">
      <c r="A122" s="556"/>
      <c r="B122" s="495" t="s">
        <v>2442</v>
      </c>
      <c r="C122" s="511"/>
      <c r="D122" s="511"/>
      <c r="E122" s="511"/>
      <c r="F122" s="540"/>
      <c r="G122" s="540"/>
      <c r="H122" s="540"/>
      <c r="I122" s="540"/>
      <c r="J122" s="540"/>
      <c r="K122" s="541"/>
      <c r="L122" s="542"/>
      <c r="M122" s="543"/>
      <c r="N122" s="1064"/>
      <c r="O122" s="1064"/>
      <c r="P122" s="2110"/>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10"/>
      <c r="Q123" s="461"/>
    </row>
    <row r="124" spans="1:17" ht="15" thickTop="1">
      <c r="A124" s="556"/>
      <c r="B124" s="495" t="s">
        <v>2443</v>
      </c>
      <c r="C124" s="535" t="s">
        <v>2419</v>
      </c>
      <c r="D124" s="535" t="s">
        <v>2420</v>
      </c>
      <c r="E124" s="535" t="s">
        <v>2421</v>
      </c>
      <c r="F124" s="535" t="s">
        <v>2422</v>
      </c>
      <c r="G124" s="535" t="s">
        <v>2423</v>
      </c>
      <c r="H124" s="496"/>
      <c r="I124" s="496"/>
      <c r="J124" s="496"/>
      <c r="K124" s="497"/>
      <c r="L124" s="498"/>
      <c r="M124" s="499"/>
      <c r="N124" s="1064"/>
      <c r="O124" s="1064"/>
      <c r="P124" s="2111"/>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10"/>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1"/>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1"/>
      <c r="Q127" s="516"/>
    </row>
    <row r="128" spans="1:17" ht="15" thickTop="1">
      <c r="A128" s="556"/>
      <c r="B128" s="495">
        <f>B45</f>
        <v>111</v>
      </c>
      <c r="C128" s="511"/>
      <c r="D128" s="511"/>
      <c r="E128" s="511"/>
      <c r="F128" s="511"/>
      <c r="G128" s="540"/>
      <c r="H128" s="540"/>
      <c r="I128" s="540"/>
      <c r="J128" s="540"/>
      <c r="K128" s="541"/>
      <c r="L128" s="542"/>
      <c r="M128" s="543"/>
      <c r="N128" s="1064"/>
      <c r="O128" s="1064"/>
      <c r="P128" s="2110"/>
      <c r="Q128" s="461"/>
    </row>
    <row r="129" spans="1:17" ht="15.75" thickBot="1">
      <c r="A129" s="491"/>
      <c r="B129" s="500"/>
      <c r="C129" s="517"/>
      <c r="D129" s="517"/>
      <c r="E129" s="517"/>
      <c r="F129" s="517"/>
      <c r="G129" s="493"/>
      <c r="H129" s="493"/>
      <c r="I129" s="493"/>
      <c r="J129" s="493"/>
      <c r="K129" s="493"/>
      <c r="L129" s="493"/>
      <c r="M129" s="494"/>
      <c r="N129" s="1065"/>
      <c r="O129" s="1065"/>
      <c r="P129" s="2110"/>
      <c r="Q129" s="461"/>
    </row>
    <row r="130" spans="1:17" ht="15" thickTop="1">
      <c r="A130" s="556"/>
      <c r="B130" s="503">
        <f>B46</f>
        <v>111</v>
      </c>
      <c r="C130" s="511"/>
      <c r="D130" s="511"/>
      <c r="E130" s="511"/>
      <c r="F130" s="511"/>
      <c r="G130" s="544"/>
      <c r="H130" s="544"/>
      <c r="I130" s="544"/>
      <c r="J130" s="544"/>
      <c r="K130" s="480"/>
      <c r="L130" s="481"/>
      <c r="M130" s="547"/>
      <c r="N130" s="1064"/>
      <c r="O130" s="1064"/>
      <c r="P130" s="2110"/>
      <c r="Q130" s="461"/>
    </row>
    <row r="131" spans="1:17" ht="15.75" thickBot="1">
      <c r="A131" s="2116"/>
      <c r="B131" s="526"/>
      <c r="C131" s="527"/>
      <c r="D131" s="527"/>
      <c r="E131" s="527"/>
      <c r="F131" s="527"/>
      <c r="G131" s="548"/>
      <c r="H131" s="548"/>
      <c r="I131" s="548"/>
      <c r="J131" s="548"/>
      <c r="K131" s="548"/>
      <c r="L131" s="548"/>
      <c r="M131" s="549"/>
      <c r="N131" s="1065"/>
      <c r="O131" s="1065"/>
      <c r="P131" s="2110"/>
      <c r="Q131" s="461"/>
    </row>
    <row r="136" spans="1:17" ht="15" thickBot="1">
      <c r="B136" s="2117" t="s">
        <v>2444</v>
      </c>
    </row>
    <row r="137" spans="1:17" ht="15">
      <c r="B137" s="2118" t="s">
        <v>2445</v>
      </c>
      <c r="C137" s="2119"/>
      <c r="D137" s="2119"/>
      <c r="E137" s="2119"/>
      <c r="F137" s="2119"/>
      <c r="G137" s="2120"/>
      <c r="H137" s="2121"/>
      <c r="I137" s="2122" t="s">
        <v>2446</v>
      </c>
      <c r="J137" s="2119"/>
      <c r="K137" s="2123"/>
    </row>
    <row r="138" spans="1:17" ht="15">
      <c r="B138" s="2124"/>
      <c r="C138" s="142" t="s">
        <v>2447</v>
      </c>
      <c r="D138" s="142" t="s">
        <v>2448</v>
      </c>
      <c r="E138" s="2125" t="s">
        <v>2449</v>
      </c>
      <c r="F138" s="2126" t="s">
        <v>2450</v>
      </c>
      <c r="G138" s="142" t="s">
        <v>2448</v>
      </c>
      <c r="H138" s="143" t="s">
        <v>2449</v>
      </c>
      <c r="I138" s="2127"/>
      <c r="J138" s="142" t="s">
        <v>2451</v>
      </c>
      <c r="K138" s="143" t="s">
        <v>2452</v>
      </c>
    </row>
    <row r="139" spans="1:17" ht="15">
      <c r="B139" s="998">
        <v>6</v>
      </c>
      <c r="C139" s="999">
        <v>96</v>
      </c>
      <c r="D139" s="2128" t="s">
        <v>2453</v>
      </c>
      <c r="E139" s="1000">
        <v>100</v>
      </c>
      <c r="F139" s="1001">
        <v>102.5</v>
      </c>
      <c r="G139" s="2128" t="s">
        <v>2453</v>
      </c>
      <c r="H139" s="1002">
        <v>105</v>
      </c>
      <c r="I139" s="2129" t="s">
        <v>2454</v>
      </c>
      <c r="J139" s="999">
        <v>20</v>
      </c>
      <c r="K139" s="1003">
        <f>C145/(J139-2)</f>
        <v>4.0555555555555553E-3</v>
      </c>
    </row>
    <row r="140" spans="1:17" ht="15">
      <c r="B140" s="1004">
        <v>5</v>
      </c>
      <c r="C140" s="1005">
        <v>100</v>
      </c>
      <c r="D140" s="1005"/>
      <c r="E140" s="1006"/>
      <c r="F140" s="1007">
        <v>102</v>
      </c>
      <c r="G140" s="1005"/>
      <c r="H140" s="1008"/>
      <c r="I140" s="2130" t="s">
        <v>2455</v>
      </c>
      <c r="J140" s="277">
        <f>ROUNDUP((J139-1)/2,0)</f>
        <v>10</v>
      </c>
      <c r="K140" s="1009">
        <v>100</v>
      </c>
    </row>
    <row r="141" spans="1:17" ht="15">
      <c r="B141" s="1004">
        <v>4</v>
      </c>
      <c r="C141" s="1005">
        <v>102</v>
      </c>
      <c r="D141" s="1005"/>
      <c r="E141" s="1006"/>
      <c r="F141" s="1007">
        <v>101.5</v>
      </c>
      <c r="G141" s="1005"/>
      <c r="H141" s="1008"/>
      <c r="I141" s="2130" t="s">
        <v>2456</v>
      </c>
      <c r="J141" s="277">
        <v>1</v>
      </c>
      <c r="K141" s="1010">
        <f>ROUND(100+(J141-J140)*K139*100,1)</f>
        <v>96.4</v>
      </c>
    </row>
    <row r="142" spans="1:17" ht="15">
      <c r="B142" s="1004">
        <v>3</v>
      </c>
      <c r="C142" s="1005">
        <v>103</v>
      </c>
      <c r="D142" s="1005"/>
      <c r="E142" s="1006"/>
      <c r="F142" s="1007">
        <v>101</v>
      </c>
      <c r="G142" s="1005"/>
      <c r="H142" s="1008"/>
      <c r="I142" s="2130" t="s">
        <v>2457</v>
      </c>
      <c r="J142" s="277">
        <f>J139</f>
        <v>20</v>
      </c>
      <c r="K142" s="1011">
        <v>95</v>
      </c>
    </row>
    <row r="143" spans="1:17" ht="15">
      <c r="B143" s="1004">
        <v>2</v>
      </c>
      <c r="C143" s="1005">
        <v>100</v>
      </c>
      <c r="D143" s="1005"/>
      <c r="E143" s="1006"/>
      <c r="F143" s="1007">
        <v>100.5</v>
      </c>
      <c r="G143" s="1005"/>
      <c r="H143" s="1008"/>
      <c r="I143" s="2130" t="s">
        <v>2458</v>
      </c>
      <c r="J143" s="1005">
        <v>15</v>
      </c>
      <c r="K143" s="1010">
        <f>ROUND(100+(J143-J140)*K139*100,1)</f>
        <v>102</v>
      </c>
    </row>
    <row r="144" spans="1:17" ht="15">
      <c r="B144" s="1004">
        <v>1</v>
      </c>
      <c r="C144" s="1005">
        <v>98</v>
      </c>
      <c r="D144" s="2131" t="s">
        <v>2459</v>
      </c>
      <c r="E144" s="1006">
        <v>102</v>
      </c>
      <c r="F144" s="1012">
        <v>100</v>
      </c>
      <c r="G144" s="2131" t="s">
        <v>2459</v>
      </c>
      <c r="H144" s="1008">
        <v>105</v>
      </c>
      <c r="I144" s="2130" t="s">
        <v>2458</v>
      </c>
      <c r="J144" s="1005">
        <v>18</v>
      </c>
      <c r="K144" s="1010">
        <f>ROUND(100+(J144-J140)*K139*100,1)</f>
        <v>103.2</v>
      </c>
    </row>
    <row r="145" spans="2:11" ht="15.75" thickBot="1">
      <c r="B145" s="2132" t="s">
        <v>2460</v>
      </c>
      <c r="C145" s="1013">
        <f>ROUND(MAX(C139:C144)/MIN(C139:C144)-1,3)</f>
        <v>7.2999999999999995E-2</v>
      </c>
      <c r="D145" s="1014"/>
      <c r="E145" s="1014"/>
      <c r="F145" s="2133" t="s">
        <v>2461</v>
      </c>
      <c r="G145" s="2134"/>
      <c r="H145" s="2135"/>
      <c r="I145" s="2136" t="s">
        <v>2458</v>
      </c>
      <c r="J145" s="1015">
        <v>8</v>
      </c>
      <c r="K145" s="1016">
        <f>ROUND(100+(J145-J140)*K139*100,1)</f>
        <v>99.2</v>
      </c>
    </row>
    <row r="147" spans="2:11">
      <c r="B147" s="2117" t="s">
        <v>2462</v>
      </c>
    </row>
    <row r="148" spans="2:11">
      <c r="B148" s="2117" t="s">
        <v>2463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U518" sqref="U51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066" t="s">
        <v>2464</v>
      </c>
      <c r="C1" s="1406" t="s">
        <v>2352</v>
      </c>
      <c r="D1" s="1393"/>
      <c r="E1" s="2545"/>
      <c r="F1" s="2067"/>
      <c r="G1" s="1403" t="s">
        <v>2465</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c r="A2" s="1389" t="s">
        <v>2149</v>
      </c>
      <c r="B2" s="1326" t="e">
        <f ca="1">IF(C2="——",ROUND(C49*D3/10000,0),ROUND(C49*D3/10000,0)-D2)</f>
        <v>#DIV/0!</v>
      </c>
      <c r="C2" s="2069"/>
      <c r="D2" s="1275" t="e">
        <f ca="1">SUMIF(INDIRECT("'"&amp;F2&amp;"'"&amp;"!A:A"),"承租人权益价值",INDIRECT("'"&amp;F2&amp;"'"&amp;"!c:c"))</f>
        <v>#REF!</v>
      </c>
      <c r="E2" s="2070" t="s">
        <v>2150</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c r="A3" s="209" t="s">
        <v>2151</v>
      </c>
      <c r="B3" s="566" t="e">
        <f ca="1">IF(C2="——",C49,ROUND(B2*10000/D3,0))</f>
        <v>#DIV/0!</v>
      </c>
      <c r="C3" s="360" t="s">
        <v>2466</v>
      </c>
      <c r="D3" s="359">
        <f>IF(D1="",'数据-汇总表'!E3,SUMIF('数据-汇总表'!$C19:$C33,D1,'数据-汇总表'!$E19:$E33))</f>
        <v>8276.64</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ht="15">
      <c r="A4" s="361" t="s">
        <v>2467</v>
      </c>
      <c r="B4" s="362"/>
      <c r="C4" s="3284" t="s">
        <v>2468</v>
      </c>
      <c r="D4" s="3285"/>
      <c r="E4" s="3286" t="s">
        <v>2469</v>
      </c>
      <c r="F4" s="3287"/>
      <c r="G4" s="3284" t="s">
        <v>2470</v>
      </c>
      <c r="H4" s="3285"/>
      <c r="I4" s="3284" t="s">
        <v>2471</v>
      </c>
      <c r="J4" s="3285"/>
      <c r="K4" s="567" t="s">
        <v>2472</v>
      </c>
      <c r="L4" s="2946"/>
      <c r="M4" s="2947"/>
      <c r="N4" s="2947"/>
      <c r="O4" s="2947"/>
      <c r="P4" s="3288" t="s">
        <v>2473</v>
      </c>
      <c r="Q4" s="3289"/>
      <c r="R4" s="3271" t="s">
        <v>2469</v>
      </c>
      <c r="S4" s="3272"/>
      <c r="T4" s="3271" t="s">
        <v>2470</v>
      </c>
      <c r="U4" s="3272"/>
      <c r="V4" s="3296" t="s">
        <v>2471</v>
      </c>
      <c r="W4" s="3296"/>
      <c r="X4" s="1541"/>
      <c r="Y4" s="3271" t="s">
        <v>2473</v>
      </c>
      <c r="Z4" s="3272"/>
      <c r="AA4" s="3266" t="s">
        <v>2469</v>
      </c>
      <c r="AB4" s="3296" t="s">
        <v>2470</v>
      </c>
      <c r="AC4" s="3266" t="s">
        <v>2471</v>
      </c>
    </row>
    <row r="5" spans="1:29" ht="15">
      <c r="A5" s="364"/>
      <c r="B5" s="365"/>
      <c r="C5" s="3277" t="s">
        <v>2364</v>
      </c>
      <c r="D5" s="3278"/>
      <c r="E5" s="3275" t="s">
        <v>2365</v>
      </c>
      <c r="F5" s="3276"/>
      <c r="G5" s="3277" t="s">
        <v>2366</v>
      </c>
      <c r="H5" s="3278"/>
      <c r="I5" s="3277" t="s">
        <v>2367</v>
      </c>
      <c r="J5" s="3278"/>
      <c r="K5" s="567"/>
      <c r="L5" s="2946"/>
      <c r="M5" s="2947"/>
      <c r="N5" s="2947"/>
      <c r="O5" s="2947"/>
      <c r="P5" s="3290"/>
      <c r="Q5" s="3291"/>
      <c r="R5" s="3273"/>
      <c r="S5" s="3274"/>
      <c r="T5" s="3273"/>
      <c r="U5" s="3274"/>
      <c r="V5" s="3296"/>
      <c r="W5" s="3296"/>
      <c r="X5" s="1541"/>
      <c r="Y5" s="3273"/>
      <c r="Z5" s="3274"/>
      <c r="AA5" s="3267"/>
      <c r="AB5" s="3296"/>
      <c r="AC5" s="3267"/>
    </row>
    <row r="6" spans="1:29" ht="15.75" thickBot="1">
      <c r="A6" s="366"/>
      <c r="B6" s="367"/>
      <c r="C6" s="3279" t="s">
        <v>2368</v>
      </c>
      <c r="D6" s="3280"/>
      <c r="E6" s="3281" t="s">
        <v>2368</v>
      </c>
      <c r="F6" s="3282"/>
      <c r="G6" s="3279" t="s">
        <v>2368</v>
      </c>
      <c r="H6" s="3280"/>
      <c r="I6" s="3279" t="s">
        <v>2368</v>
      </c>
      <c r="J6" s="3280"/>
      <c r="K6" s="567" t="s">
        <v>2369</v>
      </c>
      <c r="L6" s="2946"/>
      <c r="M6" s="2947"/>
      <c r="N6" s="2947"/>
      <c r="O6" s="2947"/>
      <c r="P6" s="3292"/>
      <c r="Q6" s="3293"/>
      <c r="R6" s="3273"/>
      <c r="S6" s="3274"/>
      <c r="T6" s="3294"/>
      <c r="U6" s="3295"/>
      <c r="V6" s="3296"/>
      <c r="W6" s="3296"/>
      <c r="X6" s="1541"/>
      <c r="Y6" s="3294"/>
      <c r="Z6" s="3295"/>
      <c r="AA6" s="3268"/>
      <c r="AB6" s="3296"/>
      <c r="AC6" s="3268"/>
    </row>
    <row r="7" spans="1:29" s="113" customFormat="1" ht="15.75" thickBot="1">
      <c r="A7" s="368" t="s">
        <v>2370</v>
      </c>
      <c r="B7" s="369"/>
      <c r="C7" s="370">
        <f>'数据-取费表'!B2</f>
        <v>44076</v>
      </c>
      <c r="D7" s="371">
        <v>100</v>
      </c>
      <c r="E7" s="372"/>
      <c r="F7" s="373">
        <f>SUMIF(58:58,YEAR(E7)&amp;"-"&amp;MONTH(E7),59:59)</f>
        <v>0</v>
      </c>
      <c r="G7" s="372"/>
      <c r="H7" s="371">
        <f>SUMIF(58:58,YEAR(G7)&amp;"-"&amp;MONTH(G7),59:59)</f>
        <v>0</v>
      </c>
      <c r="I7" s="372"/>
      <c r="J7" s="371">
        <f>SUMIF(58:58,YEAR(I7)&amp;"-"&amp;MONTH(I7),59:59)</f>
        <v>0</v>
      </c>
      <c r="K7" s="568"/>
      <c r="L7" s="2948"/>
      <c r="M7" s="2949"/>
      <c r="N7" s="2949"/>
      <c r="O7" s="2949"/>
      <c r="P7" s="3269" t="s">
        <v>2371</v>
      </c>
      <c r="Q7" s="3297"/>
      <c r="R7" s="710" t="s">
        <v>17</v>
      </c>
      <c r="S7" s="711">
        <f t="shared" ref="S7:S15" si="0">F7</f>
        <v>0</v>
      </c>
      <c r="T7" s="710" t="s">
        <v>17</v>
      </c>
      <c r="U7" s="711">
        <f t="shared" ref="U7:U15" si="1">H7</f>
        <v>0</v>
      </c>
      <c r="V7" s="710" t="s">
        <v>17</v>
      </c>
      <c r="W7" s="711">
        <f t="shared" ref="W7:W15" si="2">J7</f>
        <v>0</v>
      </c>
      <c r="X7" s="712"/>
      <c r="Y7" s="3269" t="s">
        <v>2371</v>
      </c>
      <c r="Z7" s="3270"/>
      <c r="AA7" s="713" t="e">
        <f>D7/F7</f>
        <v>#DIV/0!</v>
      </c>
      <c r="AB7" s="713" t="e">
        <f>D7/H7</f>
        <v>#DIV/0!</v>
      </c>
      <c r="AC7" s="713" t="e">
        <f>D7/J7</f>
        <v>#DIV/0!</v>
      </c>
    </row>
    <row r="8" spans="1:29" s="113" customFormat="1" ht="15.75" thickBot="1">
      <c r="A8" s="368" t="s">
        <v>2372</v>
      </c>
      <c r="B8" s="369"/>
      <c r="C8" s="374" t="s">
        <v>2474</v>
      </c>
      <c r="D8" s="371">
        <v>100</v>
      </c>
      <c r="E8" s="374"/>
      <c r="F8" s="373">
        <f>SUMIF(61:61,E8,62:62)-SUMIF(61:61,C8,62:62)+100</f>
        <v>0</v>
      </c>
      <c r="G8" s="374"/>
      <c r="H8" s="371">
        <f>SUMIF(61:61,G8,62:62)-SUMIF(61:61,C8,62:62)+100</f>
        <v>0</v>
      </c>
      <c r="I8" s="374"/>
      <c r="J8" s="371">
        <f>SUMIF(61:61,I8,62:62)-SUMIF(61:61,C8,62:62)+100</f>
        <v>0</v>
      </c>
      <c r="K8" s="568"/>
      <c r="L8" s="2948"/>
      <c r="M8" s="2949"/>
      <c r="N8" s="2949"/>
      <c r="O8" s="2949"/>
      <c r="P8" s="3269" t="s">
        <v>2374</v>
      </c>
      <c r="Q8" s="3270"/>
      <c r="R8" s="710" t="s">
        <v>17</v>
      </c>
      <c r="S8" s="711">
        <f t="shared" si="0"/>
        <v>0</v>
      </c>
      <c r="T8" s="710" t="s">
        <v>17</v>
      </c>
      <c r="U8" s="711">
        <f t="shared" si="1"/>
        <v>0</v>
      </c>
      <c r="V8" s="710" t="s">
        <v>17</v>
      </c>
      <c r="W8" s="711">
        <f t="shared" si="2"/>
        <v>0</v>
      </c>
      <c r="X8" s="712"/>
      <c r="Y8" s="3269" t="s">
        <v>2374</v>
      </c>
      <c r="Z8" s="3270"/>
      <c r="AA8" s="713" t="e">
        <f t="shared" ref="AA8:AA46" si="3">D8/F8</f>
        <v>#DIV/0!</v>
      </c>
      <c r="AB8" s="713" t="e">
        <f t="shared" ref="AB8:AB46" si="4">D8/H8</f>
        <v>#DIV/0!</v>
      </c>
      <c r="AC8" s="713" t="e">
        <f t="shared" ref="AC8:AC46" si="5">D8/J8</f>
        <v>#DIV/0!</v>
      </c>
    </row>
    <row r="9" spans="1:29" s="113" customFormat="1">
      <c r="A9" s="375" t="s">
        <v>2375</v>
      </c>
      <c r="B9" s="67" t="s">
        <v>2376</v>
      </c>
      <c r="C9" s="376"/>
      <c r="D9" s="131">
        <v>100</v>
      </c>
      <c r="E9" s="377"/>
      <c r="F9" s="378">
        <f>SUMIF(63:63,E9,64:64)-SUMIF(63:63,C9,64:64)+100</f>
        <v>100</v>
      </c>
      <c r="G9" s="377"/>
      <c r="H9" s="131">
        <f>SUMIF(63:63,G9,64:64)-SUMIF(63:63,C9,64:64)+100</f>
        <v>100</v>
      </c>
      <c r="I9" s="377"/>
      <c r="J9" s="131">
        <f>SUMIF(63:63,I9,64:64)-SUMIF(63:63,C9,64:64)+100</f>
        <v>100</v>
      </c>
      <c r="K9" s="568"/>
      <c r="L9" s="2948"/>
      <c r="M9" s="2949"/>
      <c r="N9" s="2949"/>
      <c r="O9" s="2949"/>
      <c r="P9" s="3283" t="s">
        <v>2377</v>
      </c>
      <c r="Q9" s="1529" t="str">
        <f t="shared" ref="Q9:Q15" si="6">B9</f>
        <v>用途</v>
      </c>
      <c r="R9" s="710" t="s">
        <v>17</v>
      </c>
      <c r="S9" s="711">
        <f t="shared" si="0"/>
        <v>100</v>
      </c>
      <c r="T9" s="710" t="s">
        <v>17</v>
      </c>
      <c r="U9" s="711">
        <f t="shared" si="1"/>
        <v>100</v>
      </c>
      <c r="V9" s="710" t="s">
        <v>17</v>
      </c>
      <c r="W9" s="711">
        <f t="shared" si="2"/>
        <v>100</v>
      </c>
      <c r="X9" s="712"/>
      <c r="Y9" s="3211" t="s">
        <v>2378</v>
      </c>
      <c r="Z9" s="55" t="str">
        <f t="shared" ref="Z9:Z15" si="7">Q9</f>
        <v>用途</v>
      </c>
      <c r="AA9" s="713">
        <f t="shared" si="3"/>
        <v>1</v>
      </c>
      <c r="AB9" s="713">
        <f t="shared" si="4"/>
        <v>1</v>
      </c>
      <c r="AC9" s="713">
        <f t="shared" si="5"/>
        <v>1</v>
      </c>
    </row>
    <row r="10" spans="1:29" s="386" customFormat="1" ht="27">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283"/>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2"/>
      <c r="M11" s="2947"/>
      <c r="N11" s="2947"/>
      <c r="O11" s="2947"/>
      <c r="P11" s="3283"/>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283"/>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283"/>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283"/>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713">
        <f t="shared" si="5"/>
        <v>1</v>
      </c>
    </row>
    <row r="15" spans="1:29" ht="71.25">
      <c r="A15" s="399" t="s">
        <v>2381</v>
      </c>
      <c r="B15" s="65" t="s">
        <v>2475</v>
      </c>
      <c r="C15" s="2084"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310" t="s">
        <v>2382</v>
      </c>
      <c r="Q15" s="1538" t="str">
        <f t="shared" si="6"/>
        <v>商业繁华度</v>
      </c>
      <c r="R15" s="714" t="s">
        <v>17</v>
      </c>
      <c r="S15" s="715">
        <f t="shared" si="0"/>
        <v>100</v>
      </c>
      <c r="T15" s="714" t="s">
        <v>17</v>
      </c>
      <c r="U15" s="715">
        <f t="shared" si="1"/>
        <v>100</v>
      </c>
      <c r="V15" s="714" t="s">
        <v>17</v>
      </c>
      <c r="W15" s="715">
        <f t="shared" si="2"/>
        <v>100</v>
      </c>
      <c r="X15" s="1541"/>
      <c r="Y15" s="3303" t="s">
        <v>2382</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3"/>
      <c r="M16" s="2947"/>
      <c r="N16" s="2947"/>
      <c r="O16" s="2947"/>
      <c r="P16" s="3311"/>
      <c r="Q16" s="1538"/>
      <c r="R16" s="714"/>
      <c r="S16" s="715"/>
      <c r="T16" s="714"/>
      <c r="U16" s="715"/>
      <c r="V16" s="714"/>
      <c r="W16" s="715"/>
      <c r="X16" s="1541"/>
      <c r="Y16" s="3304"/>
      <c r="Z16" s="1542"/>
      <c r="AA16" s="1539">
        <v>1</v>
      </c>
      <c r="AB16" s="1539">
        <v>1</v>
      </c>
      <c r="AC16" s="1539">
        <v>1</v>
      </c>
    </row>
    <row r="17" spans="1:29" ht="85.5">
      <c r="A17" s="387"/>
      <c r="B17" s="410" t="s">
        <v>1946</v>
      </c>
      <c r="C17" s="2088"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311"/>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2953"/>
      <c r="M18" s="2947"/>
      <c r="N18" s="2947"/>
      <c r="O18" s="2947"/>
      <c r="P18" s="3311"/>
      <c r="Q18" s="1538"/>
      <c r="R18" s="714"/>
      <c r="S18" s="715"/>
      <c r="T18" s="714"/>
      <c r="U18" s="715"/>
      <c r="V18" s="714"/>
      <c r="W18" s="715"/>
      <c r="X18" s="1541"/>
      <c r="Y18" s="3304"/>
      <c r="Z18" s="1542"/>
      <c r="AA18" s="1539">
        <v>1</v>
      </c>
      <c r="AB18" s="1539">
        <v>1</v>
      </c>
      <c r="AC18" s="1539">
        <v>1</v>
      </c>
    </row>
    <row r="19" spans="1:29" ht="42.75">
      <c r="A19" s="387"/>
      <c r="B19" s="410" t="s">
        <v>2476</v>
      </c>
      <c r="C19" s="2088"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311"/>
      <c r="Q19" s="1538" t="str">
        <f>B19</f>
        <v>公共配套设施</v>
      </c>
      <c r="R19" s="714" t="s">
        <v>17</v>
      </c>
      <c r="S19" s="715">
        <f>F19</f>
        <v>100</v>
      </c>
      <c r="T19" s="714" t="s">
        <v>17</v>
      </c>
      <c r="U19" s="715">
        <f>H19</f>
        <v>100</v>
      </c>
      <c r="V19" s="714" t="s">
        <v>17</v>
      </c>
      <c r="W19" s="715">
        <f>J19</f>
        <v>100</v>
      </c>
      <c r="X19" s="1541"/>
      <c r="Y19" s="3304"/>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2953"/>
      <c r="M20" s="2947"/>
      <c r="N20" s="2947"/>
      <c r="O20" s="2947"/>
      <c r="P20" s="3311"/>
      <c r="Q20" s="1538"/>
      <c r="R20" s="714"/>
      <c r="S20" s="715"/>
      <c r="T20" s="714"/>
      <c r="U20" s="715"/>
      <c r="V20" s="714"/>
      <c r="W20" s="715"/>
      <c r="X20" s="1541"/>
      <c r="Y20" s="3304"/>
      <c r="Z20" s="1542"/>
      <c r="AA20" s="1539">
        <v>1</v>
      </c>
      <c r="AB20" s="1539">
        <v>1</v>
      </c>
      <c r="AC20" s="1539">
        <v>1</v>
      </c>
    </row>
    <row r="21" spans="1:29" ht="28.5">
      <c r="A21" s="387"/>
      <c r="B21" s="1293" t="s">
        <v>2477</v>
      </c>
      <c r="C21" s="2088"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311"/>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2953"/>
      <c r="M22" s="2947"/>
      <c r="N22" s="2947"/>
      <c r="O22" s="2947"/>
      <c r="P22" s="3311"/>
      <c r="Q22" s="1538"/>
      <c r="R22" s="714"/>
      <c r="S22" s="715"/>
      <c r="T22" s="714"/>
      <c r="U22" s="715"/>
      <c r="V22" s="714"/>
      <c r="W22" s="715"/>
      <c r="X22" s="1541"/>
      <c r="Y22" s="3304"/>
      <c r="Z22" s="1542"/>
      <c r="AA22" s="1539">
        <v>1</v>
      </c>
      <c r="AB22" s="1539">
        <v>1</v>
      </c>
      <c r="AC22" s="1539">
        <v>1</v>
      </c>
    </row>
    <row r="23" spans="1:29" ht="57">
      <c r="A23" s="387"/>
      <c r="B23" s="410" t="s">
        <v>1948</v>
      </c>
      <c r="C23" s="2143"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311"/>
      <c r="Q23" s="1538" t="str">
        <f>B23</f>
        <v>自然及人文环境</v>
      </c>
      <c r="R23" s="714" t="s">
        <v>17</v>
      </c>
      <c r="S23" s="715">
        <f>F23</f>
        <v>100</v>
      </c>
      <c r="T23" s="714" t="s">
        <v>17</v>
      </c>
      <c r="U23" s="715">
        <f>H23</f>
        <v>100</v>
      </c>
      <c r="V23" s="714" t="s">
        <v>17</v>
      </c>
      <c r="W23" s="715">
        <f>J23</f>
        <v>100</v>
      </c>
      <c r="X23" s="1541"/>
      <c r="Y23" s="3304"/>
      <c r="Z23" s="1542" t="str">
        <f>Q23</f>
        <v>自然及人文环境</v>
      </c>
      <c r="AA23" s="1539">
        <f t="shared" si="3"/>
        <v>1</v>
      </c>
      <c r="AB23" s="1539">
        <f t="shared" si="4"/>
        <v>1</v>
      </c>
      <c r="AC23" s="1539">
        <f t="shared" si="5"/>
        <v>1</v>
      </c>
    </row>
    <row r="24" spans="1:29" ht="15">
      <c r="A24" s="387"/>
      <c r="B24" s="415"/>
      <c r="C24" s="406"/>
      <c r="D24" s="407"/>
      <c r="E24" s="2086"/>
      <c r="F24" s="408"/>
      <c r="G24" s="2085"/>
      <c r="H24" s="407"/>
      <c r="I24" s="2086"/>
      <c r="J24" s="407"/>
      <c r="K24" s="572"/>
      <c r="L24" s="2953"/>
      <c r="M24" s="2947"/>
      <c r="N24" s="2947"/>
      <c r="O24" s="2947"/>
      <c r="P24" s="3311"/>
      <c r="Q24" s="1538"/>
      <c r="R24" s="714"/>
      <c r="S24" s="715"/>
      <c r="T24" s="714"/>
      <c r="U24" s="715"/>
      <c r="V24" s="714"/>
      <c r="W24" s="715"/>
      <c r="X24" s="1541"/>
      <c r="Y24" s="3304"/>
      <c r="Z24" s="1542"/>
      <c r="AA24" s="1539">
        <v>1</v>
      </c>
      <c r="AB24" s="1539">
        <v>1</v>
      </c>
      <c r="AC24" s="1539">
        <v>1</v>
      </c>
    </row>
    <row r="25" spans="1:29" ht="15">
      <c r="A25" s="387"/>
      <c r="B25" s="381" t="s">
        <v>2478</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311"/>
      <c r="Q25" s="1538" t="str">
        <f t="shared" ref="Q25:Q46" si="11">B25</f>
        <v>临街状况</v>
      </c>
      <c r="R25" s="714" t="s">
        <v>17</v>
      </c>
      <c r="S25" s="715">
        <f>F25</f>
        <v>100</v>
      </c>
      <c r="T25" s="714" t="s">
        <v>17</v>
      </c>
      <c r="U25" s="715">
        <f>H25</f>
        <v>100</v>
      </c>
      <c r="V25" s="714" t="s">
        <v>17</v>
      </c>
      <c r="W25" s="715">
        <f>J25</f>
        <v>100</v>
      </c>
      <c r="X25" s="1541"/>
      <c r="Y25" s="3304"/>
      <c r="Z25" s="1542" t="str">
        <f>Q25</f>
        <v>临街状况</v>
      </c>
      <c r="AA25" s="1539">
        <f t="shared" si="3"/>
        <v>1</v>
      </c>
      <c r="AB25" s="1539">
        <f t="shared" si="4"/>
        <v>1</v>
      </c>
      <c r="AC25" s="1539">
        <f t="shared" si="5"/>
        <v>1</v>
      </c>
    </row>
    <row r="26" spans="1:29" ht="15">
      <c r="A26" s="387"/>
      <c r="B26" s="1295" t="s">
        <v>2479</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311"/>
      <c r="Q26" s="1538" t="str">
        <f t="shared" si="11"/>
        <v>平面位置/可视性</v>
      </c>
      <c r="R26" s="714" t="s">
        <v>17</v>
      </c>
      <c r="S26" s="715">
        <f>F26</f>
        <v>100</v>
      </c>
      <c r="T26" s="714" t="s">
        <v>17</v>
      </c>
      <c r="U26" s="715">
        <f>H26</f>
        <v>100</v>
      </c>
      <c r="V26" s="714" t="s">
        <v>17</v>
      </c>
      <c r="W26" s="715">
        <f>J26</f>
        <v>100</v>
      </c>
      <c r="X26" s="1541"/>
      <c r="Y26" s="3304"/>
      <c r="Z26" s="1542" t="str">
        <f>Q26</f>
        <v>平面位置/可视性</v>
      </c>
      <c r="AA26" s="1539">
        <f t="shared" si="3"/>
        <v>1</v>
      </c>
      <c r="AB26" s="1539">
        <f t="shared" si="4"/>
        <v>1</v>
      </c>
      <c r="AC26" s="1539">
        <f t="shared" si="5"/>
        <v>1</v>
      </c>
    </row>
    <row r="27" spans="1:29" s="113" customFormat="1" ht="15">
      <c r="A27" s="390"/>
      <c r="B27" s="410" t="s">
        <v>2480</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311"/>
      <c r="Q27" s="1529" t="str">
        <f t="shared" si="11"/>
        <v>人流量</v>
      </c>
      <c r="R27" s="710" t="s">
        <v>17</v>
      </c>
      <c r="S27" s="711">
        <f>F27</f>
        <v>100</v>
      </c>
      <c r="T27" s="710" t="s">
        <v>17</v>
      </c>
      <c r="U27" s="711">
        <f>H27</f>
        <v>100</v>
      </c>
      <c r="V27" s="710" t="s">
        <v>17</v>
      </c>
      <c r="W27" s="711">
        <f>J27</f>
        <v>100</v>
      </c>
      <c r="X27" s="712"/>
      <c r="Y27" s="3304"/>
      <c r="Z27" s="55" t="str">
        <f>Q27</f>
        <v>人流量</v>
      </c>
      <c r="AA27" s="1539">
        <f>D27/F27</f>
        <v>1</v>
      </c>
      <c r="AB27" s="1539">
        <f>D27/H27</f>
        <v>1</v>
      </c>
      <c r="AC27" s="1539">
        <f>D27/J27</f>
        <v>1</v>
      </c>
    </row>
    <row r="28" spans="1:29" ht="15">
      <c r="A28" s="387"/>
      <c r="B28" s="381" t="s">
        <v>2481</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311"/>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04"/>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311"/>
      <c r="Q29" s="1538">
        <f t="shared" si="11"/>
        <v>111</v>
      </c>
      <c r="R29" s="714" t="s">
        <v>17</v>
      </c>
      <c r="S29" s="715">
        <f t="shared" si="12"/>
        <v>100</v>
      </c>
      <c r="T29" s="714" t="s">
        <v>17</v>
      </c>
      <c r="U29" s="715">
        <f t="shared" si="13"/>
        <v>100</v>
      </c>
      <c r="V29" s="714" t="s">
        <v>17</v>
      </c>
      <c r="W29" s="715">
        <f t="shared" si="14"/>
        <v>100</v>
      </c>
      <c r="X29" s="1541"/>
      <c r="Y29" s="3304"/>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311"/>
      <c r="Q30" s="1538">
        <f t="shared" si="11"/>
        <v>111</v>
      </c>
      <c r="R30" s="714" t="s">
        <v>17</v>
      </c>
      <c r="S30" s="715">
        <f t="shared" si="12"/>
        <v>100</v>
      </c>
      <c r="T30" s="714" t="s">
        <v>17</v>
      </c>
      <c r="U30" s="715">
        <f t="shared" si="13"/>
        <v>100</v>
      </c>
      <c r="V30" s="714" t="s">
        <v>17</v>
      </c>
      <c r="W30" s="715">
        <f t="shared" si="14"/>
        <v>100</v>
      </c>
      <c r="X30" s="1541"/>
      <c r="Y30" s="3304"/>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311"/>
      <c r="Q31" s="1538">
        <f t="shared" si="11"/>
        <v>111</v>
      </c>
      <c r="R31" s="714" t="s">
        <v>17</v>
      </c>
      <c r="S31" s="715">
        <f t="shared" si="12"/>
        <v>100</v>
      </c>
      <c r="T31" s="714" t="s">
        <v>17</v>
      </c>
      <c r="U31" s="715">
        <f t="shared" si="13"/>
        <v>100</v>
      </c>
      <c r="V31" s="714" t="s">
        <v>17</v>
      </c>
      <c r="W31" s="715">
        <f t="shared" si="14"/>
        <v>100</v>
      </c>
      <c r="X31" s="1541"/>
      <c r="Y31" s="3304"/>
      <c r="Z31" s="1542">
        <f t="shared" si="15"/>
        <v>111</v>
      </c>
      <c r="AA31" s="1539">
        <f t="shared" si="3"/>
        <v>1</v>
      </c>
      <c r="AB31" s="1539">
        <f t="shared" si="4"/>
        <v>1</v>
      </c>
      <c r="AC31" s="1539">
        <f t="shared" si="5"/>
        <v>1</v>
      </c>
    </row>
    <row r="32" spans="1:29" ht="15">
      <c r="A32" s="399" t="s">
        <v>2385</v>
      </c>
      <c r="B32" s="67" t="s">
        <v>2482</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305" t="s">
        <v>2387</v>
      </c>
      <c r="Q32" s="1538" t="str">
        <f t="shared" si="11"/>
        <v>商业类型</v>
      </c>
      <c r="R32" s="714" t="s">
        <v>17</v>
      </c>
      <c r="S32" s="715">
        <f t="shared" si="12"/>
        <v>100</v>
      </c>
      <c r="T32" s="714" t="s">
        <v>17</v>
      </c>
      <c r="U32" s="715">
        <f t="shared" si="13"/>
        <v>100</v>
      </c>
      <c r="V32" s="714" t="s">
        <v>17</v>
      </c>
      <c r="W32" s="715">
        <f t="shared" si="14"/>
        <v>100</v>
      </c>
      <c r="X32" s="1541"/>
      <c r="Y32" s="3308" t="s">
        <v>2387</v>
      </c>
      <c r="Z32" s="1542" t="str">
        <f t="shared" si="15"/>
        <v>商业类型</v>
      </c>
      <c r="AA32" s="1539">
        <f t="shared" si="3"/>
        <v>1</v>
      </c>
      <c r="AB32" s="1539">
        <f t="shared" si="4"/>
        <v>1</v>
      </c>
      <c r="AC32" s="1539">
        <f t="shared" si="5"/>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2"/>
      <c r="M33" s="2954"/>
      <c r="N33" s="2954"/>
      <c r="O33" s="2954"/>
      <c r="P33" s="3306"/>
      <c r="Q33" s="716" t="str">
        <f t="shared" si="11"/>
        <v>项目建筑规模</v>
      </c>
      <c r="R33" s="717" t="s">
        <v>17</v>
      </c>
      <c r="S33" s="718" t="e">
        <f t="shared" si="12"/>
        <v>#N/A</v>
      </c>
      <c r="T33" s="717" t="s">
        <v>17</v>
      </c>
      <c r="U33" s="718" t="e">
        <f t="shared" si="13"/>
        <v>#N/A</v>
      </c>
      <c r="V33" s="717" t="s">
        <v>17</v>
      </c>
      <c r="W33" s="718" t="e">
        <f t="shared" si="14"/>
        <v>#N/A</v>
      </c>
      <c r="X33" s="719"/>
      <c r="Y33" s="3308"/>
      <c r="Z33" s="720" t="str">
        <f t="shared" si="15"/>
        <v>项目建筑规模</v>
      </c>
      <c r="AA33" s="1539" t="e">
        <f t="shared" si="3"/>
        <v>#N/A</v>
      </c>
      <c r="AB33" s="1539" t="e">
        <f t="shared" si="4"/>
        <v>#N/A</v>
      </c>
      <c r="AC33" s="1539" t="e">
        <f t="shared" si="5"/>
        <v>#N/A</v>
      </c>
    </row>
    <row r="34" spans="1:29" ht="15">
      <c r="A34" s="431"/>
      <c r="B34" s="381" t="s">
        <v>2389</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306"/>
      <c r="Q34" s="1538" t="str">
        <f t="shared" si="11"/>
        <v>建筑结构</v>
      </c>
      <c r="R34" s="714" t="s">
        <v>17</v>
      </c>
      <c r="S34" s="715">
        <f t="shared" si="12"/>
        <v>100</v>
      </c>
      <c r="T34" s="714" t="s">
        <v>17</v>
      </c>
      <c r="U34" s="715">
        <f t="shared" si="13"/>
        <v>100</v>
      </c>
      <c r="V34" s="714" t="s">
        <v>17</v>
      </c>
      <c r="W34" s="715">
        <f t="shared" si="14"/>
        <v>100</v>
      </c>
      <c r="X34" s="1541"/>
      <c r="Y34" s="3308"/>
      <c r="Z34" s="1542" t="str">
        <f t="shared" si="15"/>
        <v>建筑结构</v>
      </c>
      <c r="AA34" s="1539">
        <f t="shared" si="3"/>
        <v>1</v>
      </c>
      <c r="AB34" s="1539">
        <f t="shared" si="4"/>
        <v>1</v>
      </c>
      <c r="AC34" s="1539">
        <f t="shared" si="5"/>
        <v>1</v>
      </c>
    </row>
    <row r="35" spans="1:29" ht="15">
      <c r="A35" s="431"/>
      <c r="B35" s="381" t="s">
        <v>2483</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306"/>
      <c r="Q35" s="1538" t="str">
        <f t="shared" si="11"/>
        <v>公共部分装修</v>
      </c>
      <c r="R35" s="714" t="s">
        <v>17</v>
      </c>
      <c r="S35" s="715">
        <f t="shared" si="12"/>
        <v>100</v>
      </c>
      <c r="T35" s="714" t="s">
        <v>17</v>
      </c>
      <c r="U35" s="715">
        <f t="shared" si="13"/>
        <v>100</v>
      </c>
      <c r="V35" s="714" t="s">
        <v>17</v>
      </c>
      <c r="W35" s="715">
        <f t="shared" si="14"/>
        <v>100</v>
      </c>
      <c r="X35" s="1541"/>
      <c r="Y35" s="3308"/>
      <c r="Z35" s="1542" t="str">
        <f t="shared" si="15"/>
        <v>公共部分装修</v>
      </c>
      <c r="AA35" s="1539">
        <f t="shared" si="3"/>
        <v>1</v>
      </c>
      <c r="AB35" s="1539">
        <f t="shared" si="4"/>
        <v>1</v>
      </c>
      <c r="AC35" s="1539">
        <f t="shared" si="5"/>
        <v>1</v>
      </c>
    </row>
    <row r="36" spans="1:29" ht="15">
      <c r="A36" s="431"/>
      <c r="B36" s="381" t="s">
        <v>2484</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3"/>
      <c r="M36" s="2947"/>
      <c r="N36" s="2947"/>
      <c r="O36" s="2947"/>
      <c r="P36" s="3306"/>
      <c r="Q36" s="1538" t="str">
        <f t="shared" si="11"/>
        <v>成新度</v>
      </c>
      <c r="R36" s="714" t="s">
        <v>17</v>
      </c>
      <c r="S36" s="715" t="e">
        <f t="shared" si="12"/>
        <v>#N/A</v>
      </c>
      <c r="T36" s="714" t="s">
        <v>17</v>
      </c>
      <c r="U36" s="715" t="e">
        <f t="shared" si="13"/>
        <v>#N/A</v>
      </c>
      <c r="V36" s="714" t="s">
        <v>17</v>
      </c>
      <c r="W36" s="715" t="e">
        <f t="shared" si="14"/>
        <v>#N/A</v>
      </c>
      <c r="X36" s="1541"/>
      <c r="Y36" s="3308"/>
      <c r="Z36" s="1542" t="str">
        <f t="shared" si="15"/>
        <v>成新度</v>
      </c>
      <c r="AA36" s="1539" t="e">
        <f t="shared" si="3"/>
        <v>#N/A</v>
      </c>
      <c r="AB36" s="1539" t="e">
        <f t="shared" si="4"/>
        <v>#N/A</v>
      </c>
      <c r="AC36" s="1539" t="e">
        <f t="shared" si="5"/>
        <v>#N/A</v>
      </c>
    </row>
    <row r="37" spans="1:29" s="113" customFormat="1" ht="15">
      <c r="A37" s="432"/>
      <c r="B37" s="381" t="s">
        <v>2485</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306"/>
      <c r="Q37" s="1529" t="str">
        <f t="shared" si="11"/>
        <v>市政基础设施</v>
      </c>
      <c r="R37" s="710" t="s">
        <v>17</v>
      </c>
      <c r="S37" s="711">
        <f t="shared" si="12"/>
        <v>100</v>
      </c>
      <c r="T37" s="710" t="s">
        <v>17</v>
      </c>
      <c r="U37" s="711">
        <f t="shared" si="13"/>
        <v>100</v>
      </c>
      <c r="V37" s="710" t="s">
        <v>17</v>
      </c>
      <c r="W37" s="711">
        <f t="shared" si="14"/>
        <v>100</v>
      </c>
      <c r="X37" s="712"/>
      <c r="Y37" s="3308"/>
      <c r="Z37" s="55" t="str">
        <f t="shared" si="15"/>
        <v>市政基础设施</v>
      </c>
      <c r="AA37" s="713">
        <f t="shared" si="3"/>
        <v>1</v>
      </c>
      <c r="AB37" s="713">
        <f t="shared" si="4"/>
        <v>1</v>
      </c>
      <c r="AC37" s="713">
        <f t="shared" si="5"/>
        <v>1</v>
      </c>
    </row>
    <row r="38" spans="1:29" ht="15">
      <c r="A38" s="431"/>
      <c r="B38" s="381" t="s">
        <v>2486</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306" t="s">
        <v>2387</v>
      </c>
      <c r="Q38" s="1538" t="str">
        <f t="shared" si="11"/>
        <v>业态</v>
      </c>
      <c r="R38" s="714" t="s">
        <v>17</v>
      </c>
      <c r="S38" s="715">
        <f t="shared" si="12"/>
        <v>100</v>
      </c>
      <c r="T38" s="714" t="s">
        <v>17</v>
      </c>
      <c r="U38" s="715">
        <f t="shared" si="13"/>
        <v>100</v>
      </c>
      <c r="V38" s="714" t="s">
        <v>17</v>
      </c>
      <c r="W38" s="715">
        <f t="shared" si="14"/>
        <v>100</v>
      </c>
      <c r="X38" s="1541"/>
      <c r="Y38" s="3308" t="s">
        <v>2387</v>
      </c>
      <c r="Z38" s="1542" t="str">
        <f t="shared" si="15"/>
        <v>业态</v>
      </c>
      <c r="AA38" s="1539">
        <f t="shared" si="3"/>
        <v>1</v>
      </c>
      <c r="AB38" s="1539">
        <f t="shared" si="4"/>
        <v>1</v>
      </c>
      <c r="AC38" s="1539">
        <f t="shared" si="5"/>
        <v>1</v>
      </c>
    </row>
    <row r="39" spans="1:29" ht="15">
      <c r="A39" s="431"/>
      <c r="B39" s="381" t="s">
        <v>2487</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306"/>
      <c r="Q39" s="1538" t="str">
        <f t="shared" si="11"/>
        <v>层高</v>
      </c>
      <c r="R39" s="714" t="s">
        <v>17</v>
      </c>
      <c r="S39" s="715">
        <f t="shared" si="12"/>
        <v>100</v>
      </c>
      <c r="T39" s="714" t="s">
        <v>17</v>
      </c>
      <c r="U39" s="715">
        <f t="shared" si="13"/>
        <v>100</v>
      </c>
      <c r="V39" s="714" t="s">
        <v>17</v>
      </c>
      <c r="W39" s="715">
        <f t="shared" si="14"/>
        <v>100</v>
      </c>
      <c r="X39" s="1541"/>
      <c r="Y39" s="3308"/>
      <c r="Z39" s="1542" t="str">
        <f t="shared" si="15"/>
        <v>层高</v>
      </c>
      <c r="AA39" s="1539">
        <f t="shared" si="3"/>
        <v>1</v>
      </c>
      <c r="AB39" s="1539">
        <f t="shared" si="4"/>
        <v>1</v>
      </c>
      <c r="AC39" s="1539">
        <f t="shared" si="5"/>
        <v>1</v>
      </c>
    </row>
    <row r="40" spans="1:29" ht="15">
      <c r="A40" s="431"/>
      <c r="B40" s="381" t="s">
        <v>2488</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306"/>
      <c r="Q40" s="1538" t="str">
        <f t="shared" si="11"/>
        <v>单套建筑面积</v>
      </c>
      <c r="R40" s="714" t="s">
        <v>17</v>
      </c>
      <c r="S40" s="715">
        <f t="shared" si="12"/>
        <v>100</v>
      </c>
      <c r="T40" s="714" t="s">
        <v>17</v>
      </c>
      <c r="U40" s="715">
        <f t="shared" si="13"/>
        <v>100</v>
      </c>
      <c r="V40" s="714" t="s">
        <v>17</v>
      </c>
      <c r="W40" s="715">
        <f t="shared" si="14"/>
        <v>100</v>
      </c>
      <c r="X40" s="1541"/>
      <c r="Y40" s="3308"/>
      <c r="Z40" s="1542" t="str">
        <f t="shared" si="15"/>
        <v>单套建筑面积</v>
      </c>
      <c r="AA40" s="1539">
        <f t="shared" si="3"/>
        <v>1</v>
      </c>
      <c r="AB40" s="1539">
        <f t="shared" si="4"/>
        <v>1</v>
      </c>
      <c r="AC40" s="1539">
        <f t="shared" si="5"/>
        <v>1</v>
      </c>
    </row>
    <row r="41" spans="1:29" s="430" customFormat="1" ht="15">
      <c r="A41" s="427"/>
      <c r="B41" s="1540" t="s">
        <v>2489</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306"/>
      <c r="Q41" s="716" t="str">
        <f t="shared" si="11"/>
        <v>进深比</v>
      </c>
      <c r="R41" s="717" t="s">
        <v>17</v>
      </c>
      <c r="S41" s="718">
        <f t="shared" si="12"/>
        <v>100</v>
      </c>
      <c r="T41" s="717" t="s">
        <v>17</v>
      </c>
      <c r="U41" s="718">
        <f t="shared" si="13"/>
        <v>100</v>
      </c>
      <c r="V41" s="717" t="s">
        <v>17</v>
      </c>
      <c r="W41" s="718">
        <f t="shared" si="14"/>
        <v>100</v>
      </c>
      <c r="X41" s="719"/>
      <c r="Y41" s="3308"/>
      <c r="Z41" s="720" t="str">
        <f t="shared" si="15"/>
        <v>进深比</v>
      </c>
      <c r="AA41" s="1539">
        <f t="shared" si="3"/>
        <v>1</v>
      </c>
      <c r="AB41" s="1539">
        <f t="shared" si="4"/>
        <v>1</v>
      </c>
      <c r="AC41" s="1539">
        <f t="shared" si="5"/>
        <v>1</v>
      </c>
    </row>
    <row r="42" spans="1:29" ht="15">
      <c r="A42" s="431"/>
      <c r="B42" s="381" t="s">
        <v>2490</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306"/>
      <c r="Q42" s="1538" t="str">
        <f t="shared" si="11"/>
        <v>内部装修</v>
      </c>
      <c r="R42" s="714" t="s">
        <v>17</v>
      </c>
      <c r="S42" s="715">
        <f t="shared" si="12"/>
        <v>100</v>
      </c>
      <c r="T42" s="714" t="s">
        <v>17</v>
      </c>
      <c r="U42" s="715">
        <f t="shared" si="13"/>
        <v>100</v>
      </c>
      <c r="V42" s="714" t="s">
        <v>17</v>
      </c>
      <c r="W42" s="715">
        <f t="shared" si="14"/>
        <v>100</v>
      </c>
      <c r="X42" s="1541"/>
      <c r="Y42" s="3308"/>
      <c r="Z42" s="1542" t="str">
        <f t="shared" si="15"/>
        <v>内部装修</v>
      </c>
      <c r="AA42" s="1539">
        <f t="shared" si="3"/>
        <v>1</v>
      </c>
      <c r="AB42" s="1539">
        <f t="shared" si="4"/>
        <v>1</v>
      </c>
      <c r="AC42" s="1539">
        <f t="shared" si="5"/>
        <v>1</v>
      </c>
    </row>
    <row r="43" spans="1:29" ht="15">
      <c r="A43" s="431"/>
      <c r="B43" s="381" t="s">
        <v>2398</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306"/>
      <c r="Q43" s="1538" t="str">
        <f t="shared" si="11"/>
        <v>内部装修维护情况</v>
      </c>
      <c r="R43" s="714" t="s">
        <v>17</v>
      </c>
      <c r="S43" s="715">
        <f t="shared" si="12"/>
        <v>100</v>
      </c>
      <c r="T43" s="714" t="s">
        <v>17</v>
      </c>
      <c r="U43" s="715">
        <f t="shared" si="13"/>
        <v>100</v>
      </c>
      <c r="V43" s="714" t="s">
        <v>17</v>
      </c>
      <c r="W43" s="715">
        <f t="shared" si="14"/>
        <v>100</v>
      </c>
      <c r="X43" s="1541"/>
      <c r="Y43" s="3308"/>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306"/>
      <c r="Q44" s="1529">
        <f t="shared" si="11"/>
        <v>111</v>
      </c>
      <c r="R44" s="710" t="s">
        <v>17</v>
      </c>
      <c r="S44" s="711">
        <f t="shared" si="12"/>
        <v>100</v>
      </c>
      <c r="T44" s="710" t="s">
        <v>17</v>
      </c>
      <c r="U44" s="711">
        <f t="shared" si="13"/>
        <v>100</v>
      </c>
      <c r="V44" s="710" t="s">
        <v>17</v>
      </c>
      <c r="W44" s="711">
        <f t="shared" si="14"/>
        <v>100</v>
      </c>
      <c r="X44" s="712"/>
      <c r="Y44" s="3308"/>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306"/>
      <c r="Q45" s="1538">
        <f t="shared" si="11"/>
        <v>111</v>
      </c>
      <c r="R45" s="714" t="s">
        <v>17</v>
      </c>
      <c r="S45" s="715">
        <f t="shared" si="12"/>
        <v>100</v>
      </c>
      <c r="T45" s="714" t="s">
        <v>17</v>
      </c>
      <c r="U45" s="715">
        <f t="shared" si="13"/>
        <v>100</v>
      </c>
      <c r="V45" s="714" t="s">
        <v>17</v>
      </c>
      <c r="W45" s="715">
        <f t="shared" si="14"/>
        <v>100</v>
      </c>
      <c r="X45" s="1541"/>
      <c r="Y45" s="3308"/>
      <c r="Z45" s="1542">
        <f t="shared" si="15"/>
        <v>111</v>
      </c>
      <c r="AA45" s="1539">
        <f t="shared" si="3"/>
        <v>1</v>
      </c>
      <c r="AB45" s="1539">
        <f t="shared" si="4"/>
        <v>1</v>
      </c>
      <c r="AC45" s="1539">
        <f t="shared" si="5"/>
        <v>1</v>
      </c>
    </row>
    <row r="46" spans="1:29" ht="15.75" thickBot="1">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307"/>
      <c r="Q46" s="1538">
        <f t="shared" si="11"/>
        <v>111</v>
      </c>
      <c r="R46" s="714" t="s">
        <v>17</v>
      </c>
      <c r="S46" s="715">
        <f t="shared" si="12"/>
        <v>100</v>
      </c>
      <c r="T46" s="714" t="s">
        <v>17</v>
      </c>
      <c r="U46" s="715">
        <f t="shared" si="13"/>
        <v>100</v>
      </c>
      <c r="V46" s="714" t="s">
        <v>17</v>
      </c>
      <c r="W46" s="715">
        <f t="shared" si="14"/>
        <v>100</v>
      </c>
      <c r="X46" s="1541"/>
      <c r="Y46" s="3309"/>
      <c r="Z46" s="1542">
        <f t="shared" si="15"/>
        <v>111</v>
      </c>
      <c r="AA46" s="1539">
        <f t="shared" si="3"/>
        <v>1</v>
      </c>
      <c r="AB46" s="1539">
        <f t="shared" si="4"/>
        <v>1</v>
      </c>
      <c r="AC46" s="1539">
        <f t="shared" si="5"/>
        <v>1</v>
      </c>
    </row>
    <row r="47" spans="1:29" ht="15">
      <c r="A47" s="438" t="s">
        <v>2399</v>
      </c>
      <c r="B47" s="439"/>
      <c r="C47" s="1316" t="s">
        <v>1</v>
      </c>
      <c r="D47" s="1317"/>
      <c r="E47" s="1318"/>
      <c r="F47" s="1319"/>
      <c r="G47" s="1320"/>
      <c r="H47" s="1321"/>
      <c r="I47" s="1318"/>
      <c r="J47" s="1321"/>
      <c r="K47" s="723"/>
      <c r="L47" s="2955"/>
      <c r="M47" s="2956"/>
      <c r="N47" s="2947"/>
      <c r="O47" s="2956"/>
      <c r="P47" s="3301" t="str">
        <f>A47</f>
        <v>成交单价（元/平方米）</v>
      </c>
      <c r="Q47" s="3301"/>
      <c r="R47" s="3296">
        <f>E47</f>
        <v>0</v>
      </c>
      <c r="S47" s="3296"/>
      <c r="T47" s="3296">
        <f>G47</f>
        <v>0</v>
      </c>
      <c r="U47" s="3296"/>
      <c r="V47" s="3296">
        <f>I47</f>
        <v>0</v>
      </c>
      <c r="W47" s="3296"/>
      <c r="X47" s="699"/>
      <c r="Y47" s="721"/>
      <c r="Z47" s="699"/>
      <c r="AA47" s="699"/>
      <c r="AB47" s="699"/>
      <c r="AC47" s="699"/>
    </row>
    <row r="48" spans="1:29" ht="15.75" thickBot="1">
      <c r="A48" s="445" t="s">
        <v>2491</v>
      </c>
      <c r="B48" s="446"/>
      <c r="C48" s="1322" t="e">
        <f>R49</f>
        <v>#DIV/0!</v>
      </c>
      <c r="D48" s="2540" t="s">
        <v>2882</v>
      </c>
      <c r="E48" s="1323" t="e">
        <f>R48</f>
        <v>#DIV/0!</v>
      </c>
      <c r="F48" s="2541"/>
      <c r="G48" s="1322" t="e">
        <f>T48</f>
        <v>#DIV/0!</v>
      </c>
      <c r="H48" s="2541"/>
      <c r="I48" s="1323" t="e">
        <f>V48</f>
        <v>#DIV/0!</v>
      </c>
      <c r="J48" s="2541"/>
      <c r="K48" s="2543">
        <f>F48+H48+J48</f>
        <v>0</v>
      </c>
      <c r="L48" s="2955"/>
      <c r="M48" s="2956"/>
      <c r="N48" s="2947"/>
      <c r="O48" s="2956"/>
      <c r="P48" s="3301" t="str">
        <f>A48</f>
        <v>比较价值（元/平方米）</v>
      </c>
      <c r="Q48" s="3301"/>
      <c r="R48" s="3302" t="e">
        <f>IF(F1="售价",ROUND(PRODUCT(R47,AA7:AA46),0),ROUND(PRODUCT(R47,AA7:AA46),1))</f>
        <v>#DIV/0!</v>
      </c>
      <c r="S48" s="3302"/>
      <c r="T48" s="3302" t="e">
        <f>IF(F1="售价",ROUND(PRODUCT(T47,AB7:AB46),0),ROUND(PRODUCT(T47,AB7:AB46),1))</f>
        <v>#DIV/0!</v>
      </c>
      <c r="U48" s="3302"/>
      <c r="V48" s="3302" t="e">
        <f>IF(F1="售价",ROUND(PRODUCT(V47,AC7:AC46),0),ROUND(PRODUCT(V47,AC7:AC46),1))</f>
        <v>#DIV/0!</v>
      </c>
      <c r="W48" s="3302"/>
      <c r="X48" s="699"/>
      <c r="Y48" s="699"/>
      <c r="Z48" s="699"/>
      <c r="AA48" s="699"/>
      <c r="AB48" s="699"/>
      <c r="AC48" s="699"/>
    </row>
    <row r="49" spans="1:29" ht="15.75" thickBot="1">
      <c r="A49" s="449" t="s">
        <v>2492</v>
      </c>
      <c r="B49" s="450"/>
      <c r="C49" s="1325" t="e">
        <f>R49</f>
        <v>#DIV/0!</v>
      </c>
      <c r="D49" s="1325"/>
      <c r="E49" s="1325"/>
      <c r="F49" s="1325"/>
      <c r="G49" s="1325"/>
      <c r="H49" s="1325"/>
      <c r="I49" s="1325"/>
      <c r="J49" s="1325"/>
      <c r="K49" s="724"/>
      <c r="L49" s="2955"/>
      <c r="M49" s="2956"/>
      <c r="N49" s="2947"/>
      <c r="O49" s="2956"/>
      <c r="P49" s="3298" t="str">
        <f>A49</f>
        <v>估价对象XX用房的比较价值（楼面单价，元/平方米）</v>
      </c>
      <c r="Q49" s="3299"/>
      <c r="R49" s="3300" t="e">
        <f>IF(F1="售价",ROUND(IF(D48="简单平均",AVERAGE(R48:V48),R48*F48+T48*H48+V48*J48),0),ROUND(IF(D48="简单平均",AVERAGE(R48:V48),R48*F48+T48*H48+V48*J48),1))</f>
        <v>#DIV/0!</v>
      </c>
      <c r="S49" s="3300"/>
      <c r="T49" s="3300"/>
      <c r="U49" s="3300"/>
      <c r="V49" s="3300"/>
      <c r="W49" s="3300"/>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c r="A52" s="2956"/>
      <c r="B52" s="2956"/>
      <c r="C52" s="454" t="s">
        <v>2493</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c r="A53" s="2956"/>
      <c r="B53" s="2956"/>
      <c r="C53" s="454" t="s">
        <v>2494</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c r="A54" s="2959"/>
      <c r="B54" s="2959"/>
      <c r="C54" s="454" t="s">
        <v>2495</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1.75" thickBot="1">
      <c r="A57" s="703" t="s">
        <v>2496</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ht="15">
      <c r="A58" s="462" t="s">
        <v>2370</v>
      </c>
      <c r="B58" s="463"/>
      <c r="C58" s="1346" t="str">
        <f>YEAR(C7)&amp;"-"&amp;MONTH(C7)</f>
        <v>2020-9</v>
      </c>
      <c r="D58" s="1347">
        <f>EDATE(C58,-1)</f>
        <v>44044</v>
      </c>
      <c r="E58" s="1347">
        <f t="shared" ref="E58:N58" si="16">EDATE(D58,-1)</f>
        <v>44013</v>
      </c>
      <c r="F58" s="1347">
        <f t="shared" si="16"/>
        <v>43983</v>
      </c>
      <c r="G58" s="1347">
        <f t="shared" si="16"/>
        <v>43952</v>
      </c>
      <c r="H58" s="1347">
        <f t="shared" si="16"/>
        <v>43922</v>
      </c>
      <c r="I58" s="1347">
        <f t="shared" si="16"/>
        <v>43891</v>
      </c>
      <c r="J58" s="1347">
        <f t="shared" si="16"/>
        <v>43862</v>
      </c>
      <c r="K58" s="1347">
        <f t="shared" si="16"/>
        <v>43831</v>
      </c>
      <c r="L58" s="1347">
        <f t="shared" si="16"/>
        <v>43800</v>
      </c>
      <c r="M58" s="1347">
        <f t="shared" si="16"/>
        <v>43770</v>
      </c>
      <c r="N58" s="1347">
        <f t="shared" si="16"/>
        <v>43739</v>
      </c>
      <c r="O58" s="1347">
        <f>EDATE(N58,-1)</f>
        <v>43709</v>
      </c>
      <c r="P58" s="2971"/>
      <c r="Q58" s="2972"/>
      <c r="R58" s="2972"/>
      <c r="S58" s="2972"/>
      <c r="T58" s="2972"/>
      <c r="U58" s="2972"/>
      <c r="V58" s="2972"/>
      <c r="W58" s="2972"/>
      <c r="X58" s="2972"/>
      <c r="Y58" s="2972"/>
      <c r="Z58" s="2972"/>
      <c r="AA58" s="2972"/>
      <c r="AB58" s="2972"/>
      <c r="AC58" s="2972"/>
    </row>
    <row r="59" spans="1:29" s="113" customFormat="1" ht="15">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75" thickBot="1">
      <c r="A60" s="472" t="s">
        <v>2407</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ht="15">
      <c r="A61" s="478" t="s">
        <v>2372</v>
      </c>
      <c r="B61" s="467"/>
      <c r="C61" s="479" t="s">
        <v>2474</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5.75" thickBot="1">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c r="A63" s="484" t="s">
        <v>2410</v>
      </c>
      <c r="B63" s="485" t="s">
        <v>2376</v>
      </c>
      <c r="C63" s="486">
        <f>C9</f>
        <v>0</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5.75" thickBot="1">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7.75" thickTop="1">
      <c r="A65" s="491"/>
      <c r="B65" s="495" t="s">
        <v>2379</v>
      </c>
      <c r="C65" s="496" t="s">
        <v>2411</v>
      </c>
      <c r="D65" s="496" t="s">
        <v>2412</v>
      </c>
      <c r="E65" s="496" t="s">
        <v>2413</v>
      </c>
      <c r="F65" s="496" t="s">
        <v>2414</v>
      </c>
      <c r="G65" s="496" t="s">
        <v>2415</v>
      </c>
      <c r="H65" s="496" t="s">
        <v>2416</v>
      </c>
      <c r="I65" s="496" t="s">
        <v>2417</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75" thickTop="1">
      <c r="A67" s="491"/>
      <c r="B67" s="503" t="s">
        <v>2380</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ht="15">
      <c r="A68" s="491"/>
      <c r="B68" s="505"/>
      <c r="C68" s="506"/>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5.75" thickTop="1">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5.75" thickBot="1">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5.75" thickTop="1">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5.75" thickBot="1">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5.75" thickTop="1">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5.75" thickBot="1">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c r="A76" s="484" t="s">
        <v>2381</v>
      </c>
      <c r="B76" s="485" t="s">
        <v>2418</v>
      </c>
      <c r="C76" s="530" t="s">
        <v>2419</v>
      </c>
      <c r="D76" s="530" t="s">
        <v>2420</v>
      </c>
      <c r="E76" s="530" t="s">
        <v>2421</v>
      </c>
      <c r="F76" s="530" t="s">
        <v>2422</v>
      </c>
      <c r="G76" s="530" t="s">
        <v>2423</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75" thickTop="1">
      <c r="A78" s="491"/>
      <c r="B78" s="495" t="s">
        <v>2424</v>
      </c>
      <c r="C78" s="535" t="s">
        <v>2419</v>
      </c>
      <c r="D78" s="535" t="s">
        <v>2420</v>
      </c>
      <c r="E78" s="535" t="s">
        <v>2421</v>
      </c>
      <c r="F78" s="535" t="s">
        <v>2422</v>
      </c>
      <c r="G78" s="535" t="s">
        <v>2423</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75" thickTop="1">
      <c r="A80" s="491"/>
      <c r="B80" s="495" t="s">
        <v>2425</v>
      </c>
      <c r="C80" s="535" t="s">
        <v>2419</v>
      </c>
      <c r="D80" s="535" t="s">
        <v>2420</v>
      </c>
      <c r="E80" s="535" t="s">
        <v>2421</v>
      </c>
      <c r="F80" s="535" t="s">
        <v>2422</v>
      </c>
      <c r="G80" s="535" t="s">
        <v>2423</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75" thickTop="1">
      <c r="A82" s="491"/>
      <c r="B82" s="503" t="s">
        <v>2477</v>
      </c>
      <c r="C82" s="616" t="s">
        <v>2497</v>
      </c>
      <c r="D82" s="616" t="s">
        <v>2498</v>
      </c>
      <c r="E82" s="616" t="s">
        <v>2499</v>
      </c>
      <c r="F82" s="616" t="s">
        <v>2500</v>
      </c>
      <c r="G82" s="616" t="s">
        <v>2501</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75" thickTop="1">
      <c r="A84" s="491"/>
      <c r="B84" s="495" t="s">
        <v>2431</v>
      </c>
      <c r="C84" s="535" t="s">
        <v>2419</v>
      </c>
      <c r="D84" s="535" t="s">
        <v>2420</v>
      </c>
      <c r="E84" s="535" t="s">
        <v>2421</v>
      </c>
      <c r="F84" s="535" t="s">
        <v>2422</v>
      </c>
      <c r="G84" s="535" t="s">
        <v>2423</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75" thickTop="1">
      <c r="A86" s="536"/>
      <c r="B86" s="495" t="s">
        <v>2502</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5.75" thickTop="1">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5.75" thickBot="1">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5.75" thickTop="1">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5.75" thickTop="1">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5.75" thickBot="1">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5.75" thickTop="1">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5.75" thickBot="1">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5.75" thickTop="1">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5.75" thickBot="1">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5.75" thickTop="1">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5.75" thickBot="1">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c r="A100" s="484" t="s">
        <v>2385</v>
      </c>
      <c r="B100" s="485" t="s">
        <v>2503</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75" thickTop="1">
      <c r="A102" s="491"/>
      <c r="B102" s="495" t="s">
        <v>2435</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c r="A103" s="550"/>
      <c r="B103" s="551"/>
      <c r="C103" s="552"/>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5.75" thickBot="1">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c r="A105" s="556"/>
      <c r="B105" s="495" t="s">
        <v>2436</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c r="A107" s="556"/>
      <c r="B107" s="495" t="s">
        <v>2438</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c r="A112" s="550"/>
      <c r="B112" s="495" t="s">
        <v>2440</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c r="A114" s="556"/>
      <c r="B114" s="495" t="s">
        <v>2504</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c r="A116" s="556"/>
      <c r="B116" s="495" t="s">
        <v>2505</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c r="A118" s="556"/>
      <c r="B118" s="495" t="s">
        <v>2506</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5.75" thickBot="1">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c r="A120" s="550"/>
      <c r="B120" s="495" t="s">
        <v>2507</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c r="A122" s="556"/>
      <c r="B122" s="495" t="s">
        <v>2442</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15" thickTop="1">
      <c r="A124" s="556"/>
      <c r="B124" s="495" t="s">
        <v>2443</v>
      </c>
      <c r="C124" s="535" t="s">
        <v>2419</v>
      </c>
      <c r="D124" s="535" t="s">
        <v>2420</v>
      </c>
      <c r="E124" s="535" t="s">
        <v>2421</v>
      </c>
      <c r="F124" s="535" t="s">
        <v>2422</v>
      </c>
      <c r="G124" s="535" t="s">
        <v>2423</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5" thickTop="1">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5.75" thickBot="1">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5" thickTop="1">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5.75" thickBot="1">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5" thickTop="1">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5.75" thickBot="1">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U518" sqref="U51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145" t="s">
        <v>2508</v>
      </c>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IF(C2="——",ROUND(C50*D3/10000,0),ROUND(C50*D3/10000,0)-D2)</f>
        <v>#DIV/0!</v>
      </c>
      <c r="C2" s="2069"/>
      <c r="D2" s="1275" t="e">
        <f ca="1">SUMIF(INDIRECT("'"&amp;F2&amp;"'"&amp;"!A:A"),"承租人权益价值",INDIRECT("'"&amp;F2&amp;"'"&amp;"!c:c"))</f>
        <v>#REF!</v>
      </c>
      <c r="E2" s="2070" t="s">
        <v>2150</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2151</v>
      </c>
      <c r="B3" s="566" t="e">
        <f ca="1">IF(C2="——",C50,ROUND(B2*10000/D3,0))</f>
        <v>#DIV/0!</v>
      </c>
      <c r="C3" s="360" t="s">
        <v>2466</v>
      </c>
      <c r="D3" s="359">
        <f>IF(D1="",'数据-汇总表'!E3,SUMIF('数据-汇总表'!$C19:$C33,D1,'数据-汇总表'!$E19:$E33))</f>
        <v>8276.64</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ht="15">
      <c r="A4" s="361" t="s">
        <v>2467</v>
      </c>
      <c r="B4" s="362"/>
      <c r="C4" s="3284" t="s">
        <v>2468</v>
      </c>
      <c r="D4" s="3285"/>
      <c r="E4" s="3286" t="s">
        <v>2469</v>
      </c>
      <c r="F4" s="3287"/>
      <c r="G4" s="3284" t="s">
        <v>2470</v>
      </c>
      <c r="H4" s="3285"/>
      <c r="I4" s="3284" t="s">
        <v>2471</v>
      </c>
      <c r="J4" s="3285"/>
      <c r="K4" s="567" t="s">
        <v>2472</v>
      </c>
      <c r="L4" s="2946"/>
      <c r="M4" s="2947"/>
      <c r="N4" s="2947"/>
      <c r="O4" s="2947"/>
      <c r="P4" s="3318" t="s">
        <v>2473</v>
      </c>
      <c r="Q4" s="3319"/>
      <c r="R4" s="3313" t="s">
        <v>2469</v>
      </c>
      <c r="S4" s="3314"/>
      <c r="T4" s="3313" t="s">
        <v>2470</v>
      </c>
      <c r="U4" s="3314"/>
      <c r="V4" s="3322" t="s">
        <v>2471</v>
      </c>
      <c r="W4" s="3322"/>
      <c r="X4" s="2146"/>
      <c r="Y4" s="3313" t="s">
        <v>2473</v>
      </c>
      <c r="Z4" s="3314"/>
      <c r="AA4" s="3312" t="s">
        <v>2469</v>
      </c>
      <c r="AB4" s="3312" t="s">
        <v>2470</v>
      </c>
      <c r="AC4" s="3315" t="s">
        <v>2471</v>
      </c>
    </row>
    <row r="5" spans="1:29" ht="15">
      <c r="A5" s="364"/>
      <c r="B5" s="365"/>
      <c r="C5" s="3277" t="s">
        <v>2364</v>
      </c>
      <c r="D5" s="3278"/>
      <c r="E5" s="3275" t="s">
        <v>2365</v>
      </c>
      <c r="F5" s="3276"/>
      <c r="G5" s="3277" t="s">
        <v>2366</v>
      </c>
      <c r="H5" s="3278"/>
      <c r="I5" s="3277" t="s">
        <v>2367</v>
      </c>
      <c r="J5" s="3278"/>
      <c r="K5" s="567"/>
      <c r="L5" s="2946"/>
      <c r="M5" s="2947"/>
      <c r="N5" s="2947"/>
      <c r="O5" s="2947"/>
      <c r="P5" s="3320"/>
      <c r="Q5" s="3291"/>
      <c r="R5" s="3273"/>
      <c r="S5" s="3274"/>
      <c r="T5" s="3273"/>
      <c r="U5" s="3274"/>
      <c r="V5" s="3296"/>
      <c r="W5" s="3296"/>
      <c r="X5" s="1541"/>
      <c r="Y5" s="3273"/>
      <c r="Z5" s="3274"/>
      <c r="AA5" s="3267"/>
      <c r="AB5" s="3267"/>
      <c r="AC5" s="3316"/>
    </row>
    <row r="6" spans="1:29" ht="15.75" thickBot="1">
      <c r="A6" s="366"/>
      <c r="B6" s="367"/>
      <c r="C6" s="3279" t="s">
        <v>2368</v>
      </c>
      <c r="D6" s="3280"/>
      <c r="E6" s="3281" t="s">
        <v>2368</v>
      </c>
      <c r="F6" s="3282"/>
      <c r="G6" s="3279" t="s">
        <v>2368</v>
      </c>
      <c r="H6" s="3280"/>
      <c r="I6" s="3279" t="s">
        <v>2368</v>
      </c>
      <c r="J6" s="3280"/>
      <c r="K6" s="567" t="s">
        <v>2369</v>
      </c>
      <c r="L6" s="2946"/>
      <c r="M6" s="2947"/>
      <c r="N6" s="2947"/>
      <c r="O6" s="2947"/>
      <c r="P6" s="3321"/>
      <c r="Q6" s="3293"/>
      <c r="R6" s="3273"/>
      <c r="S6" s="3274"/>
      <c r="T6" s="3294"/>
      <c r="U6" s="3295"/>
      <c r="V6" s="3296"/>
      <c r="W6" s="3296"/>
      <c r="X6" s="1541"/>
      <c r="Y6" s="3294"/>
      <c r="Z6" s="3295"/>
      <c r="AA6" s="3268"/>
      <c r="AB6" s="3268"/>
      <c r="AC6" s="3317"/>
    </row>
    <row r="7" spans="1:29" s="113" customFormat="1" ht="15.75" thickBot="1">
      <c r="A7" s="368" t="s">
        <v>2370</v>
      </c>
      <c r="B7" s="369"/>
      <c r="C7" s="370">
        <f>'数据-取费表'!B2</f>
        <v>44076</v>
      </c>
      <c r="D7" s="371">
        <v>100</v>
      </c>
      <c r="E7" s="372"/>
      <c r="F7" s="373">
        <f>SUMIF(59:59,YEAR(E7)&amp;"-"&amp;MONTH(E7),60:60)</f>
        <v>0</v>
      </c>
      <c r="G7" s="372"/>
      <c r="H7" s="371">
        <f>SUMIF(59:59,YEAR(G7)&amp;"-"&amp;MONTH(G7),60:60)</f>
        <v>0</v>
      </c>
      <c r="I7" s="372"/>
      <c r="J7" s="371">
        <f>SUMIF(59:59,YEAR(I7)&amp;"-"&amp;MONTH(I7),60:60)</f>
        <v>0</v>
      </c>
      <c r="K7" s="568"/>
      <c r="L7" s="2948"/>
      <c r="M7" s="2949"/>
      <c r="N7" s="2949"/>
      <c r="O7" s="2949"/>
      <c r="P7" s="3323" t="s">
        <v>2371</v>
      </c>
      <c r="Q7" s="3297"/>
      <c r="R7" s="710" t="s">
        <v>17</v>
      </c>
      <c r="S7" s="711">
        <f t="shared" ref="S7:S15" si="0">F7</f>
        <v>0</v>
      </c>
      <c r="T7" s="710" t="s">
        <v>17</v>
      </c>
      <c r="U7" s="711">
        <f t="shared" ref="U7:U15" si="1">H7</f>
        <v>0</v>
      </c>
      <c r="V7" s="710" t="s">
        <v>17</v>
      </c>
      <c r="W7" s="711">
        <f t="shared" ref="W7:W15" si="2">J7</f>
        <v>0</v>
      </c>
      <c r="X7" s="712"/>
      <c r="Y7" s="3269" t="s">
        <v>2371</v>
      </c>
      <c r="Z7" s="3270"/>
      <c r="AA7" s="713" t="e">
        <f>D7/F7</f>
        <v>#DIV/0!</v>
      </c>
      <c r="AB7" s="713" t="e">
        <f>D7/H7</f>
        <v>#DIV/0!</v>
      </c>
      <c r="AC7" s="2147" t="e">
        <f>D7/J7</f>
        <v>#DIV/0!</v>
      </c>
    </row>
    <row r="8" spans="1:29" s="113" customFormat="1" ht="15.75" thickBot="1">
      <c r="A8" s="368" t="s">
        <v>2372</v>
      </c>
      <c r="B8" s="369"/>
      <c r="C8" s="374" t="s">
        <v>2474</v>
      </c>
      <c r="D8" s="371">
        <v>100</v>
      </c>
      <c r="E8" s="374"/>
      <c r="F8" s="373">
        <f>SUMIF(62:62,E8,63:63)-SUMIF(62:62,C8,63:63)+100</f>
        <v>0</v>
      </c>
      <c r="G8" s="374"/>
      <c r="H8" s="371">
        <f>SUMIF(62:62,G8,63:63)-SUMIF(62:62,C8,63:63)+100</f>
        <v>0</v>
      </c>
      <c r="I8" s="374"/>
      <c r="J8" s="371">
        <f>SUMIF(62:62,I8,63:63)-SUMIF(62:62,C8,63:63)+100</f>
        <v>0</v>
      </c>
      <c r="K8" s="568"/>
      <c r="L8" s="2948"/>
      <c r="M8" s="2949"/>
      <c r="N8" s="2949"/>
      <c r="O8" s="2949"/>
      <c r="P8" s="3323" t="s">
        <v>2374</v>
      </c>
      <c r="Q8" s="3270"/>
      <c r="R8" s="710" t="s">
        <v>17</v>
      </c>
      <c r="S8" s="711">
        <f t="shared" si="0"/>
        <v>0</v>
      </c>
      <c r="T8" s="710" t="s">
        <v>17</v>
      </c>
      <c r="U8" s="711">
        <f t="shared" si="1"/>
        <v>0</v>
      </c>
      <c r="V8" s="710" t="s">
        <v>17</v>
      </c>
      <c r="W8" s="711">
        <f t="shared" si="2"/>
        <v>0</v>
      </c>
      <c r="X8" s="712"/>
      <c r="Y8" s="3269" t="s">
        <v>2374</v>
      </c>
      <c r="Z8" s="3270"/>
      <c r="AA8" s="713" t="e">
        <f t="shared" ref="AA8:AA47" si="3">D8/F8</f>
        <v>#DIV/0!</v>
      </c>
      <c r="AB8" s="713" t="e">
        <f t="shared" ref="AB8:AB47" si="4">D8/H8</f>
        <v>#DIV/0!</v>
      </c>
      <c r="AC8" s="2147" t="e">
        <f t="shared" ref="AC8:AC47" si="5">D8/J8</f>
        <v>#DIV/0!</v>
      </c>
    </row>
    <row r="9" spans="1:29" s="113" customFormat="1">
      <c r="A9" s="375" t="s">
        <v>2375</v>
      </c>
      <c r="B9" s="67" t="s">
        <v>2376</v>
      </c>
      <c r="C9" s="376"/>
      <c r="D9" s="131">
        <v>100</v>
      </c>
      <c r="E9" s="379"/>
      <c r="F9" s="131">
        <f>SUMIF(64:64,E9,65:65)-SUMIF(64:64,C9,65:65)+100</f>
        <v>100</v>
      </c>
      <c r="G9" s="377"/>
      <c r="H9" s="131">
        <f>SUMIF(64:64,G9,65:65)-SUMIF(64:64,C9,65:65)+100</f>
        <v>100</v>
      </c>
      <c r="I9" s="377"/>
      <c r="J9" s="131">
        <f>SUMIF(64:64,I9,65:65)-SUMIF(64:64,C9,65:65)+100</f>
        <v>100</v>
      </c>
      <c r="K9" s="568"/>
      <c r="L9" s="2948"/>
      <c r="M9" s="2949"/>
      <c r="N9" s="2949"/>
      <c r="O9" s="2949"/>
      <c r="P9" s="3283" t="s">
        <v>2377</v>
      </c>
      <c r="Q9" s="1529" t="str">
        <f t="shared" ref="Q9:Q15" si="6">B9</f>
        <v>用途</v>
      </c>
      <c r="R9" s="710" t="s">
        <v>17</v>
      </c>
      <c r="S9" s="711">
        <f t="shared" si="0"/>
        <v>100</v>
      </c>
      <c r="T9" s="710" t="s">
        <v>17</v>
      </c>
      <c r="U9" s="711">
        <f t="shared" si="1"/>
        <v>100</v>
      </c>
      <c r="V9" s="710" t="s">
        <v>17</v>
      </c>
      <c r="W9" s="711">
        <f t="shared" si="2"/>
        <v>100</v>
      </c>
      <c r="X9" s="712"/>
      <c r="Y9" s="3211" t="s">
        <v>2378</v>
      </c>
      <c r="Z9" s="55" t="str">
        <f t="shared" ref="Z9:Z15" si="7">Q9</f>
        <v>用途</v>
      </c>
      <c r="AA9" s="713">
        <f t="shared" si="3"/>
        <v>1</v>
      </c>
      <c r="AB9" s="713">
        <f t="shared" si="4"/>
        <v>1</v>
      </c>
      <c r="AC9" s="2147">
        <f t="shared" si="5"/>
        <v>1</v>
      </c>
    </row>
    <row r="10" spans="1:29" s="386" customFormat="1" ht="27">
      <c r="A10" s="380"/>
      <c r="B10" s="381" t="s">
        <v>2379</v>
      </c>
      <c r="C10" s="382"/>
      <c r="D10" s="132">
        <v>100</v>
      </c>
      <c r="E10" s="382"/>
      <c r="F10" s="132">
        <f>SUMIF(66:66,E10,67:67)-SUMIF(66:66,C10,67:67)+100</f>
        <v>100</v>
      </c>
      <c r="G10" s="383"/>
      <c r="H10" s="132">
        <f>SUMIF(66:66,G10,67:67)-SUMIF(66:66,C10,67:67)+100</f>
        <v>100</v>
      </c>
      <c r="I10" s="382"/>
      <c r="J10" s="132">
        <f>SUMIF(66:66,I10,67:67)-SUMIF(66:66,C10,67:67)+100</f>
        <v>100</v>
      </c>
      <c r="K10" s="569"/>
      <c r="L10" s="2950"/>
      <c r="M10" s="2951"/>
      <c r="N10" s="2951"/>
      <c r="O10" s="2951"/>
      <c r="P10" s="3283"/>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2147">
        <f t="shared" si="5"/>
        <v>1</v>
      </c>
    </row>
    <row r="11" spans="1:29" ht="15">
      <c r="A11" s="387"/>
      <c r="B11" s="381" t="s">
        <v>2380</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2"/>
      <c r="M11" s="2947"/>
      <c r="N11" s="2947"/>
      <c r="O11" s="2947"/>
      <c r="P11" s="3283"/>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2147" t="e">
        <f t="shared" si="5"/>
        <v>#N/A</v>
      </c>
    </row>
    <row r="12" spans="1:29" s="113" customFormat="1" ht="15">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283"/>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2147">
        <f>D12/J12</f>
        <v>1</v>
      </c>
    </row>
    <row r="13" spans="1:29" ht="15">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283"/>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2147">
        <f t="shared" si="5"/>
        <v>1</v>
      </c>
    </row>
    <row r="14" spans="1:29" ht="15.75" thickBot="1">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283"/>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2147">
        <f t="shared" si="5"/>
        <v>1</v>
      </c>
    </row>
    <row r="15" spans="1:29" ht="71.25">
      <c r="A15" s="399" t="s">
        <v>2381</v>
      </c>
      <c r="B15" s="585" t="s">
        <v>2509</v>
      </c>
      <c r="C15" s="2149"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3"/>
      <c r="M15" s="2947"/>
      <c r="N15" s="2947"/>
      <c r="O15" s="2947"/>
      <c r="P15" s="3310" t="s">
        <v>2382</v>
      </c>
      <c r="Q15" s="1538" t="str">
        <f t="shared" si="6"/>
        <v>办公集聚程度</v>
      </c>
      <c r="R15" s="714" t="s">
        <v>17</v>
      </c>
      <c r="S15" s="715">
        <f t="shared" si="0"/>
        <v>100</v>
      </c>
      <c r="T15" s="714" t="s">
        <v>17</v>
      </c>
      <c r="U15" s="715">
        <f t="shared" si="1"/>
        <v>100</v>
      </c>
      <c r="V15" s="714" t="s">
        <v>17</v>
      </c>
      <c r="W15" s="715">
        <f t="shared" si="2"/>
        <v>100</v>
      </c>
      <c r="X15" s="1541"/>
      <c r="Y15" s="3303" t="s">
        <v>2382</v>
      </c>
      <c r="Z15" s="1542" t="str">
        <f t="shared" si="7"/>
        <v>办公集聚程度</v>
      </c>
      <c r="AA15" s="1539">
        <f t="shared" si="3"/>
        <v>1</v>
      </c>
      <c r="AB15" s="1539">
        <f t="shared" si="4"/>
        <v>1</v>
      </c>
      <c r="AC15" s="2150">
        <f t="shared" si="5"/>
        <v>1</v>
      </c>
    </row>
    <row r="16" spans="1:29" ht="15">
      <c r="A16" s="387"/>
      <c r="B16" s="586"/>
      <c r="C16" s="2092"/>
      <c r="D16" s="407"/>
      <c r="E16" s="406"/>
      <c r="F16" s="407"/>
      <c r="G16" s="2092"/>
      <c r="H16" s="409"/>
      <c r="I16" s="406"/>
      <c r="J16" s="407"/>
      <c r="K16" s="572"/>
      <c r="L16" s="2953"/>
      <c r="M16" s="2947"/>
      <c r="N16" s="2947"/>
      <c r="O16" s="2947"/>
      <c r="P16" s="3311"/>
      <c r="Q16" s="1538"/>
      <c r="R16" s="714"/>
      <c r="S16" s="715"/>
      <c r="T16" s="714"/>
      <c r="U16" s="715"/>
      <c r="V16" s="714"/>
      <c r="W16" s="715"/>
      <c r="X16" s="1541"/>
      <c r="Y16" s="3304"/>
      <c r="Z16" s="1542"/>
      <c r="AA16" s="1539">
        <v>1</v>
      </c>
      <c r="AB16" s="1539">
        <v>1</v>
      </c>
      <c r="AC16" s="2150">
        <v>1</v>
      </c>
    </row>
    <row r="17" spans="1:29" ht="71.25">
      <c r="A17" s="387"/>
      <c r="B17" s="587" t="s">
        <v>1946</v>
      </c>
      <c r="C17" s="2151"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3"/>
      <c r="M17" s="2947"/>
      <c r="N17" s="2947"/>
      <c r="O17" s="2947"/>
      <c r="P17" s="3311"/>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2150">
        <f t="shared" si="5"/>
        <v>1</v>
      </c>
    </row>
    <row r="18" spans="1:29" ht="15">
      <c r="A18" s="387"/>
      <c r="B18" s="588"/>
      <c r="C18" s="2152"/>
      <c r="D18" s="409"/>
      <c r="E18" s="2090"/>
      <c r="F18" s="409"/>
      <c r="G18" s="2091"/>
      <c r="H18" s="407"/>
      <c r="I18" s="2091"/>
      <c r="J18" s="407"/>
      <c r="K18" s="572"/>
      <c r="L18" s="2953"/>
      <c r="M18" s="2947"/>
      <c r="N18" s="2947"/>
      <c r="O18" s="2947"/>
      <c r="P18" s="3311"/>
      <c r="Q18" s="1538"/>
      <c r="R18" s="714"/>
      <c r="S18" s="715"/>
      <c r="T18" s="714"/>
      <c r="U18" s="715"/>
      <c r="V18" s="714"/>
      <c r="W18" s="715"/>
      <c r="X18" s="1541"/>
      <c r="Y18" s="3304"/>
      <c r="Z18" s="1542"/>
      <c r="AA18" s="1539">
        <v>1</v>
      </c>
      <c r="AB18" s="1539">
        <v>1</v>
      </c>
      <c r="AC18" s="2150">
        <v>1</v>
      </c>
    </row>
    <row r="19" spans="1:29" ht="42.75">
      <c r="A19" s="387"/>
      <c r="B19" s="587" t="s">
        <v>2510</v>
      </c>
      <c r="C19" s="2151"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3"/>
      <c r="M19" s="2947"/>
      <c r="N19" s="2947"/>
      <c r="O19" s="2947"/>
      <c r="P19" s="3311"/>
      <c r="Q19" s="1538" t="str">
        <f>B19</f>
        <v>公共配套设施</v>
      </c>
      <c r="R19" s="714" t="s">
        <v>17</v>
      </c>
      <c r="S19" s="715">
        <f>F19</f>
        <v>100</v>
      </c>
      <c r="T19" s="714" t="s">
        <v>17</v>
      </c>
      <c r="U19" s="715">
        <f>H19</f>
        <v>100</v>
      </c>
      <c r="V19" s="714" t="s">
        <v>17</v>
      </c>
      <c r="W19" s="715">
        <f>J19</f>
        <v>100</v>
      </c>
      <c r="X19" s="1541"/>
      <c r="Y19" s="3304"/>
      <c r="Z19" s="1542" t="str">
        <f>Q19</f>
        <v>公共配套设施</v>
      </c>
      <c r="AA19" s="1539">
        <f t="shared" si="3"/>
        <v>1</v>
      </c>
      <c r="AB19" s="1539">
        <f t="shared" si="4"/>
        <v>1</v>
      </c>
      <c r="AC19" s="2150">
        <f t="shared" si="5"/>
        <v>1</v>
      </c>
    </row>
    <row r="20" spans="1:29" ht="15">
      <c r="A20" s="387"/>
      <c r="B20" s="588"/>
      <c r="C20" s="2092"/>
      <c r="D20" s="407"/>
      <c r="E20" s="2085"/>
      <c r="F20" s="407"/>
      <c r="G20" s="2086"/>
      <c r="H20" s="407"/>
      <c r="I20" s="2086"/>
      <c r="J20" s="407"/>
      <c r="K20" s="572"/>
      <c r="L20" s="2953"/>
      <c r="M20" s="2947"/>
      <c r="N20" s="2947"/>
      <c r="O20" s="2947"/>
      <c r="P20" s="3311"/>
      <c r="Q20" s="1538"/>
      <c r="R20" s="714"/>
      <c r="S20" s="715"/>
      <c r="T20" s="714"/>
      <c r="U20" s="715"/>
      <c r="V20" s="714"/>
      <c r="W20" s="715"/>
      <c r="X20" s="1541"/>
      <c r="Y20" s="3304"/>
      <c r="Z20" s="1542"/>
      <c r="AA20" s="1539">
        <v>1</v>
      </c>
      <c r="AB20" s="1539">
        <v>1</v>
      </c>
      <c r="AC20" s="2150">
        <v>1</v>
      </c>
    </row>
    <row r="21" spans="1:29" ht="28.5">
      <c r="A21" s="387"/>
      <c r="B21" s="589" t="s">
        <v>2511</v>
      </c>
      <c r="C21" s="2151"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3"/>
      <c r="M21" s="2947"/>
      <c r="N21" s="2947"/>
      <c r="O21" s="2947"/>
      <c r="P21" s="3311"/>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2150">
        <f t="shared" ref="AC21" si="10">D21/J21</f>
        <v>1</v>
      </c>
    </row>
    <row r="22" spans="1:29" ht="15">
      <c r="A22" s="387"/>
      <c r="B22" s="589"/>
      <c r="C22" s="2152"/>
      <c r="D22" s="407"/>
      <c r="E22" s="406"/>
      <c r="F22" s="407"/>
      <c r="G22" s="2092"/>
      <c r="H22" s="407"/>
      <c r="I22" s="2092"/>
      <c r="J22" s="407"/>
      <c r="K22" s="1292"/>
      <c r="L22" s="2953"/>
      <c r="M22" s="2947"/>
      <c r="N22" s="2947"/>
      <c r="O22" s="2947"/>
      <c r="P22" s="3311"/>
      <c r="Q22" s="1538"/>
      <c r="R22" s="714"/>
      <c r="S22" s="715"/>
      <c r="T22" s="714"/>
      <c r="U22" s="715"/>
      <c r="V22" s="714"/>
      <c r="W22" s="715"/>
      <c r="X22" s="1541"/>
      <c r="Y22" s="3304"/>
      <c r="Z22" s="1542"/>
      <c r="AA22" s="1539">
        <v>1</v>
      </c>
      <c r="AB22" s="1539">
        <v>1</v>
      </c>
      <c r="AC22" s="2150">
        <v>1</v>
      </c>
    </row>
    <row r="23" spans="1:29" ht="42.75">
      <c r="A23" s="387"/>
      <c r="B23" s="587" t="s">
        <v>2512</v>
      </c>
      <c r="C23" s="2151"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3"/>
      <c r="M23" s="2947"/>
      <c r="N23" s="2947"/>
      <c r="O23" s="2947"/>
      <c r="P23" s="3311"/>
      <c r="Q23" s="1538" t="str">
        <f>B23</f>
        <v>环境质量</v>
      </c>
      <c r="R23" s="714" t="s">
        <v>17</v>
      </c>
      <c r="S23" s="715">
        <f>F23</f>
        <v>100</v>
      </c>
      <c r="T23" s="714" t="s">
        <v>17</v>
      </c>
      <c r="U23" s="715">
        <f>H23</f>
        <v>100</v>
      </c>
      <c r="V23" s="714" t="s">
        <v>17</v>
      </c>
      <c r="W23" s="715">
        <f>J23</f>
        <v>100</v>
      </c>
      <c r="X23" s="1541"/>
      <c r="Y23" s="3304"/>
      <c r="Z23" s="1542" t="str">
        <f>Q23</f>
        <v>环境质量</v>
      </c>
      <c r="AA23" s="1539">
        <f t="shared" si="3"/>
        <v>1</v>
      </c>
      <c r="AB23" s="1539">
        <f t="shared" si="4"/>
        <v>1</v>
      </c>
      <c r="AC23" s="2150">
        <f t="shared" si="5"/>
        <v>1</v>
      </c>
    </row>
    <row r="24" spans="1:29" ht="15">
      <c r="A24" s="387"/>
      <c r="B24" s="589"/>
      <c r="C24" s="2092"/>
      <c r="D24" s="407"/>
      <c r="E24" s="2085"/>
      <c r="F24" s="407"/>
      <c r="G24" s="2086"/>
      <c r="H24" s="407"/>
      <c r="I24" s="2086"/>
      <c r="J24" s="407"/>
      <c r="K24" s="572"/>
      <c r="L24" s="2953"/>
      <c r="M24" s="2947"/>
      <c r="N24" s="2947"/>
      <c r="O24" s="2947"/>
      <c r="P24" s="3311"/>
      <c r="Q24" s="1538"/>
      <c r="R24" s="714"/>
      <c r="S24" s="715"/>
      <c r="T24" s="714"/>
      <c r="U24" s="715"/>
      <c r="V24" s="714"/>
      <c r="W24" s="715"/>
      <c r="X24" s="1541"/>
      <c r="Y24" s="3304"/>
      <c r="Z24" s="1542"/>
      <c r="AA24" s="1539">
        <v>1</v>
      </c>
      <c r="AB24" s="1539">
        <v>1</v>
      </c>
      <c r="AC24" s="2150">
        <v>1</v>
      </c>
    </row>
    <row r="25" spans="1:29" ht="27">
      <c r="A25" s="364"/>
      <c r="B25" s="587" t="s">
        <v>2513</v>
      </c>
      <c r="C25" s="2096"/>
      <c r="D25" s="394">
        <v>100</v>
      </c>
      <c r="E25" s="393"/>
      <c r="F25" s="394">
        <f>SUMIF(87:87,E26,88:88)-SUMIF(87:87,C26,88:88)+100</f>
        <v>100</v>
      </c>
      <c r="G25" s="2096"/>
      <c r="H25" s="394">
        <f>SUMIF(87:87,G26,88:88)-SUMIF(87:87,C26,88:88)+100</f>
        <v>100</v>
      </c>
      <c r="I25" s="393"/>
      <c r="J25" s="394">
        <f>SUMIF(87:87,I26,88:88)-SUMIF(87:87,C26,88:88)+100</f>
        <v>100</v>
      </c>
      <c r="K25" s="571"/>
      <c r="L25" s="2953"/>
      <c r="M25" s="2947"/>
      <c r="N25" s="2947"/>
      <c r="O25" s="2947"/>
      <c r="P25" s="3311"/>
      <c r="Q25" s="1538" t="str">
        <f>B25</f>
        <v>毗邻道路的类型与等级</v>
      </c>
      <c r="R25" s="714" t="s">
        <v>17</v>
      </c>
      <c r="S25" s="715">
        <f>F25</f>
        <v>100</v>
      </c>
      <c r="T25" s="714" t="s">
        <v>17</v>
      </c>
      <c r="U25" s="715">
        <f>H25</f>
        <v>100</v>
      </c>
      <c r="V25" s="714" t="s">
        <v>17</v>
      </c>
      <c r="W25" s="715">
        <f>J25</f>
        <v>100</v>
      </c>
      <c r="X25" s="1541"/>
      <c r="Y25" s="3304"/>
      <c r="Z25" s="1542" t="str">
        <f>Q25</f>
        <v>毗邻道路的类型与等级</v>
      </c>
      <c r="AA25" s="1539">
        <f t="shared" si="3"/>
        <v>1</v>
      </c>
      <c r="AB25" s="1539">
        <f t="shared" si="4"/>
        <v>1</v>
      </c>
      <c r="AC25" s="2150">
        <f t="shared" si="5"/>
        <v>1</v>
      </c>
    </row>
    <row r="26" spans="1:29" ht="15">
      <c r="A26" s="364"/>
      <c r="B26" s="588"/>
      <c r="C26" s="590"/>
      <c r="D26" s="394"/>
      <c r="E26" s="573"/>
      <c r="F26" s="394"/>
      <c r="G26" s="590"/>
      <c r="H26" s="394"/>
      <c r="I26" s="573"/>
      <c r="J26" s="394"/>
      <c r="K26" s="572"/>
      <c r="L26" s="2953"/>
      <c r="M26" s="2947"/>
      <c r="N26" s="2947"/>
      <c r="O26" s="2947"/>
      <c r="P26" s="3311"/>
      <c r="Q26" s="1538"/>
      <c r="R26" s="714"/>
      <c r="S26" s="715"/>
      <c r="T26" s="714"/>
      <c r="U26" s="715"/>
      <c r="V26" s="714"/>
      <c r="W26" s="715"/>
      <c r="X26" s="1541"/>
      <c r="Y26" s="3304"/>
      <c r="Z26" s="1542"/>
      <c r="AA26" s="1539">
        <v>1</v>
      </c>
      <c r="AB26" s="1539">
        <v>1</v>
      </c>
      <c r="AC26" s="2150">
        <v>1</v>
      </c>
    </row>
    <row r="27" spans="1:29" ht="15">
      <c r="A27" s="387"/>
      <c r="B27" s="588" t="s">
        <v>2481</v>
      </c>
      <c r="C27" s="590"/>
      <c r="D27" s="394">
        <v>100</v>
      </c>
      <c r="E27" s="573"/>
      <c r="F27" s="394">
        <f>SUMIF(89:89,E27,90:90)-SUMIF(89:89,C27,90:90)+100</f>
        <v>100</v>
      </c>
      <c r="G27" s="590"/>
      <c r="H27" s="394">
        <f>SUMIF(89:89,G27,90:90)-SUMIF(89:89,C27,90:90)+100</f>
        <v>100</v>
      </c>
      <c r="I27" s="573"/>
      <c r="J27" s="394">
        <f>SUMIF(89:89,I27,90:90)-SUMIF(89:89,C27,90:90)+100</f>
        <v>100</v>
      </c>
      <c r="K27" s="569"/>
      <c r="L27" s="2953"/>
      <c r="M27" s="2947"/>
      <c r="N27" s="2947"/>
      <c r="O27" s="2947"/>
      <c r="P27" s="3311"/>
      <c r="Q27" s="1538" t="str">
        <f t="shared" ref="Q27:Q47" si="11">B27</f>
        <v>楼层</v>
      </c>
      <c r="R27" s="714" t="s">
        <v>17</v>
      </c>
      <c r="S27" s="715">
        <f>F27</f>
        <v>100</v>
      </c>
      <c r="T27" s="714" t="s">
        <v>17</v>
      </c>
      <c r="U27" s="715">
        <f>H27</f>
        <v>100</v>
      </c>
      <c r="V27" s="714" t="s">
        <v>17</v>
      </c>
      <c r="W27" s="715">
        <f>J27</f>
        <v>100</v>
      </c>
      <c r="X27" s="1541"/>
      <c r="Y27" s="3304"/>
      <c r="Z27" s="1542" t="str">
        <f>Q27</f>
        <v>楼层</v>
      </c>
      <c r="AA27" s="1539">
        <f t="shared" si="3"/>
        <v>1</v>
      </c>
      <c r="AB27" s="1539">
        <f t="shared" si="4"/>
        <v>1</v>
      </c>
      <c r="AC27" s="2150">
        <f t="shared" si="5"/>
        <v>1</v>
      </c>
    </row>
    <row r="28" spans="1:29" s="113" customFormat="1" ht="15">
      <c r="A28" s="390"/>
      <c r="B28" s="587" t="s">
        <v>2514</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311"/>
      <c r="Q28" s="1529" t="str">
        <f t="shared" si="11"/>
        <v>朝向</v>
      </c>
      <c r="R28" s="710" t="s">
        <v>17</v>
      </c>
      <c r="S28" s="711">
        <f>F28</f>
        <v>100</v>
      </c>
      <c r="T28" s="710" t="s">
        <v>17</v>
      </c>
      <c r="U28" s="711">
        <f>H28</f>
        <v>100</v>
      </c>
      <c r="V28" s="710" t="s">
        <v>17</v>
      </c>
      <c r="W28" s="711">
        <f>J28</f>
        <v>100</v>
      </c>
      <c r="X28" s="712"/>
      <c r="Y28" s="3304"/>
      <c r="Z28" s="55" t="str">
        <f>Q28</f>
        <v>朝向</v>
      </c>
      <c r="AA28" s="1539">
        <f>D28/F28</f>
        <v>1</v>
      </c>
      <c r="AB28" s="1539">
        <f>D28/H28</f>
        <v>1</v>
      </c>
      <c r="AC28" s="2150">
        <f>D28/J28</f>
        <v>1</v>
      </c>
    </row>
    <row r="29" spans="1:29" ht="15">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311"/>
      <c r="Q29" s="1538">
        <f t="shared" si="11"/>
        <v>111</v>
      </c>
      <c r="R29" s="714" t="s">
        <v>17</v>
      </c>
      <c r="S29" s="715">
        <f t="shared" ref="S29:S47" si="12">F29</f>
        <v>100</v>
      </c>
      <c r="T29" s="714" t="s">
        <v>17</v>
      </c>
      <c r="U29" s="715">
        <f t="shared" ref="U29:U47" si="13">H29</f>
        <v>100</v>
      </c>
      <c r="V29" s="714" t="s">
        <v>17</v>
      </c>
      <c r="W29" s="715">
        <f t="shared" ref="W29:W47" si="14">J29</f>
        <v>100</v>
      </c>
      <c r="X29" s="1541"/>
      <c r="Y29" s="3304"/>
      <c r="Z29" s="1542">
        <f t="shared" ref="Z29:Z47" si="15">Q29</f>
        <v>111</v>
      </c>
      <c r="AA29" s="1539">
        <f t="shared" si="3"/>
        <v>1</v>
      </c>
      <c r="AB29" s="1539">
        <f t="shared" si="4"/>
        <v>1</v>
      </c>
      <c r="AC29" s="2150">
        <f t="shared" si="5"/>
        <v>1</v>
      </c>
    </row>
    <row r="30" spans="1:29" ht="15">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311"/>
      <c r="Q30" s="1538">
        <f t="shared" si="11"/>
        <v>111</v>
      </c>
      <c r="R30" s="714" t="s">
        <v>17</v>
      </c>
      <c r="S30" s="715">
        <f t="shared" si="12"/>
        <v>100</v>
      </c>
      <c r="T30" s="714" t="s">
        <v>17</v>
      </c>
      <c r="U30" s="715">
        <f t="shared" si="13"/>
        <v>100</v>
      </c>
      <c r="V30" s="714" t="s">
        <v>17</v>
      </c>
      <c r="W30" s="715">
        <f t="shared" si="14"/>
        <v>100</v>
      </c>
      <c r="X30" s="1541"/>
      <c r="Y30" s="3304"/>
      <c r="Z30" s="1542">
        <f t="shared" si="15"/>
        <v>111</v>
      </c>
      <c r="AA30" s="1539">
        <f t="shared" si="3"/>
        <v>1</v>
      </c>
      <c r="AB30" s="1539">
        <f t="shared" si="4"/>
        <v>1</v>
      </c>
      <c r="AC30" s="2150">
        <f t="shared" si="5"/>
        <v>1</v>
      </c>
    </row>
    <row r="31" spans="1:29" ht="15">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311"/>
      <c r="Q31" s="1538">
        <f t="shared" si="11"/>
        <v>111</v>
      </c>
      <c r="R31" s="714" t="s">
        <v>17</v>
      </c>
      <c r="S31" s="715">
        <f t="shared" si="12"/>
        <v>100</v>
      </c>
      <c r="T31" s="714" t="s">
        <v>17</v>
      </c>
      <c r="U31" s="715">
        <f t="shared" si="13"/>
        <v>100</v>
      </c>
      <c r="V31" s="714" t="s">
        <v>17</v>
      </c>
      <c r="W31" s="715">
        <f t="shared" si="14"/>
        <v>100</v>
      </c>
      <c r="X31" s="1541"/>
      <c r="Y31" s="3304"/>
      <c r="Z31" s="1542">
        <f t="shared" si="15"/>
        <v>111</v>
      </c>
      <c r="AA31" s="1539">
        <f t="shared" si="3"/>
        <v>1</v>
      </c>
      <c r="AB31" s="1539">
        <f t="shared" si="4"/>
        <v>1</v>
      </c>
      <c r="AC31" s="2150">
        <f t="shared" si="5"/>
        <v>1</v>
      </c>
    </row>
    <row r="32" spans="1:29" ht="15.75" thickBot="1">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311"/>
      <c r="Q32" s="1538">
        <f t="shared" si="11"/>
        <v>111</v>
      </c>
      <c r="R32" s="714" t="s">
        <v>17</v>
      </c>
      <c r="S32" s="715">
        <f t="shared" si="12"/>
        <v>100</v>
      </c>
      <c r="T32" s="714" t="s">
        <v>17</v>
      </c>
      <c r="U32" s="715">
        <f t="shared" si="13"/>
        <v>100</v>
      </c>
      <c r="V32" s="714" t="s">
        <v>17</v>
      </c>
      <c r="W32" s="715">
        <f t="shared" si="14"/>
        <v>100</v>
      </c>
      <c r="X32" s="1541"/>
      <c r="Y32" s="3304"/>
      <c r="Z32" s="1542">
        <f t="shared" si="15"/>
        <v>111</v>
      </c>
      <c r="AA32" s="1539">
        <f t="shared" si="3"/>
        <v>1</v>
      </c>
      <c r="AB32" s="1539">
        <f t="shared" si="4"/>
        <v>1</v>
      </c>
      <c r="AC32" s="2150">
        <f t="shared" si="5"/>
        <v>1</v>
      </c>
    </row>
    <row r="33" spans="1:29" ht="15">
      <c r="A33" s="399" t="s">
        <v>2385</v>
      </c>
      <c r="B33" s="67" t="s">
        <v>2515</v>
      </c>
      <c r="C33" s="2155"/>
      <c r="D33" s="426">
        <v>100</v>
      </c>
      <c r="E33" s="2155"/>
      <c r="F33" s="420">
        <f>SUMIF(101:101,E33,102:102)-SUMIF(101:101,C33,102:102)+100</f>
        <v>100</v>
      </c>
      <c r="G33" s="2155"/>
      <c r="H33" s="394">
        <f>SUMIF(101:101,G33,102:102)-SUMIF(101:101,C33,102:102)+100</f>
        <v>100</v>
      </c>
      <c r="I33" s="2155"/>
      <c r="J33" s="426">
        <f>SUMIF(101:101,I33,102:102)-SUMIF(101:101,C33,102:102)+100</f>
        <v>100</v>
      </c>
      <c r="K33" s="569"/>
      <c r="L33" s="2953"/>
      <c r="M33" s="2947"/>
      <c r="N33" s="2947"/>
      <c r="O33" s="2947"/>
      <c r="P33" s="3305" t="s">
        <v>2387</v>
      </c>
      <c r="Q33" s="1538" t="str">
        <f t="shared" si="11"/>
        <v>建筑类型</v>
      </c>
      <c r="R33" s="714" t="s">
        <v>17</v>
      </c>
      <c r="S33" s="715">
        <f t="shared" si="12"/>
        <v>100</v>
      </c>
      <c r="T33" s="714" t="s">
        <v>17</v>
      </c>
      <c r="U33" s="715">
        <f t="shared" si="13"/>
        <v>100</v>
      </c>
      <c r="V33" s="714" t="s">
        <v>17</v>
      </c>
      <c r="W33" s="715">
        <f t="shared" si="14"/>
        <v>100</v>
      </c>
      <c r="X33" s="1541"/>
      <c r="Y33" s="3308" t="s">
        <v>2387</v>
      </c>
      <c r="Z33" s="1542" t="str">
        <f t="shared" si="15"/>
        <v>建筑类型</v>
      </c>
      <c r="AA33" s="1539">
        <f t="shared" si="3"/>
        <v>1</v>
      </c>
      <c r="AB33" s="1539">
        <f t="shared" si="4"/>
        <v>1</v>
      </c>
      <c r="AC33" s="2150">
        <f t="shared" si="5"/>
        <v>1</v>
      </c>
    </row>
    <row r="34" spans="1:29" s="430" customFormat="1" ht="15">
      <c r="A34" s="427"/>
      <c r="B34" s="381" t="s">
        <v>2388</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2"/>
      <c r="M34" s="2954"/>
      <c r="N34" s="2954"/>
      <c r="O34" s="2954"/>
      <c r="P34" s="3306"/>
      <c r="Q34" s="716" t="str">
        <f t="shared" si="11"/>
        <v>项目建筑规模</v>
      </c>
      <c r="R34" s="717" t="s">
        <v>17</v>
      </c>
      <c r="S34" s="718" t="e">
        <f t="shared" si="12"/>
        <v>#N/A</v>
      </c>
      <c r="T34" s="717" t="s">
        <v>17</v>
      </c>
      <c r="U34" s="718" t="e">
        <f t="shared" si="13"/>
        <v>#N/A</v>
      </c>
      <c r="V34" s="717" t="s">
        <v>17</v>
      </c>
      <c r="W34" s="718" t="e">
        <f t="shared" si="14"/>
        <v>#N/A</v>
      </c>
      <c r="X34" s="719"/>
      <c r="Y34" s="3308"/>
      <c r="Z34" s="720" t="str">
        <f t="shared" si="15"/>
        <v>项目建筑规模</v>
      </c>
      <c r="AA34" s="1539" t="e">
        <f t="shared" si="3"/>
        <v>#N/A</v>
      </c>
      <c r="AB34" s="1539" t="e">
        <f t="shared" si="4"/>
        <v>#N/A</v>
      </c>
      <c r="AC34" s="2150" t="e">
        <f t="shared" si="5"/>
        <v>#N/A</v>
      </c>
    </row>
    <row r="35" spans="1:29" ht="15">
      <c r="A35" s="431"/>
      <c r="B35" s="381" t="s">
        <v>2389</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3"/>
      <c r="M35" s="2947"/>
      <c r="N35" s="2947"/>
      <c r="O35" s="2947"/>
      <c r="P35" s="3306"/>
      <c r="Q35" s="1538" t="str">
        <f t="shared" si="11"/>
        <v>建筑结构</v>
      </c>
      <c r="R35" s="714" t="s">
        <v>17</v>
      </c>
      <c r="S35" s="715">
        <f t="shared" si="12"/>
        <v>100</v>
      </c>
      <c r="T35" s="714" t="s">
        <v>17</v>
      </c>
      <c r="U35" s="715">
        <f t="shared" si="13"/>
        <v>100</v>
      </c>
      <c r="V35" s="714" t="s">
        <v>17</v>
      </c>
      <c r="W35" s="715">
        <f t="shared" si="14"/>
        <v>100</v>
      </c>
      <c r="X35" s="1541"/>
      <c r="Y35" s="3308"/>
      <c r="Z35" s="1542" t="str">
        <f t="shared" si="15"/>
        <v>建筑结构</v>
      </c>
      <c r="AA35" s="1539">
        <f t="shared" si="3"/>
        <v>1</v>
      </c>
      <c r="AB35" s="1539">
        <f t="shared" si="4"/>
        <v>1</v>
      </c>
      <c r="AC35" s="2150">
        <f t="shared" si="5"/>
        <v>1</v>
      </c>
    </row>
    <row r="36" spans="1:29" ht="15">
      <c r="A36" s="431"/>
      <c r="B36" s="381" t="s">
        <v>2483</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3"/>
      <c r="M36" s="2947"/>
      <c r="N36" s="2947"/>
      <c r="O36" s="2947"/>
      <c r="P36" s="3306"/>
      <c r="Q36" s="1538" t="str">
        <f t="shared" si="11"/>
        <v>公共部分装修</v>
      </c>
      <c r="R36" s="714" t="s">
        <v>17</v>
      </c>
      <c r="S36" s="715">
        <f t="shared" si="12"/>
        <v>100</v>
      </c>
      <c r="T36" s="714" t="s">
        <v>17</v>
      </c>
      <c r="U36" s="715">
        <f t="shared" si="13"/>
        <v>100</v>
      </c>
      <c r="V36" s="714" t="s">
        <v>17</v>
      </c>
      <c r="W36" s="715">
        <f t="shared" si="14"/>
        <v>100</v>
      </c>
      <c r="X36" s="1541"/>
      <c r="Y36" s="3308"/>
      <c r="Z36" s="1542" t="str">
        <f t="shared" si="15"/>
        <v>公共部分装修</v>
      </c>
      <c r="AA36" s="1539">
        <f t="shared" si="3"/>
        <v>1</v>
      </c>
      <c r="AB36" s="1539">
        <f t="shared" si="4"/>
        <v>1</v>
      </c>
      <c r="AC36" s="2150">
        <f t="shared" si="5"/>
        <v>1</v>
      </c>
    </row>
    <row r="37" spans="1:29" ht="15">
      <c r="A37" s="431"/>
      <c r="B37" s="381" t="s">
        <v>2484</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3"/>
      <c r="M37" s="2947"/>
      <c r="N37" s="2947"/>
      <c r="O37" s="2947"/>
      <c r="P37" s="3306"/>
      <c r="Q37" s="1538" t="str">
        <f t="shared" si="11"/>
        <v>成新度</v>
      </c>
      <c r="R37" s="714" t="s">
        <v>17</v>
      </c>
      <c r="S37" s="715" t="e">
        <f t="shared" si="12"/>
        <v>#N/A</v>
      </c>
      <c r="T37" s="714" t="s">
        <v>17</v>
      </c>
      <c r="U37" s="715" t="e">
        <f t="shared" si="13"/>
        <v>#N/A</v>
      </c>
      <c r="V37" s="714" t="s">
        <v>17</v>
      </c>
      <c r="W37" s="715" t="e">
        <f t="shared" si="14"/>
        <v>#N/A</v>
      </c>
      <c r="X37" s="1541"/>
      <c r="Y37" s="3308"/>
      <c r="Z37" s="1542" t="str">
        <f t="shared" si="15"/>
        <v>成新度</v>
      </c>
      <c r="AA37" s="1539" t="e">
        <f t="shared" si="3"/>
        <v>#N/A</v>
      </c>
      <c r="AB37" s="1539" t="e">
        <f t="shared" si="4"/>
        <v>#N/A</v>
      </c>
      <c r="AC37" s="2150" t="e">
        <f t="shared" si="5"/>
        <v>#N/A</v>
      </c>
    </row>
    <row r="38" spans="1:29" s="113" customFormat="1" ht="15">
      <c r="A38" s="432"/>
      <c r="B38" s="381" t="s">
        <v>2516</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8"/>
      <c r="M38" s="2949"/>
      <c r="N38" s="2949"/>
      <c r="O38" s="2949"/>
      <c r="P38" s="3306"/>
      <c r="Q38" s="1529" t="str">
        <f t="shared" si="11"/>
        <v>写字楼等级</v>
      </c>
      <c r="R38" s="710" t="s">
        <v>17</v>
      </c>
      <c r="S38" s="711">
        <f t="shared" si="12"/>
        <v>100</v>
      </c>
      <c r="T38" s="710" t="s">
        <v>17</v>
      </c>
      <c r="U38" s="711">
        <f t="shared" si="13"/>
        <v>100</v>
      </c>
      <c r="V38" s="710" t="s">
        <v>17</v>
      </c>
      <c r="W38" s="711">
        <f t="shared" si="14"/>
        <v>100</v>
      </c>
      <c r="X38" s="712"/>
      <c r="Y38" s="3308"/>
      <c r="Z38" s="55" t="str">
        <f t="shared" si="15"/>
        <v>写字楼等级</v>
      </c>
      <c r="AA38" s="713">
        <f t="shared" si="3"/>
        <v>1</v>
      </c>
      <c r="AB38" s="713">
        <f t="shared" si="4"/>
        <v>1</v>
      </c>
      <c r="AC38" s="2147">
        <f t="shared" si="5"/>
        <v>1</v>
      </c>
    </row>
    <row r="39" spans="1:29" ht="15">
      <c r="A39" s="431"/>
      <c r="B39" s="381" t="s">
        <v>2517</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3"/>
      <c r="M39" s="2947"/>
      <c r="N39" s="2947"/>
      <c r="O39" s="2947"/>
      <c r="P39" s="3306" t="s">
        <v>2387</v>
      </c>
      <c r="Q39" s="1538" t="str">
        <f t="shared" si="11"/>
        <v>物业管理</v>
      </c>
      <c r="R39" s="714" t="s">
        <v>17</v>
      </c>
      <c r="S39" s="715">
        <f t="shared" si="12"/>
        <v>100</v>
      </c>
      <c r="T39" s="714" t="s">
        <v>17</v>
      </c>
      <c r="U39" s="715">
        <f t="shared" si="13"/>
        <v>100</v>
      </c>
      <c r="V39" s="714" t="s">
        <v>17</v>
      </c>
      <c r="W39" s="715">
        <f t="shared" si="14"/>
        <v>100</v>
      </c>
      <c r="X39" s="1541"/>
      <c r="Y39" s="3308" t="s">
        <v>2387</v>
      </c>
      <c r="Z39" s="1542" t="str">
        <f t="shared" si="15"/>
        <v>物业管理</v>
      </c>
      <c r="AA39" s="1539">
        <f t="shared" si="3"/>
        <v>1</v>
      </c>
      <c r="AB39" s="1539">
        <f t="shared" si="4"/>
        <v>1</v>
      </c>
      <c r="AC39" s="2150">
        <f t="shared" si="5"/>
        <v>1</v>
      </c>
    </row>
    <row r="40" spans="1:29" ht="15">
      <c r="A40" s="431"/>
      <c r="B40" s="381" t="s">
        <v>2485</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3"/>
      <c r="M40" s="2947"/>
      <c r="N40" s="2947"/>
      <c r="O40" s="2947"/>
      <c r="P40" s="3306"/>
      <c r="Q40" s="1538" t="str">
        <f t="shared" si="11"/>
        <v>市政基础设施</v>
      </c>
      <c r="R40" s="714" t="s">
        <v>17</v>
      </c>
      <c r="S40" s="715">
        <f t="shared" si="12"/>
        <v>100</v>
      </c>
      <c r="T40" s="714" t="s">
        <v>17</v>
      </c>
      <c r="U40" s="715">
        <f t="shared" si="13"/>
        <v>100</v>
      </c>
      <c r="V40" s="714" t="s">
        <v>17</v>
      </c>
      <c r="W40" s="715">
        <f t="shared" si="14"/>
        <v>100</v>
      </c>
      <c r="X40" s="1541"/>
      <c r="Y40" s="3308"/>
      <c r="Z40" s="1542" t="str">
        <f t="shared" si="15"/>
        <v>市政基础设施</v>
      </c>
      <c r="AA40" s="1539">
        <f t="shared" si="3"/>
        <v>1</v>
      </c>
      <c r="AB40" s="1539">
        <f t="shared" si="4"/>
        <v>1</v>
      </c>
      <c r="AC40" s="2150">
        <f t="shared" si="5"/>
        <v>1</v>
      </c>
    </row>
    <row r="41" spans="1:29" ht="15">
      <c r="A41" s="431"/>
      <c r="B41" s="381" t="s">
        <v>2487</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3"/>
      <c r="M41" s="2947"/>
      <c r="N41" s="2947"/>
      <c r="O41" s="2947"/>
      <c r="P41" s="3306"/>
      <c r="Q41" s="1538" t="str">
        <f t="shared" si="11"/>
        <v>层高</v>
      </c>
      <c r="R41" s="714" t="s">
        <v>17</v>
      </c>
      <c r="S41" s="715">
        <f t="shared" si="12"/>
        <v>100</v>
      </c>
      <c r="T41" s="714" t="s">
        <v>17</v>
      </c>
      <c r="U41" s="715">
        <f t="shared" si="13"/>
        <v>100</v>
      </c>
      <c r="V41" s="714" t="s">
        <v>17</v>
      </c>
      <c r="W41" s="715">
        <f t="shared" si="14"/>
        <v>100</v>
      </c>
      <c r="X41" s="1541"/>
      <c r="Y41" s="3308"/>
      <c r="Z41" s="1542" t="str">
        <f t="shared" si="15"/>
        <v>层高</v>
      </c>
      <c r="AA41" s="1539">
        <f t="shared" si="3"/>
        <v>1</v>
      </c>
      <c r="AB41" s="1539">
        <f t="shared" si="4"/>
        <v>1</v>
      </c>
      <c r="AC41" s="2150">
        <f t="shared" si="5"/>
        <v>1</v>
      </c>
    </row>
    <row r="42" spans="1:29" s="430" customFormat="1" ht="15">
      <c r="A42" s="427"/>
      <c r="B42" s="1540" t="s">
        <v>2518</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306"/>
      <c r="Q42" s="716" t="str">
        <f t="shared" si="11"/>
        <v>单套建筑面积</v>
      </c>
      <c r="R42" s="717" t="s">
        <v>17</v>
      </c>
      <c r="S42" s="718">
        <f t="shared" si="12"/>
        <v>100</v>
      </c>
      <c r="T42" s="717" t="s">
        <v>17</v>
      </c>
      <c r="U42" s="718">
        <f t="shared" si="13"/>
        <v>100</v>
      </c>
      <c r="V42" s="717" t="s">
        <v>17</v>
      </c>
      <c r="W42" s="718">
        <f t="shared" si="14"/>
        <v>100</v>
      </c>
      <c r="X42" s="719"/>
      <c r="Y42" s="3308"/>
      <c r="Z42" s="720" t="str">
        <f t="shared" si="15"/>
        <v>单套建筑面积</v>
      </c>
      <c r="AA42" s="1539">
        <f t="shared" si="3"/>
        <v>1</v>
      </c>
      <c r="AB42" s="1539">
        <f t="shared" si="4"/>
        <v>1</v>
      </c>
      <c r="AC42" s="2150">
        <f t="shared" si="5"/>
        <v>1</v>
      </c>
    </row>
    <row r="43" spans="1:29" ht="15">
      <c r="A43" s="431"/>
      <c r="B43" s="381" t="s">
        <v>2490</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3"/>
      <c r="M43" s="2947"/>
      <c r="N43" s="2947"/>
      <c r="O43" s="2947"/>
      <c r="P43" s="3306"/>
      <c r="Q43" s="1538" t="str">
        <f t="shared" si="11"/>
        <v>内部装修</v>
      </c>
      <c r="R43" s="714" t="s">
        <v>17</v>
      </c>
      <c r="S43" s="715">
        <f t="shared" si="12"/>
        <v>100</v>
      </c>
      <c r="T43" s="714" t="s">
        <v>17</v>
      </c>
      <c r="U43" s="715">
        <f t="shared" si="13"/>
        <v>100</v>
      </c>
      <c r="V43" s="714" t="s">
        <v>17</v>
      </c>
      <c r="W43" s="715">
        <f t="shared" si="14"/>
        <v>100</v>
      </c>
      <c r="X43" s="1541"/>
      <c r="Y43" s="3308"/>
      <c r="Z43" s="1542" t="str">
        <f t="shared" si="15"/>
        <v>内部装修</v>
      </c>
      <c r="AA43" s="1539">
        <f t="shared" si="3"/>
        <v>1</v>
      </c>
      <c r="AB43" s="1539">
        <f t="shared" si="4"/>
        <v>1</v>
      </c>
      <c r="AC43" s="2150">
        <f t="shared" si="5"/>
        <v>1</v>
      </c>
    </row>
    <row r="44" spans="1:29" ht="15">
      <c r="A44" s="431"/>
      <c r="B44" s="381" t="s">
        <v>2398</v>
      </c>
      <c r="C44" s="419"/>
      <c r="D44" s="394">
        <v>100</v>
      </c>
      <c r="E44" s="2094"/>
      <c r="F44" s="420">
        <f>SUMIF(125:125,E44,126:126)-SUMIF(125:125,C44,126:126)+100</f>
        <v>100</v>
      </c>
      <c r="G44" s="2094"/>
      <c r="H44" s="394">
        <f>SUMIF(125:125,G44,126:126)-SUMIF(125:125,C44,126:126)+100</f>
        <v>100</v>
      </c>
      <c r="I44" s="2094"/>
      <c r="J44" s="394">
        <f>SUMIF(125:125,I44,126:126)-SUMIF(125:125,C44,126:126)+100</f>
        <v>100</v>
      </c>
      <c r="K44" s="569"/>
      <c r="L44" s="2953"/>
      <c r="M44" s="2947"/>
      <c r="N44" s="2947"/>
      <c r="O44" s="2947"/>
      <c r="P44" s="3306"/>
      <c r="Q44" s="1538" t="str">
        <f t="shared" si="11"/>
        <v>内部装修维护情况</v>
      </c>
      <c r="R44" s="714" t="s">
        <v>17</v>
      </c>
      <c r="S44" s="715">
        <f t="shared" si="12"/>
        <v>100</v>
      </c>
      <c r="T44" s="714" t="s">
        <v>17</v>
      </c>
      <c r="U44" s="715">
        <f t="shared" si="13"/>
        <v>100</v>
      </c>
      <c r="V44" s="714" t="s">
        <v>17</v>
      </c>
      <c r="W44" s="715">
        <f t="shared" si="14"/>
        <v>100</v>
      </c>
      <c r="X44" s="1541"/>
      <c r="Y44" s="3308"/>
      <c r="Z44" s="1542" t="str">
        <f t="shared" si="15"/>
        <v>内部装修维护情况</v>
      </c>
      <c r="AA44" s="1539">
        <f t="shared" si="3"/>
        <v>1</v>
      </c>
      <c r="AB44" s="1539">
        <f t="shared" si="4"/>
        <v>1</v>
      </c>
      <c r="AC44" s="2150">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306"/>
      <c r="Q45" s="1529">
        <f t="shared" si="11"/>
        <v>111</v>
      </c>
      <c r="R45" s="710" t="s">
        <v>17</v>
      </c>
      <c r="S45" s="711">
        <f t="shared" si="12"/>
        <v>100</v>
      </c>
      <c r="T45" s="710" t="s">
        <v>17</v>
      </c>
      <c r="U45" s="711">
        <f t="shared" si="13"/>
        <v>100</v>
      </c>
      <c r="V45" s="710" t="s">
        <v>17</v>
      </c>
      <c r="W45" s="711">
        <f t="shared" si="14"/>
        <v>100</v>
      </c>
      <c r="X45" s="712"/>
      <c r="Y45" s="3308"/>
      <c r="Z45" s="55">
        <f t="shared" si="15"/>
        <v>111</v>
      </c>
      <c r="AA45" s="713">
        <f t="shared" si="3"/>
        <v>1</v>
      </c>
      <c r="AB45" s="713">
        <f t="shared" si="4"/>
        <v>1</v>
      </c>
      <c r="AC45" s="2147">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306"/>
      <c r="Q46" s="1538">
        <f t="shared" si="11"/>
        <v>111</v>
      </c>
      <c r="R46" s="714" t="s">
        <v>17</v>
      </c>
      <c r="S46" s="715">
        <f t="shared" si="12"/>
        <v>100</v>
      </c>
      <c r="T46" s="714" t="s">
        <v>17</v>
      </c>
      <c r="U46" s="715">
        <f t="shared" si="13"/>
        <v>100</v>
      </c>
      <c r="V46" s="714" t="s">
        <v>17</v>
      </c>
      <c r="W46" s="715">
        <f t="shared" si="14"/>
        <v>100</v>
      </c>
      <c r="X46" s="1541"/>
      <c r="Y46" s="3308"/>
      <c r="Z46" s="1542">
        <f t="shared" si="15"/>
        <v>111</v>
      </c>
      <c r="AA46" s="1539">
        <f t="shared" si="3"/>
        <v>1</v>
      </c>
      <c r="AB46" s="1539">
        <f t="shared" si="4"/>
        <v>1</v>
      </c>
      <c r="AC46" s="2150">
        <f t="shared" si="5"/>
        <v>1</v>
      </c>
    </row>
    <row r="47" spans="1:29" ht="15.75" thickBot="1">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307"/>
      <c r="Q47" s="1538">
        <f t="shared" si="11"/>
        <v>111</v>
      </c>
      <c r="R47" s="714" t="s">
        <v>17</v>
      </c>
      <c r="S47" s="715">
        <f t="shared" si="12"/>
        <v>100</v>
      </c>
      <c r="T47" s="714" t="s">
        <v>17</v>
      </c>
      <c r="U47" s="715">
        <f t="shared" si="13"/>
        <v>100</v>
      </c>
      <c r="V47" s="714" t="s">
        <v>17</v>
      </c>
      <c r="W47" s="715">
        <f t="shared" si="14"/>
        <v>100</v>
      </c>
      <c r="X47" s="1541"/>
      <c r="Y47" s="3309"/>
      <c r="Z47" s="1542">
        <f t="shared" si="15"/>
        <v>111</v>
      </c>
      <c r="AA47" s="1539">
        <f t="shared" si="3"/>
        <v>1</v>
      </c>
      <c r="AB47" s="1539">
        <f t="shared" si="4"/>
        <v>1</v>
      </c>
      <c r="AC47" s="2150">
        <f t="shared" si="5"/>
        <v>1</v>
      </c>
    </row>
    <row r="48" spans="1:29" ht="15">
      <c r="A48" s="438" t="s">
        <v>2399</v>
      </c>
      <c r="B48" s="439"/>
      <c r="C48" s="1316" t="s">
        <v>1</v>
      </c>
      <c r="D48" s="1317"/>
      <c r="E48" s="1318"/>
      <c r="F48" s="1319"/>
      <c r="G48" s="1320"/>
      <c r="H48" s="1321"/>
      <c r="I48" s="1318"/>
      <c r="J48" s="444"/>
      <c r="K48" s="723"/>
      <c r="L48" s="2955"/>
      <c r="M48" s="2947"/>
      <c r="N48" s="2947"/>
      <c r="O48" s="2947"/>
      <c r="P48" s="3283" t="str">
        <f>A48</f>
        <v>成交单价（元/平方米）</v>
      </c>
      <c r="Q48" s="3301"/>
      <c r="R48" s="3302">
        <f>E48</f>
        <v>0</v>
      </c>
      <c r="S48" s="3302"/>
      <c r="T48" s="3302">
        <f>G48</f>
        <v>0</v>
      </c>
      <c r="U48" s="3302"/>
      <c r="V48" s="3302">
        <f>I48</f>
        <v>0</v>
      </c>
      <c r="W48" s="3302"/>
      <c r="X48" s="405"/>
      <c r="Y48" s="721"/>
      <c r="Z48" s="405"/>
      <c r="AA48" s="405"/>
      <c r="AB48" s="405"/>
      <c r="AC48" s="586"/>
    </row>
    <row r="49" spans="1:29" ht="15.75" thickBot="1">
      <c r="A49" s="445" t="s">
        <v>2491</v>
      </c>
      <c r="B49" s="446"/>
      <c r="C49" s="1322" t="e">
        <f>R50</f>
        <v>#DIV/0!</v>
      </c>
      <c r="D49" s="2540" t="s">
        <v>2882</v>
      </c>
      <c r="E49" s="1323" t="e">
        <f>R49</f>
        <v>#DIV/0!</v>
      </c>
      <c r="F49" s="2541"/>
      <c r="G49" s="1322" t="e">
        <f>T49</f>
        <v>#DIV/0!</v>
      </c>
      <c r="H49" s="2541"/>
      <c r="I49" s="1323" t="e">
        <f>V49</f>
        <v>#DIV/0!</v>
      </c>
      <c r="J49" s="2541"/>
      <c r="K49" s="2543">
        <f>F49+H49+J49</f>
        <v>0</v>
      </c>
      <c r="L49" s="2955"/>
      <c r="M49" s="2947"/>
      <c r="N49" s="2947"/>
      <c r="O49" s="2947"/>
      <c r="P49" s="3283" t="str">
        <f>A49</f>
        <v>比较价值（元/平方米）</v>
      </c>
      <c r="Q49" s="3301"/>
      <c r="R49" s="3302" t="e">
        <f>IF(F1="售价",ROUND(PRODUCT(R48,AA7:AA47),0),ROUND(PRODUCT(R48,AA7:AA47),1))</f>
        <v>#DIV/0!</v>
      </c>
      <c r="S49" s="3302"/>
      <c r="T49" s="3302" t="e">
        <f>IF(F1="售价",ROUND(PRODUCT(T48,AB7:AB47),0),ROUND(PRODUCT(T48,AB7:AB47),1))</f>
        <v>#DIV/0!</v>
      </c>
      <c r="U49" s="3302"/>
      <c r="V49" s="3302" t="e">
        <f>IF(F1="售价",ROUND(PRODUCT(V48,AC7:AC47),0),ROUND(PRODUCT(V48,AC7:AC47),1))</f>
        <v>#DIV/0!</v>
      </c>
      <c r="W49" s="3302"/>
      <c r="X49" s="405"/>
      <c r="Y49" s="405"/>
      <c r="Z49" s="405"/>
      <c r="AA49" s="405"/>
      <c r="AB49" s="405"/>
      <c r="AC49" s="586"/>
    </row>
    <row r="50" spans="1:29" ht="15.75" thickBot="1">
      <c r="A50" s="449" t="s">
        <v>2492</v>
      </c>
      <c r="B50" s="450"/>
      <c r="C50" s="1325" t="e">
        <f>R50</f>
        <v>#DIV/0!</v>
      </c>
      <c r="D50" s="1325"/>
      <c r="E50" s="1325"/>
      <c r="F50" s="1325"/>
      <c r="G50" s="1325"/>
      <c r="H50" s="1325"/>
      <c r="I50" s="1325"/>
      <c r="J50" s="451"/>
      <c r="K50" s="724"/>
      <c r="L50" s="2955"/>
      <c r="M50" s="2947"/>
      <c r="N50" s="2947"/>
      <c r="O50" s="2947"/>
      <c r="P50" s="3324" t="str">
        <f>A50</f>
        <v>估价对象XX用房的比较价值（楼面单价，元/平方米）</v>
      </c>
      <c r="Q50" s="3325"/>
      <c r="R50" s="3326" t="e">
        <f>IF(F1="售价",ROUND(IF(D49="简单平均",AVERAGE(R49:V49),R49*F49+T49*H49+V49*J49),0),ROUND(IF(D49="简单平均",AVERAGE(R49:V49),R49*F49+T49*H49+V49*J49),1))</f>
        <v>#DIV/0!</v>
      </c>
      <c r="S50" s="3326"/>
      <c r="T50" s="3326"/>
      <c r="U50" s="3326"/>
      <c r="V50" s="3326"/>
      <c r="W50" s="3326"/>
      <c r="X50" s="2134"/>
      <c r="Y50" s="2134"/>
      <c r="Z50" s="2134"/>
      <c r="AA50" s="2134"/>
      <c r="AB50" s="2134"/>
      <c r="AC50" s="2135"/>
    </row>
    <row r="51" spans="1:29">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c r="A53" s="2956"/>
      <c r="B53" s="2956"/>
      <c r="C53" s="454" t="s">
        <v>2493</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c r="A54" s="2956"/>
      <c r="B54" s="2956"/>
      <c r="C54" s="454" t="s">
        <v>2494</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c r="A55" s="2959"/>
      <c r="B55" s="2959"/>
      <c r="C55" s="454" t="s">
        <v>2495</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1.75" thickBot="1">
      <c r="A58" s="703" t="s">
        <v>2496</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ht="15">
      <c r="A59" s="462" t="s">
        <v>2370</v>
      </c>
      <c r="B59" s="463"/>
      <c r="C59" s="1346" t="str">
        <f>YEAR(C7)&amp;"-"&amp;MONTH(C7)</f>
        <v>2020-9</v>
      </c>
      <c r="D59" s="1347">
        <f>EDATE(C59,-1)</f>
        <v>44044</v>
      </c>
      <c r="E59" s="1347">
        <f>EDATE(D59,-1)</f>
        <v>44013</v>
      </c>
      <c r="F59" s="1347">
        <f t="shared" ref="F59:O59" si="16">EDATE(E59,-1)</f>
        <v>43983</v>
      </c>
      <c r="G59" s="1347">
        <f t="shared" si="16"/>
        <v>43952</v>
      </c>
      <c r="H59" s="1347">
        <f t="shared" si="16"/>
        <v>43922</v>
      </c>
      <c r="I59" s="1347">
        <f t="shared" si="16"/>
        <v>43891</v>
      </c>
      <c r="J59" s="1347">
        <f t="shared" si="16"/>
        <v>43862</v>
      </c>
      <c r="K59" s="1347">
        <f t="shared" si="16"/>
        <v>43831</v>
      </c>
      <c r="L59" s="1347">
        <f t="shared" si="16"/>
        <v>43800</v>
      </c>
      <c r="M59" s="1347">
        <f t="shared" si="16"/>
        <v>43770</v>
      </c>
      <c r="N59" s="1347">
        <f t="shared" si="16"/>
        <v>43739</v>
      </c>
      <c r="O59" s="1347">
        <f t="shared" si="16"/>
        <v>43709</v>
      </c>
      <c r="P59" s="2990"/>
      <c r="Q59" s="2972"/>
      <c r="R59" s="2972"/>
      <c r="S59" s="2972"/>
      <c r="T59" s="2972"/>
      <c r="U59" s="2972"/>
      <c r="V59" s="2972"/>
      <c r="W59" s="2972"/>
      <c r="X59" s="2972"/>
      <c r="Y59" s="2972"/>
      <c r="Z59" s="2972"/>
      <c r="AA59" s="2972"/>
      <c r="AB59" s="2972"/>
      <c r="AC59" s="2972"/>
    </row>
    <row r="60" spans="1:29" s="113" customFormat="1" ht="15">
      <c r="A60" s="466"/>
      <c r="B60" s="467"/>
      <c r="C60" s="1345">
        <v>100</v>
      </c>
      <c r="D60" s="469"/>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75" thickBot="1">
      <c r="A61" s="472" t="s">
        <v>2407</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ht="15">
      <c r="A62" s="478" t="s">
        <v>2372</v>
      </c>
      <c r="B62" s="467"/>
      <c r="C62" s="479" t="s">
        <v>2474</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5.75" thickBot="1">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c r="A64" s="484" t="s">
        <v>2410</v>
      </c>
      <c r="B64" s="485" t="s">
        <v>2376</v>
      </c>
      <c r="C64" s="486">
        <f>C9</f>
        <v>0</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5.75" thickBot="1">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7.75" thickTop="1">
      <c r="A66" s="491"/>
      <c r="B66" s="495" t="s">
        <v>2379</v>
      </c>
      <c r="C66" s="496" t="s">
        <v>2411</v>
      </c>
      <c r="D66" s="496" t="s">
        <v>2412</v>
      </c>
      <c r="E66" s="496" t="s">
        <v>2413</v>
      </c>
      <c r="F66" s="496" t="s">
        <v>2414</v>
      </c>
      <c r="G66" s="496" t="s">
        <v>2415</v>
      </c>
      <c r="H66" s="496" t="s">
        <v>2416</v>
      </c>
      <c r="I66" s="496" t="s">
        <v>2417</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75" thickTop="1">
      <c r="A68" s="491"/>
      <c r="B68" s="503" t="s">
        <v>2380</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ht="15">
      <c r="A69" s="491"/>
      <c r="B69" s="505"/>
      <c r="C69" s="506"/>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5.75" thickTop="1">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5.75" thickBot="1">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5.75" thickTop="1">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5.75" thickBot="1">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5.75" thickTop="1">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5.75" thickBot="1">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c r="A77" s="484" t="s">
        <v>2381</v>
      </c>
      <c r="B77" s="485" t="s">
        <v>2519</v>
      </c>
      <c r="C77" s="530" t="s">
        <v>2419</v>
      </c>
      <c r="D77" s="530" t="s">
        <v>2420</v>
      </c>
      <c r="E77" s="530" t="s">
        <v>2421</v>
      </c>
      <c r="F77" s="530" t="s">
        <v>2422</v>
      </c>
      <c r="G77" s="530" t="s">
        <v>2423</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75" thickTop="1">
      <c r="A79" s="491"/>
      <c r="B79" s="495" t="s">
        <v>2424</v>
      </c>
      <c r="C79" s="535" t="s">
        <v>2419</v>
      </c>
      <c r="D79" s="535" t="s">
        <v>2420</v>
      </c>
      <c r="E79" s="535" t="s">
        <v>2421</v>
      </c>
      <c r="F79" s="535" t="s">
        <v>2422</v>
      </c>
      <c r="G79" s="535" t="s">
        <v>2423</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75" thickTop="1">
      <c r="A81" s="491"/>
      <c r="B81" s="495" t="s">
        <v>2425</v>
      </c>
      <c r="C81" s="535" t="s">
        <v>2419</v>
      </c>
      <c r="D81" s="535" t="s">
        <v>2420</v>
      </c>
      <c r="E81" s="535" t="s">
        <v>2421</v>
      </c>
      <c r="F81" s="535" t="s">
        <v>2422</v>
      </c>
      <c r="G81" s="535" t="s">
        <v>2423</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75" thickTop="1">
      <c r="A83" s="491"/>
      <c r="B83" s="503" t="s">
        <v>2511</v>
      </c>
      <c r="C83" s="616" t="s">
        <v>2497</v>
      </c>
      <c r="D83" s="616" t="s">
        <v>2498</v>
      </c>
      <c r="E83" s="616" t="s">
        <v>2499</v>
      </c>
      <c r="F83" s="616" t="s">
        <v>2500</v>
      </c>
      <c r="G83" s="616" t="s">
        <v>2501</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75" thickTop="1">
      <c r="A85" s="491"/>
      <c r="B85" s="495" t="s">
        <v>2520</v>
      </c>
      <c r="C85" s="535" t="s">
        <v>2419</v>
      </c>
      <c r="D85" s="535" t="s">
        <v>2420</v>
      </c>
      <c r="E85" s="535" t="s">
        <v>2421</v>
      </c>
      <c r="F85" s="535" t="s">
        <v>2422</v>
      </c>
      <c r="G85" s="535" t="s">
        <v>2423</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7.75" thickTop="1">
      <c r="A87" s="536"/>
      <c r="B87" s="495" t="s">
        <v>2521</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75" thickTop="1">
      <c r="A89" s="536"/>
      <c r="B89" s="495" t="str">
        <f>B27</f>
        <v>楼层</v>
      </c>
      <c r="C89" s="511"/>
      <c r="D89" s="511"/>
      <c r="E89" s="511"/>
      <c r="F89" s="2115"/>
      <c r="G89" s="511"/>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5"/>
      <c r="O90" s="2985"/>
      <c r="P90" s="2993"/>
      <c r="Q90" s="2970"/>
      <c r="R90" s="2890"/>
      <c r="S90" s="2890"/>
      <c r="T90" s="2890"/>
      <c r="U90" s="2890"/>
      <c r="V90" s="2890"/>
      <c r="W90" s="2890"/>
      <c r="X90" s="2890"/>
      <c r="Y90" s="2890"/>
      <c r="Z90" s="2890"/>
      <c r="AA90" s="2890"/>
      <c r="AB90" s="2890"/>
      <c r="AC90" s="2890"/>
    </row>
    <row r="91" spans="1:29" s="430" customFormat="1" ht="15.75" thickTop="1">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5.75" thickTop="1">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5.75" thickTop="1">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5.75" thickTop="1">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5.75" thickBot="1">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5.75" thickTop="1">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5.75" thickBot="1">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c r="A101" s="484" t="s">
        <v>2385</v>
      </c>
      <c r="B101" s="485" t="s">
        <v>2434</v>
      </c>
      <c r="C101" s="487"/>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5"/>
      <c r="O102" s="2985"/>
      <c r="P102" s="2993"/>
      <c r="Q102" s="2970"/>
      <c r="R102" s="2956"/>
      <c r="S102" s="2956"/>
      <c r="T102" s="2956"/>
      <c r="U102" s="2956"/>
      <c r="V102" s="2956"/>
      <c r="W102" s="2956"/>
      <c r="X102" s="2956"/>
      <c r="Y102" s="2956"/>
      <c r="Z102" s="2956"/>
      <c r="AA102" s="2956"/>
      <c r="AB102" s="2956"/>
      <c r="AC102" s="2956"/>
    </row>
    <row r="103" spans="1:29" ht="15.75" thickTop="1">
      <c r="A103" s="491"/>
      <c r="B103" s="495" t="s">
        <v>2435</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c r="A104" s="550"/>
      <c r="B104" s="551"/>
      <c r="C104" s="552"/>
      <c r="D104" s="552"/>
      <c r="E104" s="552"/>
      <c r="F104" s="552"/>
      <c r="G104" s="552"/>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5.75" thickBot="1">
      <c r="A105" s="510"/>
      <c r="B105" s="500"/>
      <c r="C105" s="517"/>
      <c r="D105" s="493"/>
      <c r="E105" s="493"/>
      <c r="F105" s="493"/>
      <c r="G105" s="493"/>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c r="A106" s="556"/>
      <c r="B106" s="495" t="s">
        <v>2436</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5"/>
      <c r="O107" s="2985"/>
      <c r="P107" s="2993"/>
      <c r="Q107" s="2970"/>
      <c r="R107" s="2956"/>
      <c r="S107" s="2956"/>
      <c r="T107" s="2956"/>
      <c r="U107" s="2956"/>
      <c r="V107" s="2956"/>
      <c r="W107" s="2956"/>
      <c r="X107" s="2956"/>
      <c r="Y107" s="2956"/>
      <c r="Z107" s="2956"/>
      <c r="AA107" s="2956"/>
      <c r="AB107" s="2956"/>
      <c r="AC107" s="2956"/>
    </row>
    <row r="108" spans="1:29" ht="15" thickTop="1">
      <c r="A108" s="556"/>
      <c r="B108" s="495" t="s">
        <v>2438</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5"/>
      <c r="O109" s="2985"/>
      <c r="P109" s="2993"/>
      <c r="Q109" s="2970"/>
      <c r="R109" s="2956"/>
      <c r="S109" s="2956"/>
      <c r="T109" s="2956"/>
      <c r="U109" s="2956"/>
      <c r="V109" s="2956"/>
      <c r="W109" s="2956"/>
      <c r="X109" s="2956"/>
      <c r="Y109" s="2956"/>
      <c r="Z109" s="2956"/>
      <c r="AA109" s="2956"/>
      <c r="AB109" s="2956"/>
      <c r="AC109" s="2956"/>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c r="A113" s="550"/>
      <c r="B113" s="495" t="s">
        <v>2522</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6"/>
      <c r="O114" s="2986"/>
      <c r="P114" s="2994"/>
      <c r="Q114" s="2977"/>
      <c r="R114" s="2978"/>
      <c r="S114" s="2978"/>
      <c r="T114" s="2978"/>
      <c r="U114" s="2978"/>
      <c r="V114" s="2978"/>
      <c r="W114" s="2978"/>
      <c r="X114" s="2978"/>
      <c r="Y114" s="2978"/>
      <c r="Z114" s="2978"/>
      <c r="AA114" s="2978"/>
      <c r="AB114" s="2978"/>
      <c r="AC114" s="2978"/>
    </row>
    <row r="115" spans="1:29" ht="15" thickTop="1">
      <c r="A115" s="556"/>
      <c r="B115" s="495" t="s">
        <v>2439</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5"/>
      <c r="O116" s="2985"/>
      <c r="P116" s="2993"/>
      <c r="Q116" s="2970"/>
      <c r="R116" s="2956"/>
      <c r="S116" s="2956"/>
      <c r="T116" s="2956"/>
      <c r="U116" s="2956"/>
      <c r="V116" s="2956"/>
      <c r="W116" s="2956"/>
      <c r="X116" s="2956"/>
      <c r="Y116" s="2956"/>
      <c r="Z116" s="2956"/>
      <c r="AA116" s="2956"/>
      <c r="AB116" s="2956"/>
      <c r="AC116" s="2956"/>
    </row>
    <row r="117" spans="1:29" ht="15" thickTop="1">
      <c r="A117" s="556"/>
      <c r="B117" s="495" t="s">
        <v>2440</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c r="A119" s="556"/>
      <c r="B119" s="592" t="s">
        <v>2523</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c r="A121" s="550"/>
      <c r="B121" s="495" t="s">
        <v>2506</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5.75" thickBot="1">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c r="A123" s="556"/>
      <c r="B123" s="495" t="s">
        <v>2442</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5"/>
      <c r="O124" s="2985"/>
      <c r="P124" s="2993"/>
      <c r="Q124" s="2970"/>
      <c r="R124" s="2956"/>
      <c r="S124" s="2956"/>
      <c r="T124" s="2956"/>
      <c r="U124" s="2956"/>
      <c r="V124" s="2956"/>
      <c r="W124" s="2956"/>
      <c r="X124" s="2956"/>
      <c r="Y124" s="2956"/>
      <c r="Z124" s="2956"/>
      <c r="AA124" s="2956"/>
      <c r="AB124" s="2956"/>
      <c r="AC124" s="2956"/>
    </row>
    <row r="125" spans="1:29" ht="15" thickTop="1">
      <c r="A125" s="556"/>
      <c r="B125" s="495" t="s">
        <v>2443</v>
      </c>
      <c r="C125" s="535" t="s">
        <v>2419</v>
      </c>
      <c r="D125" s="535" t="s">
        <v>2420</v>
      </c>
      <c r="E125" s="535" t="s">
        <v>2421</v>
      </c>
      <c r="F125" s="535" t="s">
        <v>2422</v>
      </c>
      <c r="G125" s="535" t="s">
        <v>2423</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5" thickTop="1">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5.75" thickBot="1">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5" thickTop="1">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5.75" thickBot="1">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5" thickTop="1">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5.75" thickBot="1">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U518" sqref="U51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2350</v>
      </c>
      <c r="B1" s="2145" t="s">
        <v>2524</v>
      </c>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IF(C2="——",ROUND(C43*D3/10000,0),ROUND(C43*D3/10000,0)-D2)</f>
        <v>#DIV/0!</v>
      </c>
      <c r="C2" s="2069"/>
      <c r="D2" s="1038" t="e">
        <f ca="1">SUMIF(INDIRECT("'"&amp;F2&amp;"'"&amp;"!A:A"),"承租人权益价值",INDIRECT("'"&amp;F2&amp;"'"&amp;"!c:c"))</f>
        <v>#REF!</v>
      </c>
      <c r="E2" s="2070" t="s">
        <v>2150</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2151</v>
      </c>
      <c r="B3" s="566" t="e">
        <f ca="1">IF(C2="——",C43,ROUND(B2*10000/D3,0))</f>
        <v>#DIV/0!</v>
      </c>
      <c r="C3" s="360" t="s">
        <v>2466</v>
      </c>
      <c r="D3" s="359">
        <f>IF(D1="",'数据-汇总表'!E3,SUMIF('数据-汇总表'!$C19:$C33,D1,'数据-汇总表'!$E19:$E33))</f>
        <v>8276.64</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2467</v>
      </c>
      <c r="B4" s="362"/>
      <c r="C4" s="3284" t="s">
        <v>2468</v>
      </c>
      <c r="D4" s="3285"/>
      <c r="E4" s="3286" t="s">
        <v>2469</v>
      </c>
      <c r="F4" s="3287"/>
      <c r="G4" s="3284" t="s">
        <v>2470</v>
      </c>
      <c r="H4" s="3285"/>
      <c r="I4" s="3284" t="s">
        <v>2471</v>
      </c>
      <c r="J4" s="3285"/>
      <c r="K4" s="567" t="s">
        <v>2472</v>
      </c>
      <c r="L4" s="1044"/>
      <c r="M4" s="1045"/>
      <c r="N4" s="1045"/>
      <c r="O4" s="1045"/>
      <c r="P4" s="3288" t="s">
        <v>2473</v>
      </c>
      <c r="Q4" s="3289"/>
      <c r="R4" s="3271" t="s">
        <v>2469</v>
      </c>
      <c r="S4" s="3272"/>
      <c r="T4" s="3271" t="s">
        <v>2470</v>
      </c>
      <c r="U4" s="3272"/>
      <c r="V4" s="3296" t="s">
        <v>2471</v>
      </c>
      <c r="W4" s="3296"/>
      <c r="X4" s="1541"/>
      <c r="Y4" s="3271" t="s">
        <v>2473</v>
      </c>
      <c r="Z4" s="3272"/>
      <c r="AA4" s="3266" t="s">
        <v>2469</v>
      </c>
      <c r="AB4" s="3267" t="s">
        <v>2470</v>
      </c>
      <c r="AC4" s="3266" t="s">
        <v>2471</v>
      </c>
    </row>
    <row r="5" spans="1:29" ht="15">
      <c r="A5" s="364"/>
      <c r="B5" s="365"/>
      <c r="C5" s="3277" t="s">
        <v>2364</v>
      </c>
      <c r="D5" s="3278"/>
      <c r="E5" s="3275" t="s">
        <v>2365</v>
      </c>
      <c r="F5" s="3276"/>
      <c r="G5" s="3277" t="s">
        <v>2366</v>
      </c>
      <c r="H5" s="3278"/>
      <c r="I5" s="3277" t="s">
        <v>2367</v>
      </c>
      <c r="J5" s="3278"/>
      <c r="K5" s="567"/>
      <c r="L5" s="1044"/>
      <c r="M5" s="1045"/>
      <c r="N5" s="1045"/>
      <c r="O5" s="1045"/>
      <c r="P5" s="3290"/>
      <c r="Q5" s="3291"/>
      <c r="R5" s="3273"/>
      <c r="S5" s="3274"/>
      <c r="T5" s="3273"/>
      <c r="U5" s="3274"/>
      <c r="V5" s="3296"/>
      <c r="W5" s="3296"/>
      <c r="X5" s="1541"/>
      <c r="Y5" s="3273"/>
      <c r="Z5" s="3274"/>
      <c r="AA5" s="3267"/>
      <c r="AB5" s="3267"/>
      <c r="AC5" s="3267"/>
    </row>
    <row r="6" spans="1:29" ht="15.75" thickBot="1">
      <c r="A6" s="366"/>
      <c r="B6" s="367"/>
      <c r="C6" s="3279" t="s">
        <v>2368</v>
      </c>
      <c r="D6" s="3280"/>
      <c r="E6" s="3281" t="s">
        <v>2368</v>
      </c>
      <c r="F6" s="3282"/>
      <c r="G6" s="3279" t="s">
        <v>2368</v>
      </c>
      <c r="H6" s="3280"/>
      <c r="I6" s="3279" t="s">
        <v>2368</v>
      </c>
      <c r="J6" s="3280"/>
      <c r="K6" s="567" t="s">
        <v>2369</v>
      </c>
      <c r="L6" s="1044"/>
      <c r="M6" s="1045"/>
      <c r="N6" s="1045"/>
      <c r="O6" s="1045"/>
      <c r="P6" s="3292"/>
      <c r="Q6" s="3293"/>
      <c r="R6" s="3273"/>
      <c r="S6" s="3274"/>
      <c r="T6" s="3294"/>
      <c r="U6" s="3295"/>
      <c r="V6" s="3296"/>
      <c r="W6" s="3296"/>
      <c r="X6" s="1541"/>
      <c r="Y6" s="3294"/>
      <c r="Z6" s="3295"/>
      <c r="AA6" s="3268"/>
      <c r="AB6" s="3268"/>
      <c r="AC6" s="3268"/>
    </row>
    <row r="7" spans="1:29" s="113" customFormat="1" ht="15.75" thickBot="1">
      <c r="A7" s="368" t="s">
        <v>2370</v>
      </c>
      <c r="B7" s="369"/>
      <c r="C7" s="370">
        <f>'数据-取费表'!B2</f>
        <v>44076</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69" t="s">
        <v>2371</v>
      </c>
      <c r="Q7" s="3297"/>
      <c r="R7" s="710" t="s">
        <v>17</v>
      </c>
      <c r="S7" s="711">
        <f t="shared" ref="S7:S15" si="0">F7</f>
        <v>0</v>
      </c>
      <c r="T7" s="710" t="s">
        <v>17</v>
      </c>
      <c r="U7" s="711">
        <f t="shared" ref="U7:U15" si="1">H7</f>
        <v>0</v>
      </c>
      <c r="V7" s="710" t="s">
        <v>17</v>
      </c>
      <c r="W7" s="711">
        <f t="shared" ref="W7:W15" si="2">J7</f>
        <v>0</v>
      </c>
      <c r="X7" s="712"/>
      <c r="Y7" s="3269" t="s">
        <v>2371</v>
      </c>
      <c r="Z7" s="3270"/>
      <c r="AA7" s="713" t="e">
        <f>D7/F7</f>
        <v>#DIV/0!</v>
      </c>
      <c r="AB7" s="713" t="e">
        <f>D7/H7</f>
        <v>#DIV/0!</v>
      </c>
      <c r="AC7" s="713" t="e">
        <f>D7/J7</f>
        <v>#DIV/0!</v>
      </c>
    </row>
    <row r="8" spans="1:29" s="113" customFormat="1" ht="15.75" thickBot="1">
      <c r="A8" s="368" t="s">
        <v>2372</v>
      </c>
      <c r="B8" s="369"/>
      <c r="C8" s="374" t="s">
        <v>2373</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69" t="s">
        <v>2374</v>
      </c>
      <c r="Q8" s="3270"/>
      <c r="R8" s="710" t="s">
        <v>17</v>
      </c>
      <c r="S8" s="711">
        <f t="shared" si="0"/>
        <v>0</v>
      </c>
      <c r="T8" s="710" t="s">
        <v>17</v>
      </c>
      <c r="U8" s="711">
        <f t="shared" si="1"/>
        <v>0</v>
      </c>
      <c r="V8" s="710" t="s">
        <v>17</v>
      </c>
      <c r="W8" s="711">
        <f t="shared" si="2"/>
        <v>0</v>
      </c>
      <c r="X8" s="712"/>
      <c r="Y8" s="3269" t="s">
        <v>2374</v>
      </c>
      <c r="Z8" s="3270"/>
      <c r="AA8" s="713" t="e">
        <f t="shared" ref="AA8:AA40" si="3">D8/F8</f>
        <v>#DIV/0!</v>
      </c>
      <c r="AB8" s="713" t="e">
        <f t="shared" ref="AB8:AB40" si="4">D8/H8</f>
        <v>#DIV/0!</v>
      </c>
      <c r="AC8" s="713" t="e">
        <f t="shared" ref="AC8:AC40" si="5">D8/J8</f>
        <v>#DIV/0!</v>
      </c>
    </row>
    <row r="9" spans="1:29" s="113" customFormat="1">
      <c r="A9" s="375" t="s">
        <v>2375</v>
      </c>
      <c r="B9" s="67" t="s">
        <v>2376</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01" t="s">
        <v>2377</v>
      </c>
      <c r="Q9" s="1529" t="str">
        <f t="shared" ref="Q9:Q15" si="6">B9</f>
        <v>用途</v>
      </c>
      <c r="R9" s="710" t="s">
        <v>17</v>
      </c>
      <c r="S9" s="711">
        <f t="shared" si="0"/>
        <v>100</v>
      </c>
      <c r="T9" s="710" t="s">
        <v>17</v>
      </c>
      <c r="U9" s="711">
        <f t="shared" si="1"/>
        <v>100</v>
      </c>
      <c r="V9" s="710" t="s">
        <v>17</v>
      </c>
      <c r="W9" s="711">
        <f t="shared" si="2"/>
        <v>100</v>
      </c>
      <c r="X9" s="712"/>
      <c r="Y9" s="3211" t="s">
        <v>2378</v>
      </c>
      <c r="Z9" s="55" t="str">
        <f t="shared" ref="Z9:Z15" si="7">Q9</f>
        <v>用途</v>
      </c>
      <c r="AA9" s="713">
        <f t="shared" si="3"/>
        <v>1</v>
      </c>
      <c r="AB9" s="713">
        <f t="shared" si="4"/>
        <v>1</v>
      </c>
      <c r="AC9" s="713">
        <f t="shared" si="5"/>
        <v>1</v>
      </c>
    </row>
    <row r="10" spans="1:29" s="386" customFormat="1" ht="27">
      <c r="A10" s="380"/>
      <c r="B10" s="381" t="s">
        <v>2379</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01"/>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381" t="s">
        <v>2380</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01"/>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301"/>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713">
        <f t="shared" si="5"/>
        <v>1</v>
      </c>
    </row>
    <row r="15" spans="1:29" ht="57">
      <c r="A15" s="399" t="s">
        <v>2381</v>
      </c>
      <c r="B15" s="65" t="s">
        <v>2525</v>
      </c>
      <c r="C15" s="215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03" t="s">
        <v>2382</v>
      </c>
      <c r="Q15" s="1538" t="str">
        <f t="shared" si="6"/>
        <v>产业集聚程度</v>
      </c>
      <c r="R15" s="714" t="s">
        <v>17</v>
      </c>
      <c r="S15" s="715">
        <f t="shared" si="0"/>
        <v>100</v>
      </c>
      <c r="T15" s="714" t="s">
        <v>17</v>
      </c>
      <c r="U15" s="715">
        <f t="shared" si="1"/>
        <v>100</v>
      </c>
      <c r="V15" s="714" t="s">
        <v>17</v>
      </c>
      <c r="W15" s="715">
        <f t="shared" si="2"/>
        <v>100</v>
      </c>
      <c r="X15" s="1541"/>
      <c r="Y15" s="3303" t="s">
        <v>2382</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04"/>
      <c r="Q16" s="1538"/>
      <c r="R16" s="714"/>
      <c r="S16" s="715"/>
      <c r="T16" s="714"/>
      <c r="U16" s="715"/>
      <c r="V16" s="714"/>
      <c r="W16" s="715"/>
      <c r="X16" s="1541"/>
      <c r="Y16" s="3304"/>
      <c r="Z16" s="1542"/>
      <c r="AA16" s="1539">
        <v>1</v>
      </c>
      <c r="AB16" s="1539">
        <v>1</v>
      </c>
      <c r="AC16" s="1539">
        <v>1</v>
      </c>
    </row>
    <row r="17" spans="1:29" ht="85.5">
      <c r="A17" s="387"/>
      <c r="B17" s="410" t="s">
        <v>1946</v>
      </c>
      <c r="C17" s="208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4"/>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1054"/>
      <c r="M18" s="1045"/>
      <c r="N18" s="1045"/>
      <c r="O18" s="1053"/>
      <c r="P18" s="3304"/>
      <c r="Q18" s="1538"/>
      <c r="R18" s="714"/>
      <c r="S18" s="715"/>
      <c r="T18" s="714"/>
      <c r="U18" s="715"/>
      <c r="V18" s="714"/>
      <c r="W18" s="715"/>
      <c r="X18" s="1541"/>
      <c r="Y18" s="3304"/>
      <c r="Z18" s="1542"/>
      <c r="AA18" s="1539">
        <v>1</v>
      </c>
      <c r="AB18" s="1539">
        <v>1</v>
      </c>
      <c r="AC18" s="1539">
        <v>1</v>
      </c>
    </row>
    <row r="19" spans="1:29" ht="42.75">
      <c r="A19" s="387"/>
      <c r="B19" s="410" t="s">
        <v>2510</v>
      </c>
      <c r="C19" s="208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4"/>
      <c r="Q19" s="1538" t="str">
        <f>B19</f>
        <v>公共配套设施</v>
      </c>
      <c r="R19" s="714" t="s">
        <v>17</v>
      </c>
      <c r="S19" s="715">
        <f>F19</f>
        <v>100</v>
      </c>
      <c r="T19" s="714" t="s">
        <v>17</v>
      </c>
      <c r="U19" s="715">
        <f>H19</f>
        <v>100</v>
      </c>
      <c r="V19" s="714" t="s">
        <v>17</v>
      </c>
      <c r="W19" s="715">
        <f>J19</f>
        <v>100</v>
      </c>
      <c r="X19" s="1541"/>
      <c r="Y19" s="3304"/>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1054"/>
      <c r="M20" s="1045"/>
      <c r="N20" s="1045"/>
      <c r="O20" s="1053"/>
      <c r="P20" s="3304"/>
      <c r="Q20" s="1538"/>
      <c r="R20" s="714"/>
      <c r="S20" s="715"/>
      <c r="T20" s="714"/>
      <c r="U20" s="715"/>
      <c r="V20" s="714"/>
      <c r="W20" s="715"/>
      <c r="X20" s="1541"/>
      <c r="Y20" s="3304"/>
      <c r="Z20" s="1542"/>
      <c r="AA20" s="1539">
        <v>1</v>
      </c>
      <c r="AB20" s="1539">
        <v>1</v>
      </c>
      <c r="AC20" s="1539">
        <v>1</v>
      </c>
    </row>
    <row r="21" spans="1:29" ht="28.5">
      <c r="A21" s="387"/>
      <c r="B21" s="1293" t="s">
        <v>2511</v>
      </c>
      <c r="C21" s="208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4"/>
      <c r="Q21" s="1538" t="str">
        <f>B21</f>
        <v>基础设施水平</v>
      </c>
      <c r="R21" s="714" t="s">
        <v>17</v>
      </c>
      <c r="S21" s="715">
        <f>F21</f>
        <v>100</v>
      </c>
      <c r="T21" s="714" t="s">
        <v>17</v>
      </c>
      <c r="U21" s="715">
        <f>H21</f>
        <v>100</v>
      </c>
      <c r="V21" s="714" t="s">
        <v>17</v>
      </c>
      <c r="W21" s="715">
        <f>J21</f>
        <v>100</v>
      </c>
      <c r="X21" s="1541"/>
      <c r="Y21" s="3304"/>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1054"/>
      <c r="M22" s="1045"/>
      <c r="N22" s="1045"/>
      <c r="O22" s="1053"/>
      <c r="P22" s="3304"/>
      <c r="Q22" s="1538"/>
      <c r="R22" s="714"/>
      <c r="S22" s="715"/>
      <c r="T22" s="714"/>
      <c r="U22" s="715"/>
      <c r="V22" s="714"/>
      <c r="W22" s="715"/>
      <c r="X22" s="1541"/>
      <c r="Y22" s="3304"/>
      <c r="Z22" s="1542"/>
      <c r="AA22" s="1539">
        <v>1</v>
      </c>
      <c r="AB22" s="1539">
        <v>1</v>
      </c>
      <c r="AC22" s="1539">
        <v>1</v>
      </c>
    </row>
    <row r="23" spans="1:29" ht="71.25">
      <c r="A23" s="387"/>
      <c r="B23" s="410" t="s">
        <v>2512</v>
      </c>
      <c r="C23" s="208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4"/>
      <c r="Q23" s="1538" t="str">
        <f>B23</f>
        <v>环境质量</v>
      </c>
      <c r="R23" s="714" t="s">
        <v>17</v>
      </c>
      <c r="S23" s="715">
        <f>F23</f>
        <v>100</v>
      </c>
      <c r="T23" s="714" t="s">
        <v>17</v>
      </c>
      <c r="U23" s="715">
        <f>H23</f>
        <v>100</v>
      </c>
      <c r="V23" s="714" t="s">
        <v>17</v>
      </c>
      <c r="W23" s="715">
        <f>J23</f>
        <v>100</v>
      </c>
      <c r="X23" s="1541"/>
      <c r="Y23" s="3304"/>
      <c r="Z23" s="1542" t="str">
        <f>Q23</f>
        <v>环境质量</v>
      </c>
      <c r="AA23" s="1539">
        <f t="shared" si="3"/>
        <v>1</v>
      </c>
      <c r="AB23" s="1539">
        <f t="shared" si="4"/>
        <v>1</v>
      </c>
      <c r="AC23" s="1539">
        <f t="shared" si="5"/>
        <v>1</v>
      </c>
    </row>
    <row r="24" spans="1:29" ht="15">
      <c r="A24" s="387"/>
      <c r="B24" s="1293"/>
      <c r="C24" s="406"/>
      <c r="D24" s="407"/>
      <c r="E24" s="2086"/>
      <c r="F24" s="408"/>
      <c r="G24" s="2085"/>
      <c r="H24" s="407"/>
      <c r="I24" s="2086"/>
      <c r="J24" s="407"/>
      <c r="K24" s="572"/>
      <c r="L24" s="1054"/>
      <c r="M24" s="1045"/>
      <c r="N24" s="1045"/>
      <c r="O24" s="1053"/>
      <c r="P24" s="3304"/>
      <c r="Q24" s="1538"/>
      <c r="R24" s="714"/>
      <c r="S24" s="715"/>
      <c r="T24" s="714"/>
      <c r="U24" s="715"/>
      <c r="V24" s="714"/>
      <c r="W24" s="715"/>
      <c r="X24" s="1541"/>
      <c r="Y24" s="3304"/>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4"/>
      <c r="Q25" s="1538">
        <f>B25</f>
        <v>111</v>
      </c>
      <c r="R25" s="714" t="s">
        <v>17</v>
      </c>
      <c r="S25" s="715">
        <f>F25</f>
        <v>100</v>
      </c>
      <c r="T25" s="714" t="s">
        <v>17</v>
      </c>
      <c r="U25" s="715">
        <f>H25</f>
        <v>100</v>
      </c>
      <c r="V25" s="714" t="s">
        <v>17</v>
      </c>
      <c r="W25" s="715">
        <f>J25</f>
        <v>100</v>
      </c>
      <c r="X25" s="1541"/>
      <c r="Y25" s="3304"/>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4"/>
      <c r="Q26" s="1538">
        <f t="shared" ref="Q26:Q40" si="11">B26</f>
        <v>111</v>
      </c>
      <c r="R26" s="714" t="s">
        <v>17</v>
      </c>
      <c r="S26" s="715">
        <f>F26</f>
        <v>100</v>
      </c>
      <c r="T26" s="714" t="s">
        <v>17</v>
      </c>
      <c r="U26" s="715">
        <f>H26</f>
        <v>100</v>
      </c>
      <c r="V26" s="714" t="s">
        <v>17</v>
      </c>
      <c r="W26" s="715">
        <f>J26</f>
        <v>100</v>
      </c>
      <c r="X26" s="1541"/>
      <c r="Y26" s="3304"/>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4"/>
      <c r="Q27" s="1529">
        <f t="shared" si="11"/>
        <v>111</v>
      </c>
      <c r="R27" s="710" t="s">
        <v>17</v>
      </c>
      <c r="S27" s="711">
        <f>F27</f>
        <v>100</v>
      </c>
      <c r="T27" s="710" t="s">
        <v>17</v>
      </c>
      <c r="U27" s="711">
        <f>H27</f>
        <v>100</v>
      </c>
      <c r="V27" s="710" t="s">
        <v>17</v>
      </c>
      <c r="W27" s="711">
        <f>J27</f>
        <v>100</v>
      </c>
      <c r="X27" s="712"/>
      <c r="Y27" s="3304"/>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4"/>
      <c r="Q28" s="1538">
        <f t="shared" si="11"/>
        <v>111</v>
      </c>
      <c r="R28" s="714" t="s">
        <v>17</v>
      </c>
      <c r="S28" s="715">
        <f t="shared" ref="S28:S40" si="12">F28</f>
        <v>100</v>
      </c>
      <c r="T28" s="714" t="s">
        <v>17</v>
      </c>
      <c r="U28" s="715">
        <f t="shared" ref="U28:U40" si="13">H28</f>
        <v>100</v>
      </c>
      <c r="V28" s="714" t="s">
        <v>17</v>
      </c>
      <c r="W28" s="715">
        <f t="shared" ref="W28:W40" si="14">J28</f>
        <v>100</v>
      </c>
      <c r="X28" s="1541"/>
      <c r="Y28" s="3304"/>
      <c r="Z28" s="1542">
        <f t="shared" ref="Z28:Z40" si="15">Q28</f>
        <v>111</v>
      </c>
      <c r="AA28" s="1539">
        <f t="shared" si="3"/>
        <v>1</v>
      </c>
      <c r="AB28" s="1539">
        <f t="shared" si="4"/>
        <v>1</v>
      </c>
      <c r="AC28" s="1539">
        <f t="shared" si="5"/>
        <v>1</v>
      </c>
    </row>
    <row r="29" spans="1:29" ht="28.5">
      <c r="A29" s="425" t="s">
        <v>2385</v>
      </c>
      <c r="B29" s="67" t="s">
        <v>2515</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327" t="s">
        <v>2387</v>
      </c>
      <c r="Q29" s="1538" t="str">
        <f t="shared" si="11"/>
        <v>建筑类型</v>
      </c>
      <c r="R29" s="714" t="s">
        <v>17</v>
      </c>
      <c r="S29" s="715">
        <f t="shared" si="12"/>
        <v>100</v>
      </c>
      <c r="T29" s="714" t="s">
        <v>17</v>
      </c>
      <c r="U29" s="715">
        <f t="shared" si="13"/>
        <v>100</v>
      </c>
      <c r="V29" s="714" t="s">
        <v>17</v>
      </c>
      <c r="W29" s="715">
        <f t="shared" si="14"/>
        <v>100</v>
      </c>
      <c r="X29" s="1541"/>
      <c r="Y29" s="3308" t="s">
        <v>2387</v>
      </c>
      <c r="Z29" s="1542" t="str">
        <f t="shared" si="15"/>
        <v>建筑类型</v>
      </c>
      <c r="AA29" s="1539">
        <f t="shared" si="3"/>
        <v>1</v>
      </c>
      <c r="AB29" s="1539">
        <f t="shared" si="4"/>
        <v>1</v>
      </c>
      <c r="AC29" s="1539">
        <f t="shared" si="5"/>
        <v>1</v>
      </c>
    </row>
    <row r="30" spans="1:29" s="430" customFormat="1" ht="15">
      <c r="A30" s="427"/>
      <c r="B30" s="381" t="s">
        <v>2388</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08"/>
      <c r="Q30" s="716" t="str">
        <f t="shared" si="11"/>
        <v>项目建筑规模</v>
      </c>
      <c r="R30" s="717" t="s">
        <v>17</v>
      </c>
      <c r="S30" s="718" t="e">
        <f t="shared" si="12"/>
        <v>#N/A</v>
      </c>
      <c r="T30" s="717" t="s">
        <v>17</v>
      </c>
      <c r="U30" s="718" t="e">
        <f t="shared" si="13"/>
        <v>#N/A</v>
      </c>
      <c r="V30" s="717" t="s">
        <v>17</v>
      </c>
      <c r="W30" s="718" t="e">
        <f t="shared" si="14"/>
        <v>#N/A</v>
      </c>
      <c r="X30" s="719"/>
      <c r="Y30" s="3308"/>
      <c r="Z30" s="720" t="str">
        <f t="shared" si="15"/>
        <v>项目建筑规模</v>
      </c>
      <c r="AA30" s="1539" t="e">
        <f t="shared" si="3"/>
        <v>#N/A</v>
      </c>
      <c r="AB30" s="1539" t="e">
        <f t="shared" si="4"/>
        <v>#N/A</v>
      </c>
      <c r="AC30" s="1539" t="e">
        <f t="shared" si="5"/>
        <v>#N/A</v>
      </c>
    </row>
    <row r="31" spans="1:29" ht="15">
      <c r="A31" s="431"/>
      <c r="B31" s="381" t="s">
        <v>2389</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08"/>
      <c r="Q31" s="1538" t="str">
        <f t="shared" si="11"/>
        <v>建筑结构</v>
      </c>
      <c r="R31" s="714" t="s">
        <v>17</v>
      </c>
      <c r="S31" s="715">
        <f t="shared" si="12"/>
        <v>100</v>
      </c>
      <c r="T31" s="714" t="s">
        <v>17</v>
      </c>
      <c r="U31" s="715">
        <f t="shared" si="13"/>
        <v>100</v>
      </c>
      <c r="V31" s="714" t="s">
        <v>17</v>
      </c>
      <c r="W31" s="715">
        <f t="shared" si="14"/>
        <v>100</v>
      </c>
      <c r="X31" s="1541"/>
      <c r="Y31" s="3308"/>
      <c r="Z31" s="1542" t="str">
        <f t="shared" si="15"/>
        <v>建筑结构</v>
      </c>
      <c r="AA31" s="1539">
        <f t="shared" si="3"/>
        <v>1</v>
      </c>
      <c r="AB31" s="1539">
        <f t="shared" si="4"/>
        <v>1</v>
      </c>
      <c r="AC31" s="1539">
        <f t="shared" si="5"/>
        <v>1</v>
      </c>
    </row>
    <row r="32" spans="1:29" ht="15">
      <c r="A32" s="431"/>
      <c r="B32" s="381" t="s">
        <v>2483</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08"/>
      <c r="Q32" s="1538" t="str">
        <f t="shared" si="11"/>
        <v>公共部分装修</v>
      </c>
      <c r="R32" s="714" t="s">
        <v>17</v>
      </c>
      <c r="S32" s="715">
        <f t="shared" si="12"/>
        <v>100</v>
      </c>
      <c r="T32" s="714" t="s">
        <v>17</v>
      </c>
      <c r="U32" s="715">
        <f t="shared" si="13"/>
        <v>100</v>
      </c>
      <c r="V32" s="714" t="s">
        <v>17</v>
      </c>
      <c r="W32" s="715">
        <f t="shared" si="14"/>
        <v>100</v>
      </c>
      <c r="X32" s="1541"/>
      <c r="Y32" s="3308"/>
      <c r="Z32" s="1542" t="str">
        <f t="shared" si="15"/>
        <v>公共部分装修</v>
      </c>
      <c r="AA32" s="1539">
        <f t="shared" si="3"/>
        <v>1</v>
      </c>
      <c r="AB32" s="1539">
        <f t="shared" si="4"/>
        <v>1</v>
      </c>
      <c r="AC32" s="1539">
        <f t="shared" si="5"/>
        <v>1</v>
      </c>
    </row>
    <row r="33" spans="1:29" ht="15">
      <c r="A33" s="431"/>
      <c r="B33" s="381" t="s">
        <v>2484</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08"/>
      <c r="Q33" s="1538" t="str">
        <f t="shared" si="11"/>
        <v>成新度</v>
      </c>
      <c r="R33" s="714" t="s">
        <v>17</v>
      </c>
      <c r="S33" s="715" t="e">
        <f t="shared" si="12"/>
        <v>#N/A</v>
      </c>
      <c r="T33" s="714" t="s">
        <v>17</v>
      </c>
      <c r="U33" s="715" t="e">
        <f t="shared" si="13"/>
        <v>#N/A</v>
      </c>
      <c r="V33" s="714" t="s">
        <v>17</v>
      </c>
      <c r="W33" s="715" t="e">
        <f t="shared" si="14"/>
        <v>#N/A</v>
      </c>
      <c r="X33" s="1541"/>
      <c r="Y33" s="3308"/>
      <c r="Z33" s="1542" t="str">
        <f t="shared" si="15"/>
        <v>成新度</v>
      </c>
      <c r="AA33" s="1539" t="e">
        <f t="shared" si="3"/>
        <v>#N/A</v>
      </c>
      <c r="AB33" s="1539" t="e">
        <f t="shared" si="4"/>
        <v>#N/A</v>
      </c>
      <c r="AC33" s="1539" t="e">
        <f t="shared" si="5"/>
        <v>#N/A</v>
      </c>
    </row>
    <row r="34" spans="1:29" s="113" customFormat="1" ht="15">
      <c r="A34" s="432"/>
      <c r="B34" s="381" t="s">
        <v>2517</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08"/>
      <c r="Q34" s="1529" t="str">
        <f t="shared" si="11"/>
        <v>物业管理</v>
      </c>
      <c r="R34" s="710" t="s">
        <v>17</v>
      </c>
      <c r="S34" s="711">
        <f t="shared" si="12"/>
        <v>100</v>
      </c>
      <c r="T34" s="710" t="s">
        <v>17</v>
      </c>
      <c r="U34" s="711">
        <f t="shared" si="13"/>
        <v>100</v>
      </c>
      <c r="V34" s="710" t="s">
        <v>17</v>
      </c>
      <c r="W34" s="711">
        <f t="shared" si="14"/>
        <v>100</v>
      </c>
      <c r="X34" s="712"/>
      <c r="Y34" s="3308"/>
      <c r="Z34" s="55" t="str">
        <f t="shared" si="15"/>
        <v>物业管理</v>
      </c>
      <c r="AA34" s="713">
        <f t="shared" si="3"/>
        <v>1</v>
      </c>
      <c r="AB34" s="713">
        <f t="shared" si="4"/>
        <v>1</v>
      </c>
      <c r="AC34" s="713">
        <f t="shared" si="5"/>
        <v>1</v>
      </c>
    </row>
    <row r="35" spans="1:29" ht="15">
      <c r="A35" s="431"/>
      <c r="B35" s="381" t="s">
        <v>2485</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08" t="s">
        <v>2387</v>
      </c>
      <c r="Q35" s="1538" t="str">
        <f t="shared" si="11"/>
        <v>市政基础设施</v>
      </c>
      <c r="R35" s="714" t="s">
        <v>17</v>
      </c>
      <c r="S35" s="715">
        <f t="shared" si="12"/>
        <v>100</v>
      </c>
      <c r="T35" s="714" t="s">
        <v>17</v>
      </c>
      <c r="U35" s="715">
        <f t="shared" si="13"/>
        <v>100</v>
      </c>
      <c r="V35" s="714" t="s">
        <v>17</v>
      </c>
      <c r="W35" s="715">
        <f t="shared" si="14"/>
        <v>100</v>
      </c>
      <c r="X35" s="1541"/>
      <c r="Y35" s="3308" t="s">
        <v>2387</v>
      </c>
      <c r="Z35" s="1542" t="str">
        <f t="shared" si="15"/>
        <v>市政基础设施</v>
      </c>
      <c r="AA35" s="1539">
        <f t="shared" si="3"/>
        <v>1</v>
      </c>
      <c r="AB35" s="1539">
        <f t="shared" si="4"/>
        <v>1</v>
      </c>
      <c r="AC35" s="1539">
        <f t="shared" si="5"/>
        <v>1</v>
      </c>
    </row>
    <row r="36" spans="1:29" ht="15">
      <c r="A36" s="431"/>
      <c r="B36" s="381" t="s">
        <v>2490</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08"/>
      <c r="Q36" s="1538" t="str">
        <f t="shared" si="11"/>
        <v>内部装修</v>
      </c>
      <c r="R36" s="714" t="s">
        <v>17</v>
      </c>
      <c r="S36" s="715">
        <f t="shared" si="12"/>
        <v>100</v>
      </c>
      <c r="T36" s="714" t="s">
        <v>17</v>
      </c>
      <c r="U36" s="715">
        <f t="shared" si="13"/>
        <v>100</v>
      </c>
      <c r="V36" s="714" t="s">
        <v>17</v>
      </c>
      <c r="W36" s="715">
        <f t="shared" si="14"/>
        <v>100</v>
      </c>
      <c r="X36" s="1541"/>
      <c r="Y36" s="3308"/>
      <c r="Z36" s="1542" t="str">
        <f t="shared" si="15"/>
        <v>内部装修</v>
      </c>
      <c r="AA36" s="1539">
        <f t="shared" si="3"/>
        <v>1</v>
      </c>
      <c r="AB36" s="1539">
        <f t="shared" si="4"/>
        <v>1</v>
      </c>
      <c r="AC36" s="1539">
        <f t="shared" si="5"/>
        <v>1</v>
      </c>
    </row>
    <row r="37" spans="1:29" ht="15">
      <c r="A37" s="431"/>
      <c r="B37" s="381" t="s">
        <v>2526</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08"/>
      <c r="Q37" s="1538" t="str">
        <f t="shared" si="11"/>
        <v>内部装修状况</v>
      </c>
      <c r="R37" s="714" t="s">
        <v>17</v>
      </c>
      <c r="S37" s="715">
        <f t="shared" si="12"/>
        <v>100</v>
      </c>
      <c r="T37" s="714" t="s">
        <v>17</v>
      </c>
      <c r="U37" s="715">
        <f t="shared" si="13"/>
        <v>100</v>
      </c>
      <c r="V37" s="714" t="s">
        <v>17</v>
      </c>
      <c r="W37" s="715">
        <f t="shared" si="14"/>
        <v>100</v>
      </c>
      <c r="X37" s="1541"/>
      <c r="Y37" s="3308"/>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08"/>
      <c r="Q38" s="716">
        <f t="shared" si="11"/>
        <v>111</v>
      </c>
      <c r="R38" s="717" t="s">
        <v>17</v>
      </c>
      <c r="S38" s="718">
        <f t="shared" si="12"/>
        <v>100</v>
      </c>
      <c r="T38" s="717" t="s">
        <v>17</v>
      </c>
      <c r="U38" s="718">
        <f t="shared" si="13"/>
        <v>100</v>
      </c>
      <c r="V38" s="717" t="s">
        <v>17</v>
      </c>
      <c r="W38" s="718">
        <f t="shared" si="14"/>
        <v>100</v>
      </c>
      <c r="X38" s="719"/>
      <c r="Y38" s="3308"/>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08"/>
      <c r="Q39" s="1538">
        <f t="shared" si="11"/>
        <v>111</v>
      </c>
      <c r="R39" s="714" t="s">
        <v>17</v>
      </c>
      <c r="S39" s="715">
        <f t="shared" si="12"/>
        <v>100</v>
      </c>
      <c r="T39" s="714" t="s">
        <v>17</v>
      </c>
      <c r="U39" s="715">
        <f t="shared" si="13"/>
        <v>100</v>
      </c>
      <c r="V39" s="714" t="s">
        <v>17</v>
      </c>
      <c r="W39" s="715">
        <f t="shared" si="14"/>
        <v>100</v>
      </c>
      <c r="X39" s="1541"/>
      <c r="Y39" s="3308"/>
      <c r="Z39" s="1542">
        <f t="shared" si="15"/>
        <v>111</v>
      </c>
      <c r="AA39" s="1539">
        <f t="shared" si="3"/>
        <v>1</v>
      </c>
      <c r="AB39" s="1539">
        <f t="shared" si="4"/>
        <v>1</v>
      </c>
      <c r="AC39" s="1539">
        <f t="shared" si="5"/>
        <v>1</v>
      </c>
    </row>
    <row r="40" spans="1:29" ht="15.75" thickBot="1">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09"/>
      <c r="Q40" s="1538">
        <f t="shared" si="11"/>
        <v>111</v>
      </c>
      <c r="R40" s="714" t="s">
        <v>17</v>
      </c>
      <c r="S40" s="715">
        <f t="shared" si="12"/>
        <v>100</v>
      </c>
      <c r="T40" s="714" t="s">
        <v>17</v>
      </c>
      <c r="U40" s="715">
        <f t="shared" si="13"/>
        <v>100</v>
      </c>
      <c r="V40" s="714" t="s">
        <v>17</v>
      </c>
      <c r="W40" s="715">
        <f t="shared" si="14"/>
        <v>100</v>
      </c>
      <c r="X40" s="1541"/>
      <c r="Y40" s="3309"/>
      <c r="Z40" s="1542">
        <f t="shared" si="15"/>
        <v>111</v>
      </c>
      <c r="AA40" s="1539">
        <f t="shared" si="3"/>
        <v>1</v>
      </c>
      <c r="AB40" s="1539">
        <f t="shared" si="4"/>
        <v>1</v>
      </c>
      <c r="AC40" s="1539">
        <f t="shared" si="5"/>
        <v>1</v>
      </c>
    </row>
    <row r="41" spans="1:29" ht="15">
      <c r="A41" s="438" t="s">
        <v>2399</v>
      </c>
      <c r="B41" s="439"/>
      <c r="C41" s="1316" t="s">
        <v>1</v>
      </c>
      <c r="D41" s="1317"/>
      <c r="E41" s="1318"/>
      <c r="F41" s="1319"/>
      <c r="G41" s="1320"/>
      <c r="H41" s="1321"/>
      <c r="I41" s="1318"/>
      <c r="J41" s="1321"/>
      <c r="K41" s="723"/>
      <c r="L41" s="1057"/>
      <c r="M41" s="1058"/>
      <c r="N41" s="1045"/>
      <c r="O41" s="1058"/>
      <c r="P41" s="3301" t="str">
        <f>A41</f>
        <v>成交单价（元/平方米）</v>
      </c>
      <c r="Q41" s="3301"/>
      <c r="R41" s="3302">
        <f>E41</f>
        <v>0</v>
      </c>
      <c r="S41" s="3302"/>
      <c r="T41" s="3302">
        <f>G41</f>
        <v>0</v>
      </c>
      <c r="U41" s="3302"/>
      <c r="V41" s="3302">
        <f>I41</f>
        <v>0</v>
      </c>
      <c r="W41" s="3302"/>
      <c r="X41" s="699"/>
      <c r="Y41" s="721"/>
      <c r="Z41" s="699"/>
      <c r="AA41" s="699"/>
      <c r="AB41" s="699"/>
      <c r="AC41" s="699"/>
    </row>
    <row r="42" spans="1:29" ht="15.75" thickBot="1">
      <c r="A42" s="445" t="s">
        <v>2491</v>
      </c>
      <c r="B42" s="446"/>
      <c r="C42" s="1322" t="e">
        <f>R43</f>
        <v>#DIV/0!</v>
      </c>
      <c r="D42" s="2540" t="s">
        <v>2882</v>
      </c>
      <c r="E42" s="1323" t="e">
        <f>R42</f>
        <v>#DIV/0!</v>
      </c>
      <c r="F42" s="2541"/>
      <c r="G42" s="1322" t="e">
        <f>T42</f>
        <v>#DIV/0!</v>
      </c>
      <c r="H42" s="2541"/>
      <c r="I42" s="1323" t="e">
        <f>V42</f>
        <v>#DIV/0!</v>
      </c>
      <c r="J42" s="2541"/>
      <c r="K42" s="2543">
        <f>F42+H42+J42</f>
        <v>0</v>
      </c>
      <c r="L42" s="1057"/>
      <c r="M42" s="1058"/>
      <c r="N42" s="1045"/>
      <c r="O42" s="1058"/>
      <c r="P42" s="3301" t="str">
        <f>A42</f>
        <v>比较价值（元/平方米）</v>
      </c>
      <c r="Q42" s="3301"/>
      <c r="R42" s="3302" t="e">
        <f>IF(F1="售价",ROUND(PRODUCT(R41,AA7:AA40),0),ROUND(PRODUCT(R41,AA7:AA40),1))</f>
        <v>#DIV/0!</v>
      </c>
      <c r="S42" s="3302"/>
      <c r="T42" s="3302" t="e">
        <f>IF(F1="售价",ROUND(PRODUCT(T41,AB7:AB40),0),ROUND(PRODUCT(T41,AB7:AB40),1))</f>
        <v>#DIV/0!</v>
      </c>
      <c r="U42" s="3302"/>
      <c r="V42" s="3302" t="e">
        <f>IF(F1="售价",ROUND(PRODUCT(V41,AC7:AC40),0),ROUND(PRODUCT(V41,AC7:AC40),1))</f>
        <v>#DIV/0!</v>
      </c>
      <c r="W42" s="3302"/>
      <c r="X42" s="699"/>
      <c r="Y42" s="699"/>
      <c r="Z42" s="699"/>
      <c r="AA42" s="699"/>
      <c r="AB42" s="699"/>
      <c r="AC42" s="699"/>
    </row>
    <row r="43" spans="1:29" ht="15.75" thickBot="1">
      <c r="A43" s="449" t="s">
        <v>2492</v>
      </c>
      <c r="B43" s="450"/>
      <c r="C43" s="1325" t="e">
        <f>R43</f>
        <v>#DIV/0!</v>
      </c>
      <c r="D43" s="1325"/>
      <c r="E43" s="1325"/>
      <c r="F43" s="1325"/>
      <c r="G43" s="1325"/>
      <c r="H43" s="1325"/>
      <c r="I43" s="1325"/>
      <c r="J43" s="1325"/>
      <c r="K43" s="724"/>
      <c r="L43" s="1057"/>
      <c r="M43" s="1058"/>
      <c r="N43" s="1058"/>
      <c r="O43" s="1058"/>
      <c r="P43" s="3298" t="str">
        <f>A43</f>
        <v>估价对象XX用房的比较价值（楼面单价，元/平方米）</v>
      </c>
      <c r="Q43" s="3299"/>
      <c r="R43" s="3300" t="e">
        <f>IF(F1="售价",ROUND(IF(D42="简单平均",AVERAGE(R42:V42),R42*F42+T42*H42+V42*J42),0),ROUND(IF(D42="简单平均",AVERAGE(R42:V42),R42*F42+T42*H42+V42*J42),1))</f>
        <v>#DIV/0!</v>
      </c>
      <c r="S43" s="3300"/>
      <c r="T43" s="3300"/>
      <c r="U43" s="3300"/>
      <c r="V43" s="3300"/>
      <c r="W43" s="3300"/>
      <c r="X43" s="699"/>
      <c r="Y43" s="699"/>
      <c r="Z43" s="699"/>
      <c r="AA43" s="699"/>
      <c r="AB43" s="699"/>
      <c r="AC43" s="699"/>
    </row>
    <row r="44" spans="1:29">
      <c r="A44" s="2956"/>
      <c r="B44" s="2956"/>
      <c r="C44" s="2956"/>
      <c r="D44" s="2956"/>
      <c r="E44" s="2956"/>
      <c r="F44" s="2956"/>
      <c r="G44" s="2960"/>
      <c r="H44" s="2956"/>
      <c r="I44" s="2956"/>
      <c r="J44" s="2956"/>
      <c r="K44" s="2961"/>
      <c r="L44" s="1020"/>
      <c r="M44" s="1058"/>
      <c r="N44" s="1058"/>
      <c r="O44" s="1058"/>
    </row>
    <row r="45" spans="1:29">
      <c r="A45" s="2956"/>
      <c r="B45" s="2956"/>
      <c r="C45" s="2956"/>
      <c r="D45" s="2956"/>
      <c r="E45" s="2956"/>
      <c r="F45" s="2956"/>
      <c r="G45" s="2956"/>
      <c r="H45" s="2956"/>
      <c r="I45" s="2956"/>
      <c r="J45" s="2956"/>
      <c r="K45" s="2961"/>
      <c r="L45" s="1020"/>
      <c r="M45" s="1058"/>
      <c r="N45" s="1058"/>
      <c r="O45" s="1058"/>
    </row>
    <row r="46" spans="1:29" ht="13.5" customHeight="1">
      <c r="A46" s="2956"/>
      <c r="B46" s="295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c r="A47" s="2956"/>
      <c r="B47" s="295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c r="A48" s="2959"/>
      <c r="B48" s="295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c r="A49" s="2959"/>
      <c r="B49" s="2962"/>
      <c r="C49" s="2963"/>
      <c r="D49" s="2959"/>
      <c r="E49" s="2959"/>
      <c r="F49" s="2959"/>
      <c r="G49" s="2959"/>
      <c r="H49" s="2959"/>
      <c r="I49" s="2959"/>
      <c r="J49" s="2959"/>
      <c r="K49" s="2964"/>
      <c r="L49" s="1061"/>
      <c r="M49" s="1059"/>
      <c r="N49" s="1059"/>
      <c r="O49" s="1059"/>
    </row>
    <row r="50" spans="1:17">
      <c r="A50" s="2956"/>
      <c r="B50" s="2962"/>
      <c r="C50" s="2963"/>
      <c r="D50" s="2956"/>
      <c r="E50" s="2956"/>
      <c r="F50" s="2956"/>
      <c r="G50" s="2956"/>
      <c r="H50" s="2956"/>
      <c r="I50" s="2956"/>
      <c r="J50" s="2956"/>
      <c r="K50" s="2961"/>
      <c r="L50" s="1020"/>
      <c r="M50" s="1058"/>
      <c r="N50" s="1058"/>
      <c r="O50" s="1058"/>
    </row>
    <row r="51" spans="1:17" ht="21.75" thickBot="1">
      <c r="A51" s="703" t="s">
        <v>2496</v>
      </c>
      <c r="B51" s="699"/>
      <c r="C51" s="704"/>
      <c r="D51" s="704"/>
      <c r="E51" s="704"/>
      <c r="F51" s="705"/>
      <c r="G51" s="705"/>
      <c r="H51" s="704"/>
      <c r="I51" s="704"/>
      <c r="J51" s="704"/>
      <c r="K51" s="1072"/>
      <c r="L51" s="1073"/>
      <c r="M51" s="1071"/>
      <c r="N51" s="1071"/>
      <c r="O51" s="1071"/>
      <c r="P51" s="460"/>
      <c r="Q51" s="461"/>
    </row>
    <row r="52" spans="1:17" s="465" customFormat="1" ht="15">
      <c r="A52" s="462" t="s">
        <v>2370</v>
      </c>
      <c r="B52" s="463"/>
      <c r="C52" s="1346" t="str">
        <f>YEAR(C7)&amp;"-"&amp;MONTH(C7)</f>
        <v>2020-9</v>
      </c>
      <c r="D52" s="1347">
        <f>EDATE(C52,-1)</f>
        <v>44044</v>
      </c>
      <c r="E52" s="1347">
        <f t="shared" ref="E52:O52" si="16">EDATE(D52,-1)</f>
        <v>44013</v>
      </c>
      <c r="F52" s="1347">
        <f t="shared" si="16"/>
        <v>43983</v>
      </c>
      <c r="G52" s="1347">
        <f t="shared" si="16"/>
        <v>43952</v>
      </c>
      <c r="H52" s="1347">
        <f t="shared" si="16"/>
        <v>43922</v>
      </c>
      <c r="I52" s="1347">
        <f t="shared" si="16"/>
        <v>43891</v>
      </c>
      <c r="J52" s="1347">
        <f t="shared" si="16"/>
        <v>43862</v>
      </c>
      <c r="K52" s="1347">
        <f t="shared" si="16"/>
        <v>43831</v>
      </c>
      <c r="L52" s="1347">
        <f t="shared" si="16"/>
        <v>43800</v>
      </c>
      <c r="M52" s="1347">
        <f t="shared" si="16"/>
        <v>43770</v>
      </c>
      <c r="N52" s="1347">
        <f t="shared" si="16"/>
        <v>43739</v>
      </c>
      <c r="O52" s="1347">
        <f t="shared" si="16"/>
        <v>43709</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2407</v>
      </c>
      <c r="B54" s="473"/>
      <c r="C54" s="474"/>
      <c r="D54" s="475"/>
      <c r="E54" s="475"/>
      <c r="F54" s="475"/>
      <c r="G54" s="475"/>
      <c r="H54" s="475"/>
      <c r="I54" s="475"/>
      <c r="J54" s="475"/>
      <c r="K54" s="475"/>
      <c r="L54" s="475"/>
      <c r="M54" s="476"/>
      <c r="N54" s="3001"/>
      <c r="O54" s="3002"/>
      <c r="P54" s="461"/>
      <c r="Q54" s="461"/>
    </row>
    <row r="55" spans="1:17" s="113" customFormat="1" ht="15">
      <c r="A55" s="478" t="s">
        <v>2372</v>
      </c>
      <c r="B55" s="467"/>
      <c r="C55" s="479" t="s">
        <v>2474</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2410</v>
      </c>
      <c r="B57" s="485" t="s">
        <v>2376</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2379</v>
      </c>
      <c r="C59" s="496" t="s">
        <v>2411</v>
      </c>
      <c r="D59" s="496" t="s">
        <v>2412</v>
      </c>
      <c r="E59" s="496" t="s">
        <v>2413</v>
      </c>
      <c r="F59" s="496" t="s">
        <v>2414</v>
      </c>
      <c r="G59" s="496" t="s">
        <v>2415</v>
      </c>
      <c r="H59" s="496" t="s">
        <v>2416</v>
      </c>
      <c r="I59" s="496" t="s">
        <v>2417</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2380</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2381</v>
      </c>
      <c r="B70" s="485" t="s">
        <v>2527</v>
      </c>
      <c r="C70" s="530" t="s">
        <v>2419</v>
      </c>
      <c r="D70" s="530" t="s">
        <v>2420</v>
      </c>
      <c r="E70" s="530" t="s">
        <v>2421</v>
      </c>
      <c r="F70" s="530" t="s">
        <v>2422</v>
      </c>
      <c r="G70" s="530" t="s">
        <v>2423</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2424</v>
      </c>
      <c r="C72" s="535" t="s">
        <v>2419</v>
      </c>
      <c r="D72" s="535" t="s">
        <v>2420</v>
      </c>
      <c r="E72" s="535" t="s">
        <v>2421</v>
      </c>
      <c r="F72" s="535" t="s">
        <v>2422</v>
      </c>
      <c r="G72" s="535" t="s">
        <v>2423</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2425</v>
      </c>
      <c r="C74" s="535" t="s">
        <v>2419</v>
      </c>
      <c r="D74" s="535" t="s">
        <v>2420</v>
      </c>
      <c r="E74" s="535" t="s">
        <v>2421</v>
      </c>
      <c r="F74" s="535" t="s">
        <v>2422</v>
      </c>
      <c r="G74" s="535" t="s">
        <v>2423</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2511</v>
      </c>
      <c r="C76" s="616" t="s">
        <v>2497</v>
      </c>
      <c r="D76" s="616" t="s">
        <v>2498</v>
      </c>
      <c r="E76" s="616" t="s">
        <v>2499</v>
      </c>
      <c r="F76" s="616" t="s">
        <v>2500</v>
      </c>
      <c r="G76" s="616" t="s">
        <v>2501</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2520</v>
      </c>
      <c r="C78" s="535" t="s">
        <v>2419</v>
      </c>
      <c r="D78" s="535" t="s">
        <v>2420</v>
      </c>
      <c r="E78" s="535" t="s">
        <v>2421</v>
      </c>
      <c r="F78" s="535" t="s">
        <v>2422</v>
      </c>
      <c r="G78" s="535" t="s">
        <v>2423</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6"/>
      <c r="B87" s="526"/>
      <c r="C87" s="527"/>
      <c r="D87" s="527"/>
      <c r="E87" s="527"/>
      <c r="F87" s="527"/>
      <c r="G87" s="548"/>
      <c r="H87" s="548"/>
      <c r="I87" s="548"/>
      <c r="J87" s="548"/>
      <c r="K87" s="548"/>
      <c r="L87" s="548"/>
      <c r="M87" s="549"/>
      <c r="N87" s="1065"/>
      <c r="O87" s="1065"/>
      <c r="P87" s="45"/>
      <c r="Q87" s="461"/>
    </row>
    <row r="88" spans="1:17">
      <c r="A88" s="484" t="s">
        <v>2385</v>
      </c>
      <c r="B88" s="485" t="s">
        <v>2434</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2435</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2436</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2438</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2439</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2440</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2442</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2528</v>
      </c>
      <c r="C106" s="535" t="s">
        <v>2419</v>
      </c>
      <c r="D106" s="535" t="s">
        <v>2420</v>
      </c>
      <c r="E106" s="535" t="s">
        <v>2421</v>
      </c>
      <c r="F106" s="535" t="s">
        <v>2422</v>
      </c>
      <c r="G106" s="535" t="s">
        <v>2423</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1576</v>
      </c>
    </row>
    <row r="2" spans="1:1">
      <c r="A2" s="1665"/>
    </row>
    <row r="3" spans="1:1" ht="18">
      <c r="A3" s="1666" t="str">
        <f>项目基本情况!B5&amp;"："</f>
        <v>：</v>
      </c>
    </row>
    <row r="4" spans="1:1" ht="18">
      <c r="A4" s="1667" t="str">
        <f>"受贵公司委托，我公司对"&amp;项目基本情况!S1&amp;"进行了预评估。"</f>
        <v>受贵公司委托，我公司对北京市房地产抵押价值进行了预评估。</v>
      </c>
    </row>
    <row r="5" spans="1:1" ht="18.75">
      <c r="A5" s="1668" t="s">
        <v>1577</v>
      </c>
    </row>
    <row r="6" spans="1:1" ht="18.75">
      <c r="A6" s="1669" t="s">
        <v>1578</v>
      </c>
    </row>
    <row r="7" spans="1:1" ht="54">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估价对象为北京市房地产，为所有。根据《国有土地使用证》[]，估价对象（分摊）出让国有建设用地使用权面积为927.85平方米，建筑面积为8276.64平方米。</v>
      </c>
    </row>
    <row r="8" spans="1:1" ht="57.75">
      <c r="A8" s="1670" t="s">
        <v>1579</v>
      </c>
    </row>
    <row r="9" spans="1:1" ht="18.75">
      <c r="A9" s="1669" t="s">
        <v>1580</v>
      </c>
    </row>
    <row r="10" spans="1:1" ht="54">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估价对象为北京市房地产,属开发建设的办公项目，该项目尚在开发建设中。根据《国有土地使用证》[]，估价对象（分摊）出让国有建设用地使用权面积为927.85平方米，规划建筑面积为8276.64平方米。</v>
      </c>
    </row>
    <row r="11" spans="1:1" ht="76.5">
      <c r="A11" s="1670" t="s">
        <v>1581</v>
      </c>
    </row>
    <row r="12" spans="1:1" ht="18.75">
      <c r="A12" s="1668" t="s">
        <v>1582</v>
      </c>
    </row>
    <row r="13" spans="1:1" ht="38.25" customHeight="1">
      <c r="A13" s="1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1583</v>
      </c>
    </row>
    <row r="15" spans="1:1" ht="18">
      <c r="A15" s="1673" t="str">
        <f>TEXT(项目基本情况!D3,"yyyy年m月d日;;")&amp;IF(项目基本情况!D3=项目基本情况!B3,"（评估专业人员实地查勘之日）","")</f>
        <v>2020年9月2日</v>
      </c>
    </row>
    <row r="16" spans="1:1" ht="18.75">
      <c r="A16" s="1672" t="s">
        <v>1584</v>
      </c>
    </row>
    <row r="17" spans="1:1" ht="75">
      <c r="A17" s="1667" t="s">
        <v>1585</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9月2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2" t="s">
        <v>1574</v>
      </c>
    </row>
    <row r="24" spans="1:1" ht="18">
      <c r="A24" s="1674" t="str">
        <f>"本次评估采用的主估价方法为"&amp;结果表!K4&amp;"和"&amp;结果表!L4&amp;"。"</f>
        <v>本次评估采用的主估价方法为成本法和收益法。</v>
      </c>
    </row>
    <row r="25" spans="1:1" ht="18">
      <c r="A25" s="1674"/>
    </row>
    <row r="26" spans="1:1" ht="18.75">
      <c r="A26" s="1675" t="s">
        <v>1575</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U518" sqref="U51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2529</v>
      </c>
      <c r="B1" s="1391"/>
      <c r="C1" s="1392" t="s">
        <v>2352</v>
      </c>
      <c r="D1" s="1393"/>
      <c r="E1" s="1394"/>
      <c r="F1" s="2067"/>
      <c r="G1" s="1395" t="s">
        <v>2465</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2149</v>
      </c>
      <c r="B2" s="1326" t="e">
        <f ca="1">IF(C2="——",IF(B37="元/平方米",ROUND(C39*D3/10000,0),ROUND(F3*C39/10000,0)),IF(B37="元/平方米",ROUND(C39*D3/10000,0),ROUND(F3*C39/10000,0))-D2)</f>
        <v>#DIV/0!</v>
      </c>
      <c r="C2" s="2069"/>
      <c r="D2" s="1038" t="e">
        <f ca="1">SUMIF(INDIRECT("'"&amp;F2&amp;"'"&amp;"!A:A"),"承租人权益价值",INDIRECT("'"&amp;F2&amp;"'"&amp;"!c:c"))</f>
        <v>#REF!</v>
      </c>
      <c r="E2" s="2070" t="s">
        <v>2150</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c r="A3" s="209" t="s">
        <v>2151</v>
      </c>
      <c r="B3" s="566" t="e">
        <f ca="1">IF(AND(C2="——",B37="元/平方米"),C39,ROUND(B2*10000/D3,0))</f>
        <v>#DIV/0!</v>
      </c>
      <c r="C3" s="360" t="s">
        <v>2466</v>
      </c>
      <c r="D3" s="359">
        <f>SUMIF('数据-汇总表'!$C19:$C33,D1,'数据-汇总表'!$E19:$E33)</f>
        <v>0</v>
      </c>
      <c r="E3" s="360" t="s">
        <v>2530</v>
      </c>
      <c r="F3" s="359">
        <f>SUMIF('数据-取费表'!A5:A15,D1,'数据-取费表'!AH5:AH15)</f>
        <v>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ht="15">
      <c r="A4" s="361" t="s">
        <v>2467</v>
      </c>
      <c r="B4" s="362"/>
      <c r="C4" s="3284" t="s">
        <v>2468</v>
      </c>
      <c r="D4" s="3285"/>
      <c r="E4" s="3286" t="s">
        <v>2469</v>
      </c>
      <c r="F4" s="3287"/>
      <c r="G4" s="3284" t="s">
        <v>2470</v>
      </c>
      <c r="H4" s="3285"/>
      <c r="I4" s="3284" t="s">
        <v>2471</v>
      </c>
      <c r="J4" s="3285"/>
      <c r="K4" s="567" t="s">
        <v>2472</v>
      </c>
      <c r="L4" s="2946"/>
      <c r="M4" s="2947"/>
      <c r="N4" s="2947"/>
      <c r="O4" s="2947"/>
      <c r="P4" s="3288" t="s">
        <v>2473</v>
      </c>
      <c r="Q4" s="3289"/>
      <c r="R4" s="3271" t="s">
        <v>2469</v>
      </c>
      <c r="S4" s="3272"/>
      <c r="T4" s="3271" t="s">
        <v>2470</v>
      </c>
      <c r="U4" s="3272"/>
      <c r="V4" s="3296" t="s">
        <v>2471</v>
      </c>
      <c r="W4" s="3296"/>
      <c r="X4" s="1541"/>
      <c r="Y4" s="3271" t="s">
        <v>2473</v>
      </c>
      <c r="Z4" s="3272"/>
      <c r="AA4" s="3266" t="s">
        <v>2469</v>
      </c>
      <c r="AB4" s="3267" t="s">
        <v>2470</v>
      </c>
      <c r="AC4" s="3266" t="s">
        <v>2471</v>
      </c>
    </row>
    <row r="5" spans="1:29" ht="15">
      <c r="A5" s="364"/>
      <c r="B5" s="365"/>
      <c r="C5" s="3277" t="s">
        <v>2364</v>
      </c>
      <c r="D5" s="3278"/>
      <c r="E5" s="3275" t="s">
        <v>2365</v>
      </c>
      <c r="F5" s="3276"/>
      <c r="G5" s="3277" t="s">
        <v>2366</v>
      </c>
      <c r="H5" s="3278"/>
      <c r="I5" s="3277" t="s">
        <v>2367</v>
      </c>
      <c r="J5" s="3278"/>
      <c r="K5" s="567"/>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279" t="s">
        <v>2368</v>
      </c>
      <c r="D6" s="3280"/>
      <c r="E6" s="3281" t="s">
        <v>2368</v>
      </c>
      <c r="F6" s="3282"/>
      <c r="G6" s="3279" t="s">
        <v>2368</v>
      </c>
      <c r="H6" s="3280"/>
      <c r="I6" s="3279" t="s">
        <v>2368</v>
      </c>
      <c r="J6" s="3280"/>
      <c r="K6" s="567" t="s">
        <v>2369</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2370</v>
      </c>
      <c r="B7" s="369"/>
      <c r="C7" s="370">
        <f>'数据-取费表'!B2</f>
        <v>44076</v>
      </c>
      <c r="D7" s="371">
        <v>100</v>
      </c>
      <c r="E7" s="372"/>
      <c r="F7" s="373">
        <f>SUMIF(48:48,YEAR(E7)&amp;"-"&amp;MONTH(E7),49:49)</f>
        <v>0</v>
      </c>
      <c r="G7" s="372"/>
      <c r="H7" s="371">
        <f>SUMIF(48:48,YEAR(G7)&amp;"-"&amp;MONTH(G7),49:49)</f>
        <v>0</v>
      </c>
      <c r="I7" s="372"/>
      <c r="J7" s="371">
        <f>SUMIF(48:48,YEAR(I7)&amp;"-"&amp;MONTH(I7),49:49)</f>
        <v>0</v>
      </c>
      <c r="K7" s="568"/>
      <c r="L7" s="2948"/>
      <c r="M7" s="2949"/>
      <c r="N7" s="2949"/>
      <c r="O7" s="2949"/>
      <c r="P7" s="3269" t="s">
        <v>2371</v>
      </c>
      <c r="Q7" s="3297"/>
      <c r="R7" s="710" t="s">
        <v>17</v>
      </c>
      <c r="S7" s="711">
        <f t="shared" ref="S7:S14" si="0">F7</f>
        <v>0</v>
      </c>
      <c r="T7" s="710" t="s">
        <v>17</v>
      </c>
      <c r="U7" s="711">
        <f t="shared" ref="U7:U14" si="1">H7</f>
        <v>0</v>
      </c>
      <c r="V7" s="710" t="s">
        <v>17</v>
      </c>
      <c r="W7" s="711">
        <f t="shared" ref="W7:W14" si="2">J7</f>
        <v>0</v>
      </c>
      <c r="X7" s="712"/>
      <c r="Y7" s="3269" t="s">
        <v>2371</v>
      </c>
      <c r="Z7" s="3270"/>
      <c r="AA7" s="713" t="e">
        <f>D7/F7</f>
        <v>#DIV/0!</v>
      </c>
      <c r="AB7" s="713" t="e">
        <f>D7/H7</f>
        <v>#DIV/0!</v>
      </c>
      <c r="AC7" s="713" t="e">
        <f>D7/J7</f>
        <v>#DIV/0!</v>
      </c>
    </row>
    <row r="8" spans="1:29" s="113" customFormat="1" ht="15.75" thickBot="1">
      <c r="A8" s="368" t="s">
        <v>2372</v>
      </c>
      <c r="B8" s="369"/>
      <c r="C8" s="374" t="s">
        <v>2474</v>
      </c>
      <c r="D8" s="371">
        <v>100</v>
      </c>
      <c r="E8" s="374"/>
      <c r="F8" s="373">
        <f>SUMIF(51:51,E8,52:52)-SUMIF(51:51,C8,52:52)+100</f>
        <v>0</v>
      </c>
      <c r="G8" s="374"/>
      <c r="H8" s="371">
        <f>SUMIF(51:51,G8,52:52)-SUMIF(51:51,C8,52:52)+100</f>
        <v>0</v>
      </c>
      <c r="I8" s="374"/>
      <c r="J8" s="371">
        <f>SUMIF(51:51,I8,52:52)-SUMIF(51:51,C8,52:52)+100</f>
        <v>0</v>
      </c>
      <c r="K8" s="568"/>
      <c r="L8" s="2948"/>
      <c r="M8" s="2949"/>
      <c r="N8" s="2949"/>
      <c r="O8" s="2949"/>
      <c r="P8" s="3269" t="s">
        <v>2374</v>
      </c>
      <c r="Q8" s="3270"/>
      <c r="R8" s="710" t="s">
        <v>17</v>
      </c>
      <c r="S8" s="711">
        <f t="shared" si="0"/>
        <v>0</v>
      </c>
      <c r="T8" s="710" t="s">
        <v>17</v>
      </c>
      <c r="U8" s="711">
        <f t="shared" si="1"/>
        <v>0</v>
      </c>
      <c r="V8" s="710" t="s">
        <v>17</v>
      </c>
      <c r="W8" s="711">
        <f t="shared" si="2"/>
        <v>0</v>
      </c>
      <c r="X8" s="712"/>
      <c r="Y8" s="3269" t="s">
        <v>2374</v>
      </c>
      <c r="Z8" s="3270"/>
      <c r="AA8" s="713" t="e">
        <f t="shared" ref="AA8:AA36" si="3">D8/F8</f>
        <v>#DIV/0!</v>
      </c>
      <c r="AB8" s="713" t="e">
        <f t="shared" ref="AB8:AB36" si="4">D8/H8</f>
        <v>#DIV/0!</v>
      </c>
      <c r="AC8" s="713" t="e">
        <f t="shared" ref="AC8:AC36" si="5">D8/J8</f>
        <v>#DIV/0!</v>
      </c>
    </row>
    <row r="9" spans="1:29" s="113" customFormat="1">
      <c r="A9" s="64" t="s">
        <v>2375</v>
      </c>
      <c r="B9" s="596" t="s">
        <v>2376</v>
      </c>
      <c r="C9" s="376"/>
      <c r="D9" s="131">
        <v>100</v>
      </c>
      <c r="E9" s="379"/>
      <c r="F9" s="131">
        <f>SUMIF(53:53,E9,54:54)-SUMIF(53:53,C9,54:54)+100</f>
        <v>100</v>
      </c>
      <c r="G9" s="377"/>
      <c r="H9" s="131">
        <f>SUMIF(53:53,G9,54:54)-SUMIF(53:53,C9,54:54)+100</f>
        <v>100</v>
      </c>
      <c r="I9" s="377"/>
      <c r="J9" s="131">
        <f>SUMIF(53:53,I9,54:54)-SUMIF(53:53,C9,54:54)+100</f>
        <v>100</v>
      </c>
      <c r="K9" s="568"/>
      <c r="L9" s="2948"/>
      <c r="M9" s="2949"/>
      <c r="N9" s="2949"/>
      <c r="O9" s="2949"/>
      <c r="P9" s="3301" t="s">
        <v>2377</v>
      </c>
      <c r="Q9" s="1529" t="str">
        <f t="shared" ref="Q9:Q14" si="6">B9</f>
        <v>用途</v>
      </c>
      <c r="R9" s="710" t="s">
        <v>17</v>
      </c>
      <c r="S9" s="711">
        <f t="shared" si="0"/>
        <v>100</v>
      </c>
      <c r="T9" s="710" t="s">
        <v>17</v>
      </c>
      <c r="U9" s="711">
        <f t="shared" si="1"/>
        <v>100</v>
      </c>
      <c r="V9" s="710" t="s">
        <v>17</v>
      </c>
      <c r="W9" s="711">
        <f t="shared" si="2"/>
        <v>100</v>
      </c>
      <c r="X9" s="712"/>
      <c r="Y9" s="3211" t="s">
        <v>2378</v>
      </c>
      <c r="Z9" s="55" t="str">
        <f t="shared" ref="Z9:Z14" si="7">Q9</f>
        <v>用途</v>
      </c>
      <c r="AA9" s="713">
        <f t="shared" si="3"/>
        <v>1</v>
      </c>
      <c r="AB9" s="713">
        <f t="shared" si="4"/>
        <v>1</v>
      </c>
      <c r="AC9" s="713">
        <f t="shared" si="5"/>
        <v>1</v>
      </c>
    </row>
    <row r="10" spans="1:29" s="386" customFormat="1" ht="27">
      <c r="A10" s="597"/>
      <c r="B10" s="598" t="s">
        <v>2379</v>
      </c>
      <c r="C10" s="382"/>
      <c r="D10" s="132">
        <v>100</v>
      </c>
      <c r="E10" s="382"/>
      <c r="F10" s="132">
        <f>SUMIF(55:55,E10,56:56)-SUMIF(55:55,C10,56:56)+100</f>
        <v>100</v>
      </c>
      <c r="G10" s="383"/>
      <c r="H10" s="132">
        <f>SUMIF(55:55,G10,56:56)-SUMIF(55:55,C10,56:56)+100</f>
        <v>100</v>
      </c>
      <c r="I10" s="382"/>
      <c r="J10" s="132">
        <f>SUMIF(55:55,I10,56:56)-SUMIF(55:55,C10,56:56)+100</f>
        <v>100</v>
      </c>
      <c r="K10" s="569"/>
      <c r="L10" s="2950"/>
      <c r="M10" s="2951"/>
      <c r="N10" s="2951"/>
      <c r="O10" s="2951"/>
      <c r="P10" s="3301"/>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301"/>
      <c r="Q11" s="1529">
        <f t="shared" si="6"/>
        <v>111</v>
      </c>
      <c r="R11" s="710" t="s">
        <v>17</v>
      </c>
      <c r="S11" s="711">
        <f t="shared" si="0"/>
        <v>100</v>
      </c>
      <c r="T11" s="710" t="s">
        <v>17</v>
      </c>
      <c r="U11" s="711">
        <f t="shared" si="1"/>
        <v>100</v>
      </c>
      <c r="V11" s="710" t="s">
        <v>17</v>
      </c>
      <c r="W11" s="711">
        <f t="shared" si="2"/>
        <v>100</v>
      </c>
      <c r="X11" s="712"/>
      <c r="Y11" s="3211"/>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85.5">
      <c r="A14" s="361" t="s">
        <v>2381</v>
      </c>
      <c r="B14" s="585" t="s">
        <v>2531</v>
      </c>
      <c r="C14" s="2159"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3"/>
      <c r="M14" s="2947"/>
      <c r="N14" s="2947"/>
      <c r="O14" s="2947"/>
      <c r="P14" s="3303" t="s">
        <v>2382</v>
      </c>
      <c r="Q14" s="1538" t="str">
        <f t="shared" si="6"/>
        <v>交通便捷度</v>
      </c>
      <c r="R14" s="714" t="s">
        <v>17</v>
      </c>
      <c r="S14" s="715">
        <f t="shared" si="0"/>
        <v>100</v>
      </c>
      <c r="T14" s="714" t="s">
        <v>17</v>
      </c>
      <c r="U14" s="715">
        <f t="shared" si="1"/>
        <v>100</v>
      </c>
      <c r="V14" s="714" t="s">
        <v>17</v>
      </c>
      <c r="W14" s="715">
        <f t="shared" si="2"/>
        <v>100</v>
      </c>
      <c r="X14" s="1541"/>
      <c r="Y14" s="3303" t="s">
        <v>2382</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3"/>
      <c r="M15" s="2947"/>
      <c r="N15" s="2947"/>
      <c r="O15" s="2947"/>
      <c r="P15" s="3304"/>
      <c r="Q15" s="1538"/>
      <c r="R15" s="714"/>
      <c r="S15" s="715"/>
      <c r="T15" s="714"/>
      <c r="U15" s="715"/>
      <c r="V15" s="714"/>
      <c r="W15" s="715"/>
      <c r="X15" s="1541"/>
      <c r="Y15" s="3304"/>
      <c r="Z15" s="1542"/>
      <c r="AA15" s="1539">
        <v>1</v>
      </c>
      <c r="AB15" s="1539">
        <v>1</v>
      </c>
      <c r="AC15" s="1539">
        <v>1</v>
      </c>
    </row>
    <row r="16" spans="1:29" ht="42.75">
      <c r="A16" s="364"/>
      <c r="B16" s="587" t="s">
        <v>2510</v>
      </c>
      <c r="C16" s="2088"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3"/>
      <c r="M16" s="2947"/>
      <c r="N16" s="2947"/>
      <c r="O16" s="2947"/>
      <c r="P16" s="3304"/>
      <c r="Q16" s="1538" t="str">
        <f>B16</f>
        <v>公共配套设施</v>
      </c>
      <c r="R16" s="714" t="s">
        <v>17</v>
      </c>
      <c r="S16" s="715">
        <f>F16</f>
        <v>100</v>
      </c>
      <c r="T16" s="714" t="s">
        <v>17</v>
      </c>
      <c r="U16" s="715">
        <f>H16</f>
        <v>100</v>
      </c>
      <c r="V16" s="714" t="s">
        <v>17</v>
      </c>
      <c r="W16" s="715">
        <f>J16</f>
        <v>100</v>
      </c>
      <c r="X16" s="1541"/>
      <c r="Y16" s="3304"/>
      <c r="Z16" s="1542" t="str">
        <f>Q16</f>
        <v>公共配套设施</v>
      </c>
      <c r="AA16" s="1539">
        <f t="shared" si="3"/>
        <v>1</v>
      </c>
      <c r="AB16" s="1539">
        <f t="shared" si="4"/>
        <v>1</v>
      </c>
      <c r="AC16" s="1539">
        <f t="shared" si="5"/>
        <v>1</v>
      </c>
    </row>
    <row r="17" spans="1:29" ht="15">
      <c r="A17" s="364"/>
      <c r="B17" s="588"/>
      <c r="C17" s="2089"/>
      <c r="D17" s="407"/>
      <c r="E17" s="406"/>
      <c r="F17" s="408"/>
      <c r="G17" s="406"/>
      <c r="H17" s="407"/>
      <c r="I17" s="406"/>
      <c r="J17" s="407"/>
      <c r="K17" s="572"/>
      <c r="L17" s="2953"/>
      <c r="M17" s="2947"/>
      <c r="N17" s="2947"/>
      <c r="O17" s="2947"/>
      <c r="P17" s="3304"/>
      <c r="Q17" s="1538"/>
      <c r="R17" s="714"/>
      <c r="S17" s="715"/>
      <c r="T17" s="714"/>
      <c r="U17" s="715"/>
      <c r="V17" s="714"/>
      <c r="W17" s="715"/>
      <c r="X17" s="1541"/>
      <c r="Y17" s="3304"/>
      <c r="Z17" s="1542"/>
      <c r="AA17" s="1539">
        <v>1</v>
      </c>
      <c r="AB17" s="1539">
        <v>1</v>
      </c>
      <c r="AC17" s="1539">
        <v>1</v>
      </c>
    </row>
    <row r="18" spans="1:29" ht="28.5">
      <c r="A18" s="364"/>
      <c r="B18" s="589" t="s">
        <v>2511</v>
      </c>
      <c r="C18" s="2088"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3"/>
      <c r="M18" s="2947"/>
      <c r="N18" s="2947"/>
      <c r="O18" s="2947"/>
      <c r="P18" s="3304"/>
      <c r="Q18" s="1538" t="str">
        <f>B18</f>
        <v>基础设施水平</v>
      </c>
      <c r="R18" s="714" t="s">
        <v>17</v>
      </c>
      <c r="S18" s="715">
        <f>F18</f>
        <v>100</v>
      </c>
      <c r="T18" s="714" t="s">
        <v>17</v>
      </c>
      <c r="U18" s="715">
        <f>H18</f>
        <v>100</v>
      </c>
      <c r="V18" s="714" t="s">
        <v>17</v>
      </c>
      <c r="W18" s="715">
        <f>J18</f>
        <v>100</v>
      </c>
      <c r="X18" s="1541"/>
      <c r="Y18" s="3304"/>
      <c r="Z18" s="1542" t="str">
        <f>Q18</f>
        <v>基础设施水平</v>
      </c>
      <c r="AA18" s="1539">
        <f t="shared" ref="AA18" si="8">D18/F18</f>
        <v>1</v>
      </c>
      <c r="AB18" s="1539">
        <f t="shared" ref="AB18" si="9">D18/H18</f>
        <v>1</v>
      </c>
      <c r="AC18" s="1539">
        <f t="shared" ref="AC18" si="10">D18/J18</f>
        <v>1</v>
      </c>
    </row>
    <row r="19" spans="1:29" ht="15">
      <c r="A19" s="364"/>
      <c r="B19" s="589"/>
      <c r="C19" s="2089"/>
      <c r="D19" s="409"/>
      <c r="E19" s="2089"/>
      <c r="F19" s="412"/>
      <c r="G19" s="2089"/>
      <c r="H19" s="407"/>
      <c r="I19" s="406"/>
      <c r="J19" s="407"/>
      <c r="K19" s="1292"/>
      <c r="L19" s="2953"/>
      <c r="M19" s="2947"/>
      <c r="N19" s="2947"/>
      <c r="O19" s="2947"/>
      <c r="P19" s="3304"/>
      <c r="Q19" s="1538"/>
      <c r="R19" s="714"/>
      <c r="S19" s="715"/>
      <c r="T19" s="714"/>
      <c r="U19" s="715"/>
      <c r="V19" s="714"/>
      <c r="W19" s="715"/>
      <c r="X19" s="1541"/>
      <c r="Y19" s="3304"/>
      <c r="Z19" s="1542"/>
      <c r="AA19" s="1539">
        <v>1</v>
      </c>
      <c r="AB19" s="1539">
        <v>1</v>
      </c>
      <c r="AC19" s="1539">
        <v>1</v>
      </c>
    </row>
    <row r="20" spans="1:29" ht="57">
      <c r="A20" s="364"/>
      <c r="B20" s="587" t="s">
        <v>2532</v>
      </c>
      <c r="C20" s="2088"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3"/>
      <c r="M20" s="2947"/>
      <c r="N20" s="2947"/>
      <c r="O20" s="2947"/>
      <c r="P20" s="3304"/>
      <c r="Q20" s="1538" t="str">
        <f>B20</f>
        <v>自然及人文环境</v>
      </c>
      <c r="R20" s="714" t="s">
        <v>17</v>
      </c>
      <c r="S20" s="715">
        <f>F20</f>
        <v>100</v>
      </c>
      <c r="T20" s="714" t="s">
        <v>17</v>
      </c>
      <c r="U20" s="715">
        <f>H20</f>
        <v>100</v>
      </c>
      <c r="V20" s="714" t="s">
        <v>17</v>
      </c>
      <c r="W20" s="715">
        <f>J20</f>
        <v>100</v>
      </c>
      <c r="X20" s="1541"/>
      <c r="Y20" s="3304"/>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3"/>
      <c r="M21" s="2947"/>
      <c r="N21" s="2947"/>
      <c r="O21" s="2947"/>
      <c r="P21" s="3304"/>
      <c r="Q21" s="1538"/>
      <c r="R21" s="714"/>
      <c r="S21" s="715"/>
      <c r="T21" s="714"/>
      <c r="U21" s="715"/>
      <c r="V21" s="714"/>
      <c r="W21" s="715"/>
      <c r="X21" s="1541"/>
      <c r="Y21" s="3304"/>
      <c r="Z21" s="1542"/>
      <c r="AA21" s="1539">
        <v>1</v>
      </c>
      <c r="AB21" s="1539">
        <v>1</v>
      </c>
      <c r="AC21" s="1539">
        <v>1</v>
      </c>
    </row>
    <row r="22" spans="1:29" ht="15">
      <c r="A22" s="364"/>
      <c r="B22" s="587" t="s">
        <v>2533</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304"/>
      <c r="Q22" s="1538" t="str">
        <f>B22</f>
        <v>楼层</v>
      </c>
      <c r="R22" s="714" t="s">
        <v>17</v>
      </c>
      <c r="S22" s="715">
        <f>F22</f>
        <v>100</v>
      </c>
      <c r="T22" s="714" t="s">
        <v>17</v>
      </c>
      <c r="U22" s="715">
        <f>H22</f>
        <v>100</v>
      </c>
      <c r="V22" s="714" t="s">
        <v>17</v>
      </c>
      <c r="W22" s="715">
        <f>J22</f>
        <v>100</v>
      </c>
      <c r="X22" s="1541"/>
      <c r="Y22" s="3304"/>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304"/>
      <c r="Q23" s="1538">
        <f>B23</f>
        <v>111</v>
      </c>
      <c r="R23" s="714" t="s">
        <v>17</v>
      </c>
      <c r="S23" s="715">
        <f>F23</f>
        <v>100</v>
      </c>
      <c r="T23" s="714" t="s">
        <v>17</v>
      </c>
      <c r="U23" s="715">
        <f>H23</f>
        <v>100</v>
      </c>
      <c r="V23" s="714" t="s">
        <v>17</v>
      </c>
      <c r="W23" s="715">
        <f>J23</f>
        <v>100</v>
      </c>
      <c r="X23" s="1541"/>
      <c r="Y23" s="3304"/>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304"/>
      <c r="Q24" s="1538">
        <f t="shared" ref="Q24:Q36" si="11">B24</f>
        <v>111</v>
      </c>
      <c r="R24" s="714" t="s">
        <v>17</v>
      </c>
      <c r="S24" s="715">
        <f>F24</f>
        <v>100</v>
      </c>
      <c r="T24" s="714" t="s">
        <v>17</v>
      </c>
      <c r="U24" s="715">
        <f>H24</f>
        <v>100</v>
      </c>
      <c r="V24" s="714" t="s">
        <v>17</v>
      </c>
      <c r="W24" s="715">
        <f>J24</f>
        <v>100</v>
      </c>
      <c r="X24" s="1541"/>
      <c r="Y24" s="3304"/>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304"/>
      <c r="Q25" s="1529">
        <f t="shared" si="11"/>
        <v>111</v>
      </c>
      <c r="R25" s="710" t="s">
        <v>17</v>
      </c>
      <c r="S25" s="711">
        <f>F25</f>
        <v>100</v>
      </c>
      <c r="T25" s="710" t="s">
        <v>17</v>
      </c>
      <c r="U25" s="711">
        <f>H25</f>
        <v>100</v>
      </c>
      <c r="V25" s="710" t="s">
        <v>17</v>
      </c>
      <c r="W25" s="711">
        <f>J25</f>
        <v>100</v>
      </c>
      <c r="X25" s="712"/>
      <c r="Y25" s="3304"/>
      <c r="Z25" s="55">
        <f>Q25</f>
        <v>111</v>
      </c>
      <c r="AA25" s="1539">
        <f>D25/F25</f>
        <v>1</v>
      </c>
      <c r="AB25" s="1539">
        <f>D25/H25</f>
        <v>1</v>
      </c>
      <c r="AC25" s="1539">
        <f>D25/J25</f>
        <v>1</v>
      </c>
    </row>
    <row r="26" spans="1:29" ht="28.5">
      <c r="A26" s="608" t="s">
        <v>2385</v>
      </c>
      <c r="B26" s="66" t="s">
        <v>2534</v>
      </c>
      <c r="C26" s="2160">
        <f>B1</f>
        <v>0</v>
      </c>
      <c r="D26" s="407">
        <v>100</v>
      </c>
      <c r="E26" s="406"/>
      <c r="F26" s="408">
        <f>SUMIF(79:79,E26,80:80)-SUMIF(79:79,C26,80:80)+100</f>
        <v>100</v>
      </c>
      <c r="G26" s="406"/>
      <c r="H26" s="407">
        <f>SUMIF(79:79,G26,80:80)-SUMIF(79:79,C26,80:80)+100</f>
        <v>100</v>
      </c>
      <c r="I26" s="406"/>
      <c r="J26" s="407">
        <f>SUMIF(79:79,I26,80:80)-SUMIF(79:79,C26,80:80)+100</f>
        <v>100</v>
      </c>
      <c r="K26" s="569"/>
      <c r="L26" s="2953"/>
      <c r="M26" s="2947"/>
      <c r="N26" s="2947"/>
      <c r="O26" s="2947"/>
      <c r="P26" s="3327" t="s">
        <v>2387</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08" t="s">
        <v>2387</v>
      </c>
      <c r="Z26" s="1542" t="str">
        <f t="shared" ref="Z26:Z36" si="15">Q26</f>
        <v>配套类型</v>
      </c>
      <c r="AA26" s="1539">
        <f t="shared" si="3"/>
        <v>1</v>
      </c>
      <c r="AB26" s="1539">
        <f t="shared" si="4"/>
        <v>1</v>
      </c>
      <c r="AC26" s="1539">
        <f t="shared" si="5"/>
        <v>1</v>
      </c>
    </row>
    <row r="27" spans="1:29" s="430" customFormat="1" ht="15">
      <c r="A27" s="609"/>
      <c r="B27" s="610" t="s">
        <v>2535</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308"/>
      <c r="Q27" s="716" t="str">
        <f t="shared" si="11"/>
        <v>项目停车位配比</v>
      </c>
      <c r="R27" s="717" t="s">
        <v>17</v>
      </c>
      <c r="S27" s="718">
        <f t="shared" si="12"/>
        <v>100</v>
      </c>
      <c r="T27" s="717" t="s">
        <v>17</v>
      </c>
      <c r="U27" s="718">
        <f t="shared" si="13"/>
        <v>100</v>
      </c>
      <c r="V27" s="717" t="s">
        <v>17</v>
      </c>
      <c r="W27" s="718">
        <f t="shared" si="14"/>
        <v>100</v>
      </c>
      <c r="X27" s="719"/>
      <c r="Y27" s="3308"/>
      <c r="Z27" s="720" t="str">
        <f t="shared" si="15"/>
        <v>项目停车位配比</v>
      </c>
      <c r="AA27" s="1539">
        <f t="shared" si="3"/>
        <v>1</v>
      </c>
      <c r="AB27" s="1539">
        <f t="shared" si="4"/>
        <v>1</v>
      </c>
      <c r="AC27" s="1539">
        <f t="shared" si="5"/>
        <v>1</v>
      </c>
    </row>
    <row r="28" spans="1:29" ht="15">
      <c r="A28" s="612"/>
      <c r="B28" s="610" t="s">
        <v>2536</v>
      </c>
      <c r="C28" s="419"/>
      <c r="D28" s="394">
        <v>100</v>
      </c>
      <c r="E28" s="419"/>
      <c r="F28" s="420">
        <f>SUMIF(83:83,E28,84:84)-SUMIF(83:83,C28,84:84)+100</f>
        <v>100</v>
      </c>
      <c r="G28" s="419"/>
      <c r="H28" s="394">
        <f>SUMIF(83:83,G28,84:84)-SUMIF(83:83,C28,84:84)+100</f>
        <v>100</v>
      </c>
      <c r="I28" s="419"/>
      <c r="J28" s="394">
        <f>SUMIF(83:83,I28,84:84)-SUMIF(83:83,C28,84:84)+100</f>
        <v>100</v>
      </c>
      <c r="K28" s="569"/>
      <c r="L28" s="2953"/>
      <c r="M28" s="2947"/>
      <c r="N28" s="2947"/>
      <c r="O28" s="2947"/>
      <c r="P28" s="3308"/>
      <c r="Q28" s="1538" t="str">
        <f t="shared" si="11"/>
        <v>公共部分装修</v>
      </c>
      <c r="R28" s="714" t="s">
        <v>17</v>
      </c>
      <c r="S28" s="715">
        <f t="shared" si="12"/>
        <v>100</v>
      </c>
      <c r="T28" s="714" t="s">
        <v>17</v>
      </c>
      <c r="U28" s="715">
        <f t="shared" si="13"/>
        <v>100</v>
      </c>
      <c r="V28" s="714" t="s">
        <v>17</v>
      </c>
      <c r="W28" s="715">
        <f t="shared" si="14"/>
        <v>100</v>
      </c>
      <c r="X28" s="1541"/>
      <c r="Y28" s="3308"/>
      <c r="Z28" s="1542" t="str">
        <f t="shared" si="15"/>
        <v>公共部分装修</v>
      </c>
      <c r="AA28" s="1539">
        <f t="shared" si="3"/>
        <v>1</v>
      </c>
      <c r="AB28" s="1539">
        <f t="shared" si="4"/>
        <v>1</v>
      </c>
      <c r="AC28" s="1539">
        <f t="shared" si="5"/>
        <v>1</v>
      </c>
    </row>
    <row r="29" spans="1:29" ht="15">
      <c r="A29" s="612"/>
      <c r="B29" s="610" t="s">
        <v>2537</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3"/>
      <c r="M29" s="2947"/>
      <c r="N29" s="2947"/>
      <c r="O29" s="2947"/>
      <c r="P29" s="3308"/>
      <c r="Q29" s="1538" t="str">
        <f t="shared" si="11"/>
        <v>成新率</v>
      </c>
      <c r="R29" s="714" t="s">
        <v>17</v>
      </c>
      <c r="S29" s="715" t="e">
        <f t="shared" si="12"/>
        <v>#N/A</v>
      </c>
      <c r="T29" s="714" t="s">
        <v>17</v>
      </c>
      <c r="U29" s="715" t="e">
        <f t="shared" si="13"/>
        <v>#N/A</v>
      </c>
      <c r="V29" s="714" t="s">
        <v>17</v>
      </c>
      <c r="W29" s="715" t="e">
        <f t="shared" si="14"/>
        <v>#N/A</v>
      </c>
      <c r="X29" s="1541"/>
      <c r="Y29" s="3308"/>
      <c r="Z29" s="1542" t="str">
        <f t="shared" si="15"/>
        <v>成新率</v>
      </c>
      <c r="AA29" s="1539" t="e">
        <f t="shared" si="3"/>
        <v>#N/A</v>
      </c>
      <c r="AB29" s="1539" t="e">
        <f t="shared" si="4"/>
        <v>#N/A</v>
      </c>
      <c r="AC29" s="1539" t="e">
        <f t="shared" si="5"/>
        <v>#N/A</v>
      </c>
    </row>
    <row r="30" spans="1:29" ht="15">
      <c r="A30" s="612"/>
      <c r="B30" s="610" t="s">
        <v>2538</v>
      </c>
      <c r="C30" s="613"/>
      <c r="D30" s="394">
        <v>100</v>
      </c>
      <c r="E30" s="613"/>
      <c r="F30" s="420">
        <f>SUMIF(88:88,E30,89:89)-SUMIF(88:88,C30,89:89)+100</f>
        <v>100</v>
      </c>
      <c r="G30" s="613"/>
      <c r="H30" s="394">
        <f>SUMIF(88:88,E30,89:89)-SUMIF(88:88,C30,89:89)+100</f>
        <v>100</v>
      </c>
      <c r="I30" s="613"/>
      <c r="J30" s="394">
        <f>SUMIF(88:88,E30,89:89)-SUMIF(88:88,C30,89:89)+100</f>
        <v>100</v>
      </c>
      <c r="K30" s="569"/>
      <c r="L30" s="2953"/>
      <c r="M30" s="2947"/>
      <c r="N30" s="2947"/>
      <c r="O30" s="2947"/>
      <c r="P30" s="3308"/>
      <c r="Q30" s="1538" t="str">
        <f t="shared" si="11"/>
        <v>物业等级</v>
      </c>
      <c r="R30" s="714" t="s">
        <v>17</v>
      </c>
      <c r="S30" s="715">
        <f t="shared" si="12"/>
        <v>100</v>
      </c>
      <c r="T30" s="714" t="s">
        <v>17</v>
      </c>
      <c r="U30" s="715">
        <f t="shared" si="13"/>
        <v>100</v>
      </c>
      <c r="V30" s="714" t="s">
        <v>17</v>
      </c>
      <c r="W30" s="715">
        <f t="shared" si="14"/>
        <v>100</v>
      </c>
      <c r="X30" s="1541"/>
      <c r="Y30" s="3308"/>
      <c r="Z30" s="1542" t="str">
        <f t="shared" si="15"/>
        <v>物业等级</v>
      </c>
      <c r="AA30" s="1539">
        <f t="shared" si="3"/>
        <v>1</v>
      </c>
      <c r="AB30" s="1539">
        <f t="shared" si="4"/>
        <v>1</v>
      </c>
      <c r="AC30" s="1539">
        <f t="shared" si="5"/>
        <v>1</v>
      </c>
    </row>
    <row r="31" spans="1:29" s="113" customFormat="1" ht="15">
      <c r="A31" s="614"/>
      <c r="B31" s="610" t="s">
        <v>2539</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8"/>
      <c r="M31" s="2949"/>
      <c r="N31" s="2949"/>
      <c r="O31" s="2949"/>
      <c r="P31" s="3308"/>
      <c r="Q31" s="1529" t="str">
        <f t="shared" si="11"/>
        <v>停车位面积</v>
      </c>
      <c r="R31" s="710" t="s">
        <v>17</v>
      </c>
      <c r="S31" s="711" t="e">
        <f t="shared" si="12"/>
        <v>#N/A</v>
      </c>
      <c r="T31" s="710" t="s">
        <v>17</v>
      </c>
      <c r="U31" s="711" t="e">
        <f t="shared" si="13"/>
        <v>#N/A</v>
      </c>
      <c r="V31" s="710" t="s">
        <v>17</v>
      </c>
      <c r="W31" s="711" t="e">
        <f t="shared" si="14"/>
        <v>#N/A</v>
      </c>
      <c r="X31" s="712"/>
      <c r="Y31" s="3308"/>
      <c r="Z31" s="55" t="str">
        <f t="shared" si="15"/>
        <v>停车位面积</v>
      </c>
      <c r="AA31" s="713" t="e">
        <f t="shared" si="3"/>
        <v>#N/A</v>
      </c>
      <c r="AB31" s="713" t="e">
        <f t="shared" si="4"/>
        <v>#N/A</v>
      </c>
      <c r="AC31" s="713" t="e">
        <f t="shared" si="5"/>
        <v>#N/A</v>
      </c>
    </row>
    <row r="32" spans="1:29" ht="15">
      <c r="A32" s="612"/>
      <c r="B32" s="610" t="s">
        <v>2540</v>
      </c>
      <c r="C32" s="419"/>
      <c r="D32" s="394">
        <v>100</v>
      </c>
      <c r="E32" s="419"/>
      <c r="F32" s="420">
        <f>SUMIF(93:93,E32,94:94)-SUMIF(93:93,C32,94:94)+100</f>
        <v>100</v>
      </c>
      <c r="G32" s="419"/>
      <c r="H32" s="394">
        <f>SUMIF(93:93,G32,94:94)-SUMIF(93:93,C32,94:94)+100</f>
        <v>100</v>
      </c>
      <c r="I32" s="419"/>
      <c r="J32" s="394">
        <f>SUMIF(93:93,I32,94:94)-SUMIF(93:93,C32,94:94)+100</f>
        <v>100</v>
      </c>
      <c r="K32" s="569"/>
      <c r="L32" s="2953"/>
      <c r="M32" s="2947"/>
      <c r="N32" s="2947"/>
      <c r="O32" s="2947"/>
      <c r="P32" s="3308" t="s">
        <v>2387</v>
      </c>
      <c r="Q32" s="1538" t="str">
        <f t="shared" si="11"/>
        <v>车位类型</v>
      </c>
      <c r="R32" s="714" t="s">
        <v>17</v>
      </c>
      <c r="S32" s="715">
        <f t="shared" si="12"/>
        <v>100</v>
      </c>
      <c r="T32" s="714" t="s">
        <v>17</v>
      </c>
      <c r="U32" s="715">
        <f t="shared" si="13"/>
        <v>100</v>
      </c>
      <c r="V32" s="714" t="s">
        <v>17</v>
      </c>
      <c r="W32" s="715">
        <f t="shared" si="14"/>
        <v>100</v>
      </c>
      <c r="X32" s="1541"/>
      <c r="Y32" s="3308" t="s">
        <v>2387</v>
      </c>
      <c r="Z32" s="1542" t="str">
        <f t="shared" si="15"/>
        <v>车位类型</v>
      </c>
      <c r="AA32" s="1539">
        <f t="shared" si="3"/>
        <v>1</v>
      </c>
      <c r="AB32" s="1539">
        <f t="shared" si="4"/>
        <v>1</v>
      </c>
      <c r="AC32" s="1539">
        <f t="shared" si="5"/>
        <v>1</v>
      </c>
    </row>
    <row r="33" spans="1:29" ht="15">
      <c r="A33" s="612"/>
      <c r="B33" s="610" t="s">
        <v>2541</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308"/>
      <c r="Q33" s="1538" t="str">
        <f t="shared" si="11"/>
        <v>是否直接入户</v>
      </c>
      <c r="R33" s="714" t="s">
        <v>17</v>
      </c>
      <c r="S33" s="715">
        <f t="shared" si="12"/>
        <v>100</v>
      </c>
      <c r="T33" s="714" t="s">
        <v>17</v>
      </c>
      <c r="U33" s="715">
        <f t="shared" si="13"/>
        <v>100</v>
      </c>
      <c r="V33" s="714" t="s">
        <v>17</v>
      </c>
      <c r="W33" s="715">
        <f t="shared" si="14"/>
        <v>100</v>
      </c>
      <c r="X33" s="1541"/>
      <c r="Y33" s="3308"/>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308"/>
      <c r="Q34" s="1538">
        <f t="shared" si="11"/>
        <v>111</v>
      </c>
      <c r="R34" s="714" t="s">
        <v>17</v>
      </c>
      <c r="S34" s="715">
        <f t="shared" si="12"/>
        <v>100</v>
      </c>
      <c r="T34" s="714" t="s">
        <v>17</v>
      </c>
      <c r="U34" s="715">
        <f t="shared" si="13"/>
        <v>100</v>
      </c>
      <c r="V34" s="714" t="s">
        <v>17</v>
      </c>
      <c r="W34" s="715">
        <f t="shared" si="14"/>
        <v>100</v>
      </c>
      <c r="X34" s="1541"/>
      <c r="Y34" s="3308"/>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308"/>
      <c r="Q35" s="716">
        <f t="shared" si="11"/>
        <v>111</v>
      </c>
      <c r="R35" s="717" t="s">
        <v>17</v>
      </c>
      <c r="S35" s="718">
        <f t="shared" si="12"/>
        <v>100</v>
      </c>
      <c r="T35" s="717" t="s">
        <v>17</v>
      </c>
      <c r="U35" s="718">
        <f t="shared" si="13"/>
        <v>100</v>
      </c>
      <c r="V35" s="717" t="s">
        <v>17</v>
      </c>
      <c r="W35" s="718">
        <f t="shared" si="14"/>
        <v>100</v>
      </c>
      <c r="X35" s="719"/>
      <c r="Y35" s="3308"/>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308"/>
      <c r="Q36" s="1538">
        <f t="shared" si="11"/>
        <v>111</v>
      </c>
      <c r="R36" s="714" t="s">
        <v>17</v>
      </c>
      <c r="S36" s="715">
        <f t="shared" si="12"/>
        <v>100</v>
      </c>
      <c r="T36" s="714" t="s">
        <v>17</v>
      </c>
      <c r="U36" s="715">
        <f t="shared" si="13"/>
        <v>100</v>
      </c>
      <c r="V36" s="714" t="s">
        <v>17</v>
      </c>
      <c r="W36" s="715">
        <f t="shared" si="14"/>
        <v>100</v>
      </c>
      <c r="X36" s="1541"/>
      <c r="Y36" s="3308"/>
      <c r="Z36" s="1542">
        <f t="shared" si="15"/>
        <v>111</v>
      </c>
      <c r="AA36" s="1539">
        <f t="shared" si="3"/>
        <v>1</v>
      </c>
      <c r="AB36" s="1539">
        <f t="shared" si="4"/>
        <v>1</v>
      </c>
      <c r="AC36" s="1539">
        <f t="shared" si="5"/>
        <v>1</v>
      </c>
    </row>
    <row r="37" spans="1:29" ht="15">
      <c r="A37" s="438" t="s">
        <v>2542</v>
      </c>
      <c r="B37" s="2161" t="s">
        <v>2543</v>
      </c>
      <c r="C37" s="1316" t="s">
        <v>1</v>
      </c>
      <c r="D37" s="1317"/>
      <c r="E37" s="1318"/>
      <c r="F37" s="1319"/>
      <c r="G37" s="1320"/>
      <c r="H37" s="1321"/>
      <c r="I37" s="1318"/>
      <c r="J37" s="1321"/>
      <c r="K37" s="576"/>
      <c r="L37" s="2955"/>
      <c r="M37" s="2956"/>
      <c r="N37" s="2947"/>
      <c r="O37" s="2956"/>
      <c r="P37" s="3301" t="str">
        <f>A37</f>
        <v>成交单价</v>
      </c>
      <c r="Q37" s="3301"/>
      <c r="R37" s="3302">
        <f>E37</f>
        <v>0</v>
      </c>
      <c r="S37" s="3302"/>
      <c r="T37" s="3302">
        <f>G37</f>
        <v>0</v>
      </c>
      <c r="U37" s="3302"/>
      <c r="V37" s="3302">
        <f>I37</f>
        <v>0</v>
      </c>
      <c r="W37" s="3302"/>
      <c r="X37" s="699"/>
      <c r="Y37" s="721"/>
      <c r="Z37" s="699"/>
      <c r="AA37" s="699"/>
      <c r="AB37" s="699"/>
      <c r="AC37" s="699"/>
    </row>
    <row r="38" spans="1:29" ht="15.75" thickBot="1">
      <c r="A38" s="445" t="s">
        <v>2544</v>
      </c>
      <c r="B38" s="446" t="str">
        <f>B37</f>
        <v>元/车位</v>
      </c>
      <c r="C38" s="1322" t="e">
        <f>R39</f>
        <v>#DIV/0!</v>
      </c>
      <c r="D38" s="2540" t="s">
        <v>2882</v>
      </c>
      <c r="E38" s="1323" t="e">
        <f>R38</f>
        <v>#DIV/0!</v>
      </c>
      <c r="F38" s="2541"/>
      <c r="G38" s="1322" t="e">
        <f>T38</f>
        <v>#DIV/0!</v>
      </c>
      <c r="H38" s="2541"/>
      <c r="I38" s="1323" t="e">
        <f>V38</f>
        <v>#DIV/0!</v>
      </c>
      <c r="J38" s="2541"/>
      <c r="K38" s="2543">
        <f>F38+H38+J38</f>
        <v>0</v>
      </c>
      <c r="L38" s="2955"/>
      <c r="M38" s="2956"/>
      <c r="N38" s="2956"/>
      <c r="O38" s="2956"/>
      <c r="P38" s="3301" t="str">
        <f>A38</f>
        <v>比较价值（元/平方米）</v>
      </c>
      <c r="Q38" s="3301"/>
      <c r="R38" s="3302" t="e">
        <f>IF(F1="售价",ROUND(PRODUCT(R37,AA7:AA36),0),ROUND(PRODUCT(R37,AA7:AA36),1))</f>
        <v>#DIV/0!</v>
      </c>
      <c r="S38" s="3302"/>
      <c r="T38" s="3302" t="e">
        <f>IF(F1="售价",ROUND(PRODUCT(T37,AB7:AB36),0),ROUND(PRODUCT(T37,AB7:AB36),1))</f>
        <v>#DIV/0!</v>
      </c>
      <c r="U38" s="3302"/>
      <c r="V38" s="3302" t="e">
        <f>IF(F1="售价",ROUND(PRODUCT(V37,AC7:AC36),0),ROUND(PRODUCT(V37,AC7:AC36),1))</f>
        <v>#DIV/0!</v>
      </c>
      <c r="W38" s="3302"/>
      <c r="X38" s="699"/>
      <c r="Y38" s="699"/>
      <c r="Z38" s="699"/>
      <c r="AA38" s="699"/>
      <c r="AB38" s="699"/>
      <c r="AC38" s="699"/>
    </row>
    <row r="39" spans="1:29" ht="15.75" thickBot="1">
      <c r="A39" s="449" t="s">
        <v>2545</v>
      </c>
      <c r="B39" s="450"/>
      <c r="C39" s="1325" t="e">
        <f>R39</f>
        <v>#DIV/0!</v>
      </c>
      <c r="D39" s="1325"/>
      <c r="E39" s="1325"/>
      <c r="F39" s="1325"/>
      <c r="G39" s="1325"/>
      <c r="H39" s="1325"/>
      <c r="I39" s="1325"/>
      <c r="J39" s="1325"/>
      <c r="K39" s="577"/>
      <c r="L39" s="2955"/>
      <c r="M39" s="2956"/>
      <c r="N39" s="2956"/>
      <c r="O39" s="2956"/>
      <c r="P39" s="3298" t="str">
        <f>A39</f>
        <v>估价对象XX用房的比较价值（楼面单价，元/平方米）</v>
      </c>
      <c r="Q39" s="3299"/>
      <c r="R39" s="3328" t="e">
        <f>IF(F1="售价",ROUND(IF(D38="简单平均",AVERAGE(R38:W38),R38*F38+T38*H38+V38*J38),0),ROUND(IF(D38="简单平均",AVERAGE(R38:V38),R38*F38+T38*H38+V38*J38),1))</f>
        <v>#DIV/0!</v>
      </c>
      <c r="S39" s="3328"/>
      <c r="T39" s="3328"/>
      <c r="U39" s="3328"/>
      <c r="V39" s="3328"/>
      <c r="W39" s="3328"/>
      <c r="X39" s="699"/>
      <c r="Y39" s="699"/>
      <c r="Z39" s="699"/>
      <c r="AA39" s="699"/>
      <c r="AB39" s="699"/>
      <c r="AC39" s="699"/>
    </row>
    <row r="40" spans="1:29">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c r="A42" s="2956"/>
      <c r="B42" s="2956"/>
      <c r="C42" s="454" t="s">
        <v>2546</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c r="A43" s="2956"/>
      <c r="B43" s="2956"/>
      <c r="C43" s="454" t="s">
        <v>2547</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c r="A44" s="2959"/>
      <c r="B44" s="2959"/>
      <c r="C44" s="454" t="s">
        <v>2548</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1.75" thickBot="1">
      <c r="A47" s="1328" t="s">
        <v>2549</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ht="15">
      <c r="A48" s="462" t="s">
        <v>2550</v>
      </c>
      <c r="B48" s="463"/>
      <c r="C48" s="1346" t="str">
        <f>YEAR(C7)&amp;"-"&amp;MONTH(C7)</f>
        <v>2020-9</v>
      </c>
      <c r="D48" s="1347">
        <f>EDATE(C48,-1)</f>
        <v>44044</v>
      </c>
      <c r="E48" s="1347">
        <f t="shared" ref="E48:O48" si="16">EDATE(D48,-1)</f>
        <v>44013</v>
      </c>
      <c r="F48" s="1347">
        <f t="shared" si="16"/>
        <v>43983</v>
      </c>
      <c r="G48" s="1347">
        <f t="shared" si="16"/>
        <v>43952</v>
      </c>
      <c r="H48" s="1347">
        <f t="shared" si="16"/>
        <v>43922</v>
      </c>
      <c r="I48" s="1347">
        <f t="shared" si="16"/>
        <v>43891</v>
      </c>
      <c r="J48" s="1347">
        <f t="shared" si="16"/>
        <v>43862</v>
      </c>
      <c r="K48" s="1347">
        <f t="shared" si="16"/>
        <v>43831</v>
      </c>
      <c r="L48" s="1347">
        <f t="shared" si="16"/>
        <v>43800</v>
      </c>
      <c r="M48" s="1347">
        <f t="shared" si="16"/>
        <v>43770</v>
      </c>
      <c r="N48" s="1347">
        <f t="shared" si="16"/>
        <v>43739</v>
      </c>
      <c r="O48" s="1347">
        <f t="shared" si="16"/>
        <v>43709</v>
      </c>
      <c r="P48" s="2990"/>
      <c r="Q48" s="2972"/>
      <c r="R48" s="2972"/>
      <c r="S48" s="2972"/>
      <c r="T48" s="2972"/>
      <c r="U48" s="2972"/>
      <c r="V48" s="2972"/>
      <c r="W48" s="2972"/>
      <c r="X48" s="2972"/>
      <c r="Y48" s="2972"/>
      <c r="Z48" s="2972"/>
      <c r="AA48" s="2972"/>
      <c r="AB48" s="2972"/>
      <c r="AC48" s="2972"/>
    </row>
    <row r="49" spans="1:29" s="113" customFormat="1" ht="15">
      <c r="A49" s="466"/>
      <c r="B49" s="467"/>
      <c r="C49" s="1339">
        <v>100</v>
      </c>
      <c r="D49" s="469"/>
      <c r="E49" s="469"/>
      <c r="F49" s="469"/>
      <c r="G49" s="469"/>
      <c r="H49" s="469"/>
      <c r="I49" s="469"/>
      <c r="J49" s="469"/>
      <c r="K49" s="469"/>
      <c r="L49" s="469"/>
      <c r="M49" s="470"/>
      <c r="N49" s="469"/>
      <c r="O49" s="470"/>
      <c r="P49" s="2991"/>
      <c r="Q49" s="2890"/>
      <c r="R49" s="2890"/>
      <c r="S49" s="2890"/>
      <c r="T49" s="2890"/>
      <c r="U49" s="2890"/>
      <c r="V49" s="2890"/>
      <c r="W49" s="2890"/>
      <c r="X49" s="2890"/>
      <c r="Y49" s="2890"/>
      <c r="Z49" s="2890"/>
      <c r="AA49" s="2890"/>
      <c r="AB49" s="2890"/>
      <c r="AC49" s="2890"/>
    </row>
    <row r="50" spans="1:29" s="113" customFormat="1" ht="15.75" thickBot="1">
      <c r="A50" s="472" t="s">
        <v>2407</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ht="15">
      <c r="A51" s="478" t="s">
        <v>2372</v>
      </c>
      <c r="B51" s="467"/>
      <c r="C51" s="479" t="s">
        <v>2474</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5.75" thickBot="1">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c r="A53" s="484" t="s">
        <v>2410</v>
      </c>
      <c r="B53" s="485" t="s">
        <v>2376</v>
      </c>
      <c r="C53" s="486">
        <f>C9</f>
        <v>0</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5.75" thickBot="1">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7.75" thickTop="1">
      <c r="A55" s="491"/>
      <c r="B55" s="495" t="s">
        <v>2379</v>
      </c>
      <c r="C55" s="496" t="s">
        <v>2411</v>
      </c>
      <c r="D55" s="496" t="s">
        <v>2412</v>
      </c>
      <c r="E55" s="496" t="s">
        <v>2413</v>
      </c>
      <c r="F55" s="496" t="s">
        <v>2414</v>
      </c>
      <c r="G55" s="496" t="s">
        <v>2415</v>
      </c>
      <c r="H55" s="496" t="s">
        <v>2416</v>
      </c>
      <c r="I55" s="496" t="s">
        <v>2417</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5.75" thickTop="1">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5.75" thickBot="1">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5.75" thickTop="1">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5.75" thickBot="1">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5.75" thickTop="1">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5.75" thickBot="1">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c r="A63" s="484" t="s">
        <v>2381</v>
      </c>
      <c r="B63" s="485" t="s">
        <v>2424</v>
      </c>
      <c r="C63" s="530" t="s">
        <v>2419</v>
      </c>
      <c r="D63" s="530" t="s">
        <v>2420</v>
      </c>
      <c r="E63" s="530" t="s">
        <v>2421</v>
      </c>
      <c r="F63" s="530" t="s">
        <v>2422</v>
      </c>
      <c r="G63" s="530" t="s">
        <v>2423</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75" thickTop="1">
      <c r="A65" s="491"/>
      <c r="B65" s="495" t="s">
        <v>2425</v>
      </c>
      <c r="C65" s="535" t="s">
        <v>2419</v>
      </c>
      <c r="D65" s="535" t="s">
        <v>2420</v>
      </c>
      <c r="E65" s="535" t="s">
        <v>2421</v>
      </c>
      <c r="F65" s="535" t="s">
        <v>2422</v>
      </c>
      <c r="G65" s="535" t="s">
        <v>2423</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75" thickTop="1">
      <c r="A67" s="491"/>
      <c r="B67" s="503" t="s">
        <v>2511</v>
      </c>
      <c r="C67" s="616" t="s">
        <v>2497</v>
      </c>
      <c r="D67" s="616" t="s">
        <v>2498</v>
      </c>
      <c r="E67" s="616" t="s">
        <v>2499</v>
      </c>
      <c r="F67" s="616" t="s">
        <v>2500</v>
      </c>
      <c r="G67" s="616" t="s">
        <v>2501</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75" thickTop="1">
      <c r="A69" s="491"/>
      <c r="B69" s="495" t="s">
        <v>2431</v>
      </c>
      <c r="C69" s="535" t="s">
        <v>2419</v>
      </c>
      <c r="D69" s="535" t="s">
        <v>2420</v>
      </c>
      <c r="E69" s="535" t="s">
        <v>2421</v>
      </c>
      <c r="F69" s="535" t="s">
        <v>2422</v>
      </c>
      <c r="G69" s="535" t="s">
        <v>2423</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75" thickTop="1">
      <c r="A71" s="491"/>
      <c r="B71" s="495" t="s">
        <v>2551</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5.75" thickTop="1">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5.75" thickBot="1">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5.75" thickTop="1">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5.75" thickBot="1">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5.75" thickTop="1">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5.75" thickBot="1">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7.75" thickTop="1">
      <c r="A79" s="484" t="s">
        <v>2385</v>
      </c>
      <c r="B79" s="485" t="s">
        <v>2552</v>
      </c>
      <c r="C79" s="486">
        <f>C26</f>
        <v>0</v>
      </c>
      <c r="D79" s="487"/>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5"/>
      <c r="O80" s="2985"/>
      <c r="P80" s="2993"/>
      <c r="Q80" s="2970"/>
      <c r="R80" s="2956"/>
      <c r="S80" s="2956"/>
      <c r="T80" s="2956"/>
      <c r="U80" s="2956"/>
      <c r="V80" s="2956"/>
      <c r="W80" s="2956"/>
      <c r="X80" s="2956"/>
      <c r="Y80" s="2956"/>
      <c r="Z80" s="2956"/>
      <c r="AA80" s="2956"/>
      <c r="AB80" s="2956"/>
      <c r="AC80" s="2956"/>
    </row>
    <row r="81" spans="1:29" ht="15.75" thickTop="1">
      <c r="A81" s="491"/>
      <c r="B81" s="495" t="s">
        <v>2553</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5.75" thickBot="1">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c r="A83" s="556"/>
      <c r="B83" s="495" t="s">
        <v>2438</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5"/>
      <c r="O84" s="2985"/>
      <c r="P84" s="2993"/>
      <c r="Q84" s="2970"/>
      <c r="R84" s="2956"/>
      <c r="S84" s="2956"/>
      <c r="T84" s="2956"/>
      <c r="U84" s="2956"/>
      <c r="V84" s="2956"/>
      <c r="W84" s="2956"/>
      <c r="X84" s="2956"/>
      <c r="Y84" s="2956"/>
      <c r="Z84" s="2956"/>
      <c r="AA84" s="2956"/>
      <c r="AB84" s="2956"/>
      <c r="AC84" s="2956"/>
    </row>
    <row r="85" spans="1:29" ht="15" thickTop="1">
      <c r="A85" s="556"/>
      <c r="B85" s="495" t="s">
        <v>2554</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5"/>
      <c r="O87" s="2985"/>
      <c r="P87" s="2993"/>
      <c r="Q87" s="2970"/>
      <c r="R87" s="2956"/>
      <c r="S87" s="2956"/>
      <c r="T87" s="2956"/>
      <c r="U87" s="2956"/>
      <c r="V87" s="2956"/>
      <c r="W87" s="2956"/>
      <c r="X87" s="2956"/>
      <c r="Y87" s="2956"/>
      <c r="Z87" s="2956"/>
      <c r="AA87" s="2956"/>
      <c r="AB87" s="2956"/>
      <c r="AC87" s="2956"/>
    </row>
    <row r="88" spans="1:29" ht="15" thickTop="1">
      <c r="A88" s="556"/>
      <c r="B88" s="503" t="s">
        <v>2555</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5"/>
      <c r="O89" s="2985"/>
      <c r="P89" s="2993"/>
      <c r="Q89" s="2970"/>
      <c r="R89" s="2956"/>
      <c r="S89" s="2956"/>
      <c r="T89" s="2956"/>
      <c r="U89" s="2956"/>
      <c r="V89" s="2956"/>
      <c r="W89" s="2956"/>
      <c r="X89" s="2956"/>
      <c r="Y89" s="2956"/>
      <c r="Z89" s="2956"/>
      <c r="AA89" s="2956"/>
      <c r="AB89" s="2956"/>
      <c r="AC89" s="2956"/>
    </row>
    <row r="90" spans="1:29" s="430" customFormat="1" ht="15" thickTop="1">
      <c r="A90" s="550"/>
      <c r="B90" s="495" t="s">
        <v>2556</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c r="A91" s="550"/>
      <c r="B91" s="503"/>
      <c r="C91" s="552"/>
      <c r="D91" s="552"/>
      <c r="E91" s="552"/>
      <c r="F91" s="552"/>
      <c r="G91" s="552"/>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17"/>
      <c r="D92" s="493"/>
      <c r="E92" s="493"/>
      <c r="F92" s="493"/>
      <c r="G92" s="493"/>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c r="A93" s="556"/>
      <c r="B93" s="495" t="s">
        <v>2557</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5"/>
      <c r="O94" s="2985"/>
      <c r="P94" s="2993"/>
      <c r="Q94" s="2970"/>
      <c r="R94" s="2956"/>
      <c r="S94" s="2956"/>
      <c r="T94" s="2956"/>
      <c r="U94" s="2956"/>
      <c r="V94" s="2956"/>
      <c r="W94" s="2956"/>
      <c r="X94" s="2956"/>
      <c r="Y94" s="2956"/>
      <c r="Z94" s="2956"/>
      <c r="AA94" s="2956"/>
      <c r="AB94" s="2956"/>
      <c r="AC94" s="2956"/>
    </row>
    <row r="95" spans="1:29" ht="15" thickTop="1">
      <c r="A95" s="556"/>
      <c r="B95" s="495" t="s">
        <v>2558</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5" thickTop="1">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5.75" thickBot="1">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5" thickTop="1">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5.75" thickBot="1">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5" thickTop="1">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5" thickTop="1">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U518" sqref="U518"/>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2529</v>
      </c>
      <c r="B1" s="1391"/>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IF(C2="——",ROUND(C37*D3/10000,0),ROUND(C37*D3/10000,0)-D2)</f>
        <v>#DIV/0!</v>
      </c>
      <c r="C2" s="2069"/>
      <c r="D2" s="1038" t="e">
        <f ca="1">SUMIF(INDIRECT("'"&amp;F2&amp;"'"&amp;"!A:A"),"承租人权益价值",INDIRECT("'"&amp;F2&amp;"'"&amp;"!c:c"))</f>
        <v>#REF!</v>
      </c>
      <c r="E2" s="2070" t="s">
        <v>2150</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2151</v>
      </c>
      <c r="B3" s="566" t="e">
        <f ca="1">IF(C2="——",C37,ROUND(B2*10000/D3,0))</f>
        <v>#DIV/0!</v>
      </c>
      <c r="C3" s="360" t="s">
        <v>2466</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2467</v>
      </c>
      <c r="B4" s="362"/>
      <c r="C4" s="3284" t="s">
        <v>2468</v>
      </c>
      <c r="D4" s="3285"/>
      <c r="E4" s="3286" t="s">
        <v>2469</v>
      </c>
      <c r="F4" s="3287"/>
      <c r="G4" s="3284" t="s">
        <v>2470</v>
      </c>
      <c r="H4" s="3285"/>
      <c r="I4" s="3284" t="s">
        <v>2471</v>
      </c>
      <c r="J4" s="3285"/>
      <c r="K4" s="567" t="s">
        <v>2472</v>
      </c>
      <c r="L4" s="2946"/>
      <c r="M4" s="2947"/>
      <c r="N4" s="2947"/>
      <c r="O4" s="2947"/>
      <c r="P4" s="3288" t="s">
        <v>2473</v>
      </c>
      <c r="Q4" s="3289"/>
      <c r="R4" s="3271" t="s">
        <v>2469</v>
      </c>
      <c r="S4" s="3272"/>
      <c r="T4" s="3271" t="s">
        <v>2470</v>
      </c>
      <c r="U4" s="3272"/>
      <c r="V4" s="3296" t="s">
        <v>2471</v>
      </c>
      <c r="W4" s="3296"/>
      <c r="X4" s="1541"/>
      <c r="Y4" s="3271" t="s">
        <v>2473</v>
      </c>
      <c r="Z4" s="3272"/>
      <c r="AA4" s="3266" t="s">
        <v>2469</v>
      </c>
      <c r="AB4" s="3267" t="s">
        <v>2470</v>
      </c>
      <c r="AC4" s="3266" t="s">
        <v>2471</v>
      </c>
    </row>
    <row r="5" spans="1:29" ht="15">
      <c r="A5" s="364"/>
      <c r="B5" s="365"/>
      <c r="C5" s="3277" t="s">
        <v>2364</v>
      </c>
      <c r="D5" s="3278"/>
      <c r="E5" s="3275" t="s">
        <v>2365</v>
      </c>
      <c r="F5" s="3276"/>
      <c r="G5" s="3277" t="s">
        <v>2366</v>
      </c>
      <c r="H5" s="3278"/>
      <c r="I5" s="3277" t="s">
        <v>2367</v>
      </c>
      <c r="J5" s="3278"/>
      <c r="K5" s="567"/>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279" t="s">
        <v>2368</v>
      </c>
      <c r="D6" s="3280"/>
      <c r="E6" s="3281" t="s">
        <v>2368</v>
      </c>
      <c r="F6" s="3282"/>
      <c r="G6" s="3279" t="s">
        <v>2368</v>
      </c>
      <c r="H6" s="3280"/>
      <c r="I6" s="3279" t="s">
        <v>2368</v>
      </c>
      <c r="J6" s="3280"/>
      <c r="K6" s="567" t="s">
        <v>2369</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2370</v>
      </c>
      <c r="B7" s="369"/>
      <c r="C7" s="370">
        <f>'数据-取费表'!B2</f>
        <v>44076</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269" t="s">
        <v>2371</v>
      </c>
      <c r="Q7" s="3297"/>
      <c r="R7" s="710" t="s">
        <v>17</v>
      </c>
      <c r="S7" s="711">
        <f t="shared" ref="S7:S14" si="0">F7</f>
        <v>0</v>
      </c>
      <c r="T7" s="710" t="s">
        <v>17</v>
      </c>
      <c r="U7" s="711">
        <f t="shared" ref="U7:U14" si="1">H7</f>
        <v>0</v>
      </c>
      <c r="V7" s="710" t="s">
        <v>17</v>
      </c>
      <c r="W7" s="711">
        <f t="shared" ref="W7:W14" si="2">J7</f>
        <v>0</v>
      </c>
      <c r="X7" s="712"/>
      <c r="Y7" s="3269" t="s">
        <v>2371</v>
      </c>
      <c r="Z7" s="3270"/>
      <c r="AA7" s="713" t="e">
        <f>D7/F7</f>
        <v>#DIV/0!</v>
      </c>
      <c r="AB7" s="713" t="e">
        <f>D7/H7</f>
        <v>#DIV/0!</v>
      </c>
      <c r="AC7" s="713" t="e">
        <f>D7/J7</f>
        <v>#DIV/0!</v>
      </c>
    </row>
    <row r="8" spans="1:29" s="113" customFormat="1" ht="15.75" thickBot="1">
      <c r="A8" s="368" t="s">
        <v>2372</v>
      </c>
      <c r="B8" s="369"/>
      <c r="C8" s="374" t="s">
        <v>2474</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269" t="s">
        <v>2374</v>
      </c>
      <c r="Q8" s="3270"/>
      <c r="R8" s="710" t="s">
        <v>17</v>
      </c>
      <c r="S8" s="711">
        <f t="shared" si="0"/>
        <v>0</v>
      </c>
      <c r="T8" s="710" t="s">
        <v>17</v>
      </c>
      <c r="U8" s="711">
        <f t="shared" si="1"/>
        <v>0</v>
      </c>
      <c r="V8" s="710" t="s">
        <v>17</v>
      </c>
      <c r="W8" s="711">
        <f t="shared" si="2"/>
        <v>0</v>
      </c>
      <c r="X8" s="712"/>
      <c r="Y8" s="3269" t="s">
        <v>2374</v>
      </c>
      <c r="Z8" s="3270"/>
      <c r="AA8" s="713" t="e">
        <f t="shared" ref="AA8:AA34" si="3">D8/F8</f>
        <v>#DIV/0!</v>
      </c>
      <c r="AB8" s="713" t="e">
        <f t="shared" ref="AB8:AB34" si="4">D8/H8</f>
        <v>#DIV/0!</v>
      </c>
      <c r="AC8" s="713" t="e">
        <f t="shared" ref="AC8:AC34" si="5">D8/J8</f>
        <v>#DIV/0!</v>
      </c>
    </row>
    <row r="9" spans="1:29" s="113" customFormat="1">
      <c r="A9" s="375" t="s">
        <v>2375</v>
      </c>
      <c r="B9" s="67" t="s">
        <v>2376</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301" t="s">
        <v>2377</v>
      </c>
      <c r="Q9" s="1529" t="str">
        <f t="shared" ref="Q9:Q14" si="6">B9</f>
        <v>用途</v>
      </c>
      <c r="R9" s="710" t="s">
        <v>17</v>
      </c>
      <c r="S9" s="711">
        <f t="shared" si="0"/>
        <v>100</v>
      </c>
      <c r="T9" s="710" t="s">
        <v>17</v>
      </c>
      <c r="U9" s="711">
        <f t="shared" si="1"/>
        <v>100</v>
      </c>
      <c r="V9" s="710" t="s">
        <v>17</v>
      </c>
      <c r="W9" s="711">
        <f t="shared" si="2"/>
        <v>100</v>
      </c>
      <c r="X9" s="712"/>
      <c r="Y9" s="3211" t="s">
        <v>2378</v>
      </c>
      <c r="Z9" s="55" t="str">
        <f t="shared" ref="Z9:Z14" si="7">Q9</f>
        <v>用途</v>
      </c>
      <c r="AA9" s="713">
        <f t="shared" si="3"/>
        <v>1</v>
      </c>
      <c r="AB9" s="713">
        <f t="shared" si="4"/>
        <v>1</v>
      </c>
      <c r="AC9" s="713">
        <f t="shared" si="5"/>
        <v>1</v>
      </c>
    </row>
    <row r="10" spans="1:29" s="386" customFormat="1" ht="27">
      <c r="A10" s="380"/>
      <c r="B10" s="381" t="s">
        <v>2379</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301"/>
      <c r="Q10" s="1529" t="str">
        <f t="shared" si="6"/>
        <v>土地使用年限（年）</v>
      </c>
      <c r="R10" s="710" t="s">
        <v>17</v>
      </c>
      <c r="S10" s="711">
        <f t="shared" si="0"/>
        <v>100</v>
      </c>
      <c r="T10" s="710" t="s">
        <v>17</v>
      </c>
      <c r="U10" s="711">
        <f t="shared" si="1"/>
        <v>100</v>
      </c>
      <c r="V10" s="710" t="s">
        <v>17</v>
      </c>
      <c r="W10" s="711">
        <f t="shared" si="2"/>
        <v>100</v>
      </c>
      <c r="X10" s="712"/>
      <c r="Y10" s="3211"/>
      <c r="Z10" s="55" t="str">
        <f t="shared" si="7"/>
        <v>土地使用年限（年）</v>
      </c>
      <c r="AA10" s="713">
        <f t="shared" si="3"/>
        <v>1</v>
      </c>
      <c r="AB10" s="713">
        <f t="shared" si="4"/>
        <v>1</v>
      </c>
      <c r="AC10" s="713">
        <f t="shared" si="5"/>
        <v>1</v>
      </c>
    </row>
    <row r="11" spans="1:29" ht="15">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301"/>
      <c r="Q11" s="1529">
        <f t="shared" si="6"/>
        <v>111</v>
      </c>
      <c r="R11" s="710" t="s">
        <v>17</v>
      </c>
      <c r="S11" s="711">
        <f t="shared" si="0"/>
        <v>100</v>
      </c>
      <c r="T11" s="710" t="s">
        <v>17</v>
      </c>
      <c r="U11" s="711">
        <f t="shared" si="1"/>
        <v>100</v>
      </c>
      <c r="V11" s="710" t="s">
        <v>17</v>
      </c>
      <c r="W11" s="711">
        <f t="shared" si="2"/>
        <v>100</v>
      </c>
      <c r="X11" s="712"/>
      <c r="Y11" s="3211"/>
      <c r="Z11" s="55">
        <f t="shared" si="7"/>
        <v>111</v>
      </c>
      <c r="AA11" s="713">
        <f t="shared" si="3"/>
        <v>1</v>
      </c>
      <c r="AB11" s="713">
        <f t="shared" si="4"/>
        <v>1</v>
      </c>
      <c r="AC11" s="713">
        <f t="shared" si="5"/>
        <v>1</v>
      </c>
    </row>
    <row r="12" spans="1:29" s="113" customFormat="1" ht="15">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75" thickBot="1">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85.5">
      <c r="A14" s="399" t="s">
        <v>2381</v>
      </c>
      <c r="B14" s="65" t="s">
        <v>2531</v>
      </c>
      <c r="C14" s="2159"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303" t="s">
        <v>2382</v>
      </c>
      <c r="Q14" s="1538" t="str">
        <f t="shared" si="6"/>
        <v>交通便捷度</v>
      </c>
      <c r="R14" s="714" t="s">
        <v>17</v>
      </c>
      <c r="S14" s="715">
        <f t="shared" si="0"/>
        <v>100</v>
      </c>
      <c r="T14" s="714" t="s">
        <v>17</v>
      </c>
      <c r="U14" s="715">
        <f t="shared" si="1"/>
        <v>100</v>
      </c>
      <c r="V14" s="714" t="s">
        <v>17</v>
      </c>
      <c r="W14" s="715">
        <f t="shared" si="2"/>
        <v>100</v>
      </c>
      <c r="X14" s="1541"/>
      <c r="Y14" s="3303" t="s">
        <v>2382</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3"/>
      <c r="M15" s="2947"/>
      <c r="N15" s="2947"/>
      <c r="O15" s="3005"/>
      <c r="P15" s="3304"/>
      <c r="Q15" s="1538"/>
      <c r="R15" s="714"/>
      <c r="S15" s="715"/>
      <c r="T15" s="714"/>
      <c r="U15" s="715"/>
      <c r="V15" s="714"/>
      <c r="W15" s="715"/>
      <c r="X15" s="1541"/>
      <c r="Y15" s="3304"/>
      <c r="Z15" s="1542"/>
      <c r="AA15" s="1539">
        <v>1</v>
      </c>
      <c r="AB15" s="1539">
        <v>1</v>
      </c>
      <c r="AC15" s="1539">
        <v>1</v>
      </c>
    </row>
    <row r="16" spans="1:29" ht="42.75">
      <c r="A16" s="387"/>
      <c r="B16" s="410" t="s">
        <v>2510</v>
      </c>
      <c r="C16" s="2088"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304"/>
      <c r="Q16" s="1538" t="str">
        <f>B16</f>
        <v>公共配套设施</v>
      </c>
      <c r="R16" s="714" t="s">
        <v>17</v>
      </c>
      <c r="S16" s="715">
        <f>F16</f>
        <v>100</v>
      </c>
      <c r="T16" s="714" t="s">
        <v>17</v>
      </c>
      <c r="U16" s="715">
        <f>H16</f>
        <v>100</v>
      </c>
      <c r="V16" s="714" t="s">
        <v>17</v>
      </c>
      <c r="W16" s="715">
        <f>J16</f>
        <v>100</v>
      </c>
      <c r="X16" s="1541"/>
      <c r="Y16" s="3304"/>
      <c r="Z16" s="1542" t="str">
        <f>Q16</f>
        <v>公共配套设施</v>
      </c>
      <c r="AA16" s="1539">
        <f t="shared" si="3"/>
        <v>1</v>
      </c>
      <c r="AB16" s="1539">
        <f t="shared" si="4"/>
        <v>1</v>
      </c>
      <c r="AC16" s="1539">
        <f t="shared" si="5"/>
        <v>1</v>
      </c>
    </row>
    <row r="17" spans="1:29" ht="15">
      <c r="A17" s="387"/>
      <c r="B17" s="415"/>
      <c r="C17" s="2089"/>
      <c r="D17" s="407"/>
      <c r="E17" s="406"/>
      <c r="F17" s="408"/>
      <c r="G17" s="406"/>
      <c r="H17" s="407"/>
      <c r="I17" s="406"/>
      <c r="J17" s="407"/>
      <c r="K17" s="572"/>
      <c r="L17" s="2953"/>
      <c r="M17" s="2947"/>
      <c r="N17" s="2947"/>
      <c r="O17" s="3005"/>
      <c r="P17" s="3304"/>
      <c r="Q17" s="1538"/>
      <c r="R17" s="714"/>
      <c r="S17" s="715"/>
      <c r="T17" s="714"/>
      <c r="U17" s="715"/>
      <c r="V17" s="714"/>
      <c r="W17" s="715"/>
      <c r="X17" s="1541"/>
      <c r="Y17" s="3304"/>
      <c r="Z17" s="1542"/>
      <c r="AA17" s="1539">
        <v>1</v>
      </c>
      <c r="AB17" s="1539">
        <v>1</v>
      </c>
      <c r="AC17" s="1539">
        <v>1</v>
      </c>
    </row>
    <row r="18" spans="1:29" ht="28.5">
      <c r="A18" s="387"/>
      <c r="B18" s="1293" t="s">
        <v>2511</v>
      </c>
      <c r="C18" s="2088"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304"/>
      <c r="Q18" s="1538" t="str">
        <f>B18</f>
        <v>基础设施水平</v>
      </c>
      <c r="R18" s="714" t="s">
        <v>17</v>
      </c>
      <c r="S18" s="715">
        <f>F18</f>
        <v>100</v>
      </c>
      <c r="T18" s="714" t="s">
        <v>17</v>
      </c>
      <c r="U18" s="715">
        <f>H18</f>
        <v>100</v>
      </c>
      <c r="V18" s="714" t="s">
        <v>17</v>
      </c>
      <c r="W18" s="715">
        <f>J18</f>
        <v>100</v>
      </c>
      <c r="X18" s="1541"/>
      <c r="Y18" s="3304"/>
      <c r="Z18" s="1542" t="str">
        <f>Q18</f>
        <v>基础设施水平</v>
      </c>
      <c r="AA18" s="1539">
        <f t="shared" ref="AA18" si="8">D18/F18</f>
        <v>1</v>
      </c>
      <c r="AB18" s="1539">
        <f t="shared" ref="AB18" si="9">D18/H18</f>
        <v>1</v>
      </c>
      <c r="AC18" s="1539">
        <f t="shared" ref="AC18" si="10">D18/J18</f>
        <v>1</v>
      </c>
    </row>
    <row r="19" spans="1:29" ht="15">
      <c r="A19" s="387"/>
      <c r="B19" s="1293"/>
      <c r="C19" s="2089"/>
      <c r="D19" s="409"/>
      <c r="E19" s="2089"/>
      <c r="F19" s="412"/>
      <c r="G19" s="2089"/>
      <c r="H19" s="407"/>
      <c r="I19" s="406"/>
      <c r="J19" s="407"/>
      <c r="K19" s="1292"/>
      <c r="L19" s="2953"/>
      <c r="M19" s="2947"/>
      <c r="N19" s="2947"/>
      <c r="O19" s="3005"/>
      <c r="P19" s="3304"/>
      <c r="Q19" s="1538"/>
      <c r="R19" s="714"/>
      <c r="S19" s="715"/>
      <c r="T19" s="714"/>
      <c r="U19" s="715"/>
      <c r="V19" s="714"/>
      <c r="W19" s="715"/>
      <c r="X19" s="1541"/>
      <c r="Y19" s="3304"/>
      <c r="Z19" s="1542"/>
      <c r="AA19" s="1539">
        <v>1</v>
      </c>
      <c r="AB19" s="1539">
        <v>1</v>
      </c>
      <c r="AC19" s="1539">
        <v>1</v>
      </c>
    </row>
    <row r="20" spans="1:29" ht="57">
      <c r="A20" s="387"/>
      <c r="B20" s="410" t="s">
        <v>2532</v>
      </c>
      <c r="C20" s="2088"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304"/>
      <c r="Q20" s="1538" t="str">
        <f>B20</f>
        <v>自然及人文环境</v>
      </c>
      <c r="R20" s="714" t="s">
        <v>17</v>
      </c>
      <c r="S20" s="715">
        <f>F20</f>
        <v>100</v>
      </c>
      <c r="T20" s="714" t="s">
        <v>17</v>
      </c>
      <c r="U20" s="715">
        <f>H20</f>
        <v>100</v>
      </c>
      <c r="V20" s="714" t="s">
        <v>17</v>
      </c>
      <c r="W20" s="715">
        <f>J20</f>
        <v>100</v>
      </c>
      <c r="X20" s="1541"/>
      <c r="Y20" s="3304"/>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3"/>
      <c r="M21" s="2947"/>
      <c r="N21" s="2947"/>
      <c r="O21" s="3005"/>
      <c r="P21" s="3304"/>
      <c r="Q21" s="1538"/>
      <c r="R21" s="714"/>
      <c r="S21" s="715"/>
      <c r="T21" s="714"/>
      <c r="U21" s="715"/>
      <c r="V21" s="714"/>
      <c r="W21" s="715"/>
      <c r="X21" s="1541"/>
      <c r="Y21" s="3304"/>
      <c r="Z21" s="1542"/>
      <c r="AA21" s="1539">
        <v>1</v>
      </c>
      <c r="AB21" s="1539">
        <v>1</v>
      </c>
      <c r="AC21" s="1539">
        <v>1</v>
      </c>
    </row>
    <row r="22" spans="1:29" ht="15">
      <c r="A22" s="387"/>
      <c r="B22" s="410" t="s">
        <v>2533</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304"/>
      <c r="Q22" s="1538" t="str">
        <f>B22</f>
        <v>楼层</v>
      </c>
      <c r="R22" s="714" t="s">
        <v>17</v>
      </c>
      <c r="S22" s="715">
        <f>F22</f>
        <v>100</v>
      </c>
      <c r="T22" s="714" t="s">
        <v>17</v>
      </c>
      <c r="U22" s="715">
        <f>H22</f>
        <v>100</v>
      </c>
      <c r="V22" s="714" t="s">
        <v>17</v>
      </c>
      <c r="W22" s="715">
        <f>J22</f>
        <v>100</v>
      </c>
      <c r="X22" s="1541"/>
      <c r="Y22" s="3304"/>
      <c r="Z22" s="1542" t="str">
        <f>Q22</f>
        <v>楼层</v>
      </c>
      <c r="AA22" s="1539">
        <f t="shared" si="3"/>
        <v>1</v>
      </c>
      <c r="AB22" s="1539">
        <f t="shared" si="4"/>
        <v>1</v>
      </c>
      <c r="AC22" s="1539">
        <f t="shared" si="5"/>
        <v>1</v>
      </c>
    </row>
    <row r="23" spans="1:29" ht="15">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304"/>
      <c r="Q23" s="1538">
        <f>B23</f>
        <v>111</v>
      </c>
      <c r="R23" s="714" t="s">
        <v>17</v>
      </c>
      <c r="S23" s="715">
        <f>F23</f>
        <v>100</v>
      </c>
      <c r="T23" s="714" t="s">
        <v>17</v>
      </c>
      <c r="U23" s="715">
        <f>H23</f>
        <v>100</v>
      </c>
      <c r="V23" s="714" t="s">
        <v>17</v>
      </c>
      <c r="W23" s="715">
        <f>J23</f>
        <v>100</v>
      </c>
      <c r="X23" s="1541"/>
      <c r="Y23" s="3304"/>
      <c r="Z23" s="1542">
        <f>Q23</f>
        <v>111</v>
      </c>
      <c r="AA23" s="1539">
        <f t="shared" si="3"/>
        <v>1</v>
      </c>
      <c r="AB23" s="1539">
        <f t="shared" si="4"/>
        <v>1</v>
      </c>
      <c r="AC23" s="1539">
        <f t="shared" si="5"/>
        <v>1</v>
      </c>
    </row>
    <row r="24" spans="1:29" ht="15">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304"/>
      <c r="Q24" s="1538">
        <f t="shared" ref="Q24:Q34" si="11">B24</f>
        <v>111</v>
      </c>
      <c r="R24" s="714" t="s">
        <v>17</v>
      </c>
      <c r="S24" s="715">
        <f>F24</f>
        <v>100</v>
      </c>
      <c r="T24" s="714" t="s">
        <v>17</v>
      </c>
      <c r="U24" s="715">
        <f>H24</f>
        <v>100</v>
      </c>
      <c r="V24" s="714" t="s">
        <v>17</v>
      </c>
      <c r="W24" s="715">
        <f>J24</f>
        <v>100</v>
      </c>
      <c r="X24" s="1541"/>
      <c r="Y24" s="3304"/>
      <c r="Z24" s="1542">
        <f>Q24</f>
        <v>111</v>
      </c>
      <c r="AA24" s="1539">
        <f t="shared" si="3"/>
        <v>1</v>
      </c>
      <c r="AB24" s="1539">
        <f t="shared" si="4"/>
        <v>1</v>
      </c>
      <c r="AC24" s="1539">
        <f t="shared" si="5"/>
        <v>1</v>
      </c>
    </row>
    <row r="25" spans="1:29" s="113" customFormat="1" ht="15.75" thickBot="1">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304"/>
      <c r="Q25" s="1529">
        <f t="shared" si="11"/>
        <v>111</v>
      </c>
      <c r="R25" s="710" t="s">
        <v>17</v>
      </c>
      <c r="S25" s="711">
        <f>F25</f>
        <v>100</v>
      </c>
      <c r="T25" s="710" t="s">
        <v>17</v>
      </c>
      <c r="U25" s="711">
        <f>H25</f>
        <v>100</v>
      </c>
      <c r="V25" s="710" t="s">
        <v>17</v>
      </c>
      <c r="W25" s="711">
        <f>J25</f>
        <v>100</v>
      </c>
      <c r="X25" s="712"/>
      <c r="Y25" s="3304"/>
      <c r="Z25" s="55">
        <f>Q25</f>
        <v>111</v>
      </c>
      <c r="AA25" s="1539">
        <f>D25/F25</f>
        <v>1</v>
      </c>
      <c r="AB25" s="1539">
        <f>D25/H25</f>
        <v>1</v>
      </c>
      <c r="AC25" s="1539">
        <f>D25/J25</f>
        <v>1</v>
      </c>
    </row>
    <row r="26" spans="1:29" ht="28.5">
      <c r="A26" s="425" t="s">
        <v>2385</v>
      </c>
      <c r="B26" s="67" t="s">
        <v>2536</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327" t="s">
        <v>2387</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08" t="s">
        <v>2387</v>
      </c>
      <c r="Z26" s="1542" t="str">
        <f t="shared" ref="Z26:Z34" si="15">Q26</f>
        <v>公共部分装修</v>
      </c>
      <c r="AA26" s="1539">
        <f t="shared" si="3"/>
        <v>1</v>
      </c>
      <c r="AB26" s="1539">
        <f t="shared" si="4"/>
        <v>1</v>
      </c>
      <c r="AC26" s="1539">
        <f t="shared" si="5"/>
        <v>1</v>
      </c>
    </row>
    <row r="27" spans="1:29" s="430" customFormat="1" ht="15">
      <c r="A27" s="427"/>
      <c r="B27" s="381" t="s">
        <v>2537</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308"/>
      <c r="Q27" s="716" t="str">
        <f t="shared" si="11"/>
        <v>成新率</v>
      </c>
      <c r="R27" s="717" t="s">
        <v>17</v>
      </c>
      <c r="S27" s="718" t="e">
        <f t="shared" si="12"/>
        <v>#N/A</v>
      </c>
      <c r="T27" s="717" t="s">
        <v>17</v>
      </c>
      <c r="U27" s="718" t="e">
        <f t="shared" si="13"/>
        <v>#N/A</v>
      </c>
      <c r="V27" s="717" t="s">
        <v>17</v>
      </c>
      <c r="W27" s="718" t="e">
        <f t="shared" si="14"/>
        <v>#N/A</v>
      </c>
      <c r="X27" s="719"/>
      <c r="Y27" s="3308"/>
      <c r="Z27" s="720" t="str">
        <f t="shared" si="15"/>
        <v>成新率</v>
      </c>
      <c r="AA27" s="1539" t="e">
        <f t="shared" si="3"/>
        <v>#N/A</v>
      </c>
      <c r="AB27" s="1539" t="e">
        <f t="shared" si="4"/>
        <v>#N/A</v>
      </c>
      <c r="AC27" s="1539" t="e">
        <f t="shared" si="5"/>
        <v>#N/A</v>
      </c>
    </row>
    <row r="28" spans="1:29" ht="15">
      <c r="A28" s="431"/>
      <c r="B28" s="381" t="s">
        <v>2538</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308"/>
      <c r="Q28" s="1538" t="str">
        <f t="shared" si="11"/>
        <v>物业等级</v>
      </c>
      <c r="R28" s="714" t="s">
        <v>17</v>
      </c>
      <c r="S28" s="715">
        <f t="shared" si="12"/>
        <v>100</v>
      </c>
      <c r="T28" s="714" t="s">
        <v>17</v>
      </c>
      <c r="U28" s="715">
        <f t="shared" si="13"/>
        <v>100</v>
      </c>
      <c r="V28" s="714" t="s">
        <v>17</v>
      </c>
      <c r="W28" s="715">
        <f t="shared" si="14"/>
        <v>100</v>
      </c>
      <c r="X28" s="1541"/>
      <c r="Y28" s="3308"/>
      <c r="Z28" s="1542" t="str">
        <f t="shared" si="15"/>
        <v>物业等级</v>
      </c>
      <c r="AA28" s="1539">
        <f t="shared" si="3"/>
        <v>1</v>
      </c>
      <c r="AB28" s="1539">
        <f t="shared" si="4"/>
        <v>1</v>
      </c>
      <c r="AC28" s="1539">
        <f t="shared" si="5"/>
        <v>1</v>
      </c>
    </row>
    <row r="29" spans="1:29" ht="15">
      <c r="A29" s="431"/>
      <c r="B29" s="381" t="s">
        <v>2559</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308"/>
      <c r="Q29" s="1538" t="str">
        <f t="shared" si="11"/>
        <v>有无电梯</v>
      </c>
      <c r="R29" s="714" t="s">
        <v>17</v>
      </c>
      <c r="S29" s="715">
        <f t="shared" si="12"/>
        <v>100</v>
      </c>
      <c r="T29" s="714" t="s">
        <v>17</v>
      </c>
      <c r="U29" s="715">
        <f t="shared" si="13"/>
        <v>100</v>
      </c>
      <c r="V29" s="714" t="s">
        <v>17</v>
      </c>
      <c r="W29" s="715">
        <f t="shared" si="14"/>
        <v>100</v>
      </c>
      <c r="X29" s="1541"/>
      <c r="Y29" s="3308"/>
      <c r="Z29" s="1542" t="str">
        <f t="shared" si="15"/>
        <v>有无电梯</v>
      </c>
      <c r="AA29" s="1539">
        <f t="shared" si="3"/>
        <v>1</v>
      </c>
      <c r="AB29" s="1539">
        <f t="shared" si="4"/>
        <v>1</v>
      </c>
      <c r="AC29" s="1539">
        <f t="shared" si="5"/>
        <v>1</v>
      </c>
    </row>
    <row r="30" spans="1:29" ht="15">
      <c r="A30" s="431"/>
      <c r="B30" s="381" t="s">
        <v>2560</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308"/>
      <c r="Q30" s="1538" t="str">
        <f t="shared" si="11"/>
        <v>建筑面积</v>
      </c>
      <c r="R30" s="714" t="s">
        <v>17</v>
      </c>
      <c r="S30" s="715" t="e">
        <f t="shared" si="12"/>
        <v>#N/A</v>
      </c>
      <c r="T30" s="714" t="s">
        <v>17</v>
      </c>
      <c r="U30" s="715" t="e">
        <f t="shared" si="13"/>
        <v>#N/A</v>
      </c>
      <c r="V30" s="714" t="s">
        <v>17</v>
      </c>
      <c r="W30" s="715" t="e">
        <f t="shared" si="14"/>
        <v>#N/A</v>
      </c>
      <c r="X30" s="1541"/>
      <c r="Y30" s="3308"/>
      <c r="Z30" s="1542" t="str">
        <f t="shared" si="15"/>
        <v>建筑面积</v>
      </c>
      <c r="AA30" s="1539" t="e">
        <f t="shared" si="3"/>
        <v>#N/A</v>
      </c>
      <c r="AB30" s="1539" t="e">
        <f t="shared" si="4"/>
        <v>#N/A</v>
      </c>
      <c r="AC30" s="1539" t="e">
        <f t="shared" si="5"/>
        <v>#N/A</v>
      </c>
    </row>
    <row r="31" spans="1:29" s="113" customFormat="1" ht="15">
      <c r="A31" s="432"/>
      <c r="B31" s="381" t="s">
        <v>2561</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308"/>
      <c r="Q31" s="1529" t="str">
        <f t="shared" si="11"/>
        <v>是否封闭</v>
      </c>
      <c r="R31" s="710" t="s">
        <v>17</v>
      </c>
      <c r="S31" s="711">
        <f t="shared" si="12"/>
        <v>100</v>
      </c>
      <c r="T31" s="710" t="s">
        <v>17</v>
      </c>
      <c r="U31" s="711">
        <f t="shared" si="13"/>
        <v>100</v>
      </c>
      <c r="V31" s="710" t="s">
        <v>17</v>
      </c>
      <c r="W31" s="711">
        <f t="shared" si="14"/>
        <v>100</v>
      </c>
      <c r="X31" s="712"/>
      <c r="Y31" s="3308"/>
      <c r="Z31" s="55" t="str">
        <f t="shared" si="15"/>
        <v>是否封闭</v>
      </c>
      <c r="AA31" s="713">
        <f t="shared" si="3"/>
        <v>1</v>
      </c>
      <c r="AB31" s="713">
        <f t="shared" si="4"/>
        <v>1</v>
      </c>
      <c r="AC31" s="713">
        <f t="shared" si="5"/>
        <v>1</v>
      </c>
    </row>
    <row r="32" spans="1:29" ht="15">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308" t="s">
        <v>2387</v>
      </c>
      <c r="Q32" s="1538">
        <f t="shared" si="11"/>
        <v>111</v>
      </c>
      <c r="R32" s="714" t="s">
        <v>17</v>
      </c>
      <c r="S32" s="715">
        <f t="shared" si="12"/>
        <v>100</v>
      </c>
      <c r="T32" s="714" t="s">
        <v>17</v>
      </c>
      <c r="U32" s="715">
        <f t="shared" si="13"/>
        <v>100</v>
      </c>
      <c r="V32" s="714" t="s">
        <v>17</v>
      </c>
      <c r="W32" s="715">
        <f t="shared" si="14"/>
        <v>100</v>
      </c>
      <c r="X32" s="1541"/>
      <c r="Y32" s="3308" t="s">
        <v>2387</v>
      </c>
      <c r="Z32" s="1542">
        <f t="shared" si="15"/>
        <v>111</v>
      </c>
      <c r="AA32" s="1539">
        <f t="shared" si="3"/>
        <v>1</v>
      </c>
      <c r="AB32" s="1539">
        <f t="shared" si="4"/>
        <v>1</v>
      </c>
      <c r="AC32" s="1539">
        <f t="shared" si="5"/>
        <v>1</v>
      </c>
    </row>
    <row r="33" spans="1:30" ht="15">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308"/>
      <c r="Q33" s="1538">
        <f t="shared" si="11"/>
        <v>111</v>
      </c>
      <c r="R33" s="714" t="s">
        <v>17</v>
      </c>
      <c r="S33" s="715">
        <f t="shared" si="12"/>
        <v>100</v>
      </c>
      <c r="T33" s="714" t="s">
        <v>17</v>
      </c>
      <c r="U33" s="715">
        <f t="shared" si="13"/>
        <v>100</v>
      </c>
      <c r="V33" s="714" t="s">
        <v>17</v>
      </c>
      <c r="W33" s="715">
        <f t="shared" si="14"/>
        <v>100</v>
      </c>
      <c r="X33" s="1541"/>
      <c r="Y33" s="3308"/>
      <c r="Z33" s="1542">
        <f t="shared" si="15"/>
        <v>111</v>
      </c>
      <c r="AA33" s="1539">
        <f t="shared" si="3"/>
        <v>1</v>
      </c>
      <c r="AB33" s="1539">
        <f t="shared" si="4"/>
        <v>1</v>
      </c>
      <c r="AC33" s="1539">
        <f t="shared" si="5"/>
        <v>1</v>
      </c>
    </row>
    <row r="34" spans="1:30" ht="15.75" thickBot="1">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308"/>
      <c r="Q34" s="1538">
        <f t="shared" si="11"/>
        <v>111</v>
      </c>
      <c r="R34" s="714" t="s">
        <v>17</v>
      </c>
      <c r="S34" s="715">
        <f t="shared" si="12"/>
        <v>100</v>
      </c>
      <c r="T34" s="714" t="s">
        <v>17</v>
      </c>
      <c r="U34" s="715">
        <f t="shared" si="13"/>
        <v>100</v>
      </c>
      <c r="V34" s="714" t="s">
        <v>17</v>
      </c>
      <c r="W34" s="715">
        <f t="shared" si="14"/>
        <v>100</v>
      </c>
      <c r="X34" s="1541"/>
      <c r="Y34" s="3308"/>
      <c r="Z34" s="1542">
        <f t="shared" si="15"/>
        <v>111</v>
      </c>
      <c r="AA34" s="1539">
        <f t="shared" si="3"/>
        <v>1</v>
      </c>
      <c r="AB34" s="1539">
        <f t="shared" si="4"/>
        <v>1</v>
      </c>
      <c r="AC34" s="1539">
        <f t="shared" si="5"/>
        <v>1</v>
      </c>
    </row>
    <row r="35" spans="1:30" ht="15">
      <c r="A35" s="438" t="s">
        <v>2399</v>
      </c>
      <c r="B35" s="439"/>
      <c r="C35" s="1316" t="s">
        <v>1</v>
      </c>
      <c r="D35" s="1317"/>
      <c r="E35" s="1318"/>
      <c r="F35" s="1319"/>
      <c r="G35" s="1320"/>
      <c r="H35" s="1321"/>
      <c r="I35" s="1318"/>
      <c r="J35" s="1321"/>
      <c r="K35" s="723"/>
      <c r="L35" s="2955"/>
      <c r="M35" s="2956"/>
      <c r="N35" s="2947"/>
      <c r="O35" s="2956"/>
      <c r="P35" s="3301" t="str">
        <f>A35</f>
        <v>成交单价（元/平方米）</v>
      </c>
      <c r="Q35" s="3301"/>
      <c r="R35" s="3302">
        <f>E35</f>
        <v>0</v>
      </c>
      <c r="S35" s="3302"/>
      <c r="T35" s="3302">
        <f>G35</f>
        <v>0</v>
      </c>
      <c r="U35" s="3302"/>
      <c r="V35" s="3302">
        <f>I35</f>
        <v>0</v>
      </c>
      <c r="W35" s="3302"/>
      <c r="X35" s="699"/>
      <c r="Y35" s="721"/>
      <c r="Z35" s="699"/>
      <c r="AA35" s="699"/>
      <c r="AB35" s="699"/>
      <c r="AC35" s="699"/>
    </row>
    <row r="36" spans="1:30" ht="15.75" thickBot="1">
      <c r="A36" s="445" t="s">
        <v>2491</v>
      </c>
      <c r="B36" s="446"/>
      <c r="C36" s="1322" t="e">
        <f>R37</f>
        <v>#DIV/0!</v>
      </c>
      <c r="D36" s="2540" t="s">
        <v>2882</v>
      </c>
      <c r="E36" s="1323" t="e">
        <f>R36</f>
        <v>#DIV/0!</v>
      </c>
      <c r="F36" s="2541"/>
      <c r="G36" s="1322" t="e">
        <f>T36</f>
        <v>#DIV/0!</v>
      </c>
      <c r="H36" s="2541"/>
      <c r="I36" s="1323" t="e">
        <f>V36</f>
        <v>#DIV/0!</v>
      </c>
      <c r="J36" s="2541"/>
      <c r="K36" s="2543">
        <f>F36+H36+J36</f>
        <v>0</v>
      </c>
      <c r="L36" s="2955"/>
      <c r="M36" s="2956"/>
      <c r="N36" s="2947"/>
      <c r="O36" s="2956"/>
      <c r="P36" s="3301" t="str">
        <f>A36</f>
        <v>比较价值（元/平方米）</v>
      </c>
      <c r="Q36" s="3301"/>
      <c r="R36" s="3302" t="e">
        <f>IF(F1="售价",ROUND(PRODUCT(R35,AA7:AA34),0),ROUND(PRODUCT(R35,AA7:AA34),1))</f>
        <v>#DIV/0!</v>
      </c>
      <c r="S36" s="3302"/>
      <c r="T36" s="3302" t="e">
        <f>IF(F1="售价",ROUND(PRODUCT(T35,AB7:AB34),0),ROUND(PRODUCT(T35,AB7:AB34),1))</f>
        <v>#DIV/0!</v>
      </c>
      <c r="U36" s="3302"/>
      <c r="V36" s="3302" t="e">
        <f>IF(F1="售价",ROUND(PRODUCT(V35,AC7:AC34),0),ROUND(PRODUCT(V35,AC7:AC34),1))</f>
        <v>#DIV/0!</v>
      </c>
      <c r="W36" s="3302"/>
      <c r="X36" s="699"/>
      <c r="Y36" s="699"/>
      <c r="Z36" s="699"/>
      <c r="AA36" s="699"/>
      <c r="AB36" s="699"/>
      <c r="AC36" s="699"/>
    </row>
    <row r="37" spans="1:30" ht="15.75" thickBot="1">
      <c r="A37" s="449" t="s">
        <v>2492</v>
      </c>
      <c r="B37" s="450"/>
      <c r="C37" s="1325" t="e">
        <f>R37</f>
        <v>#DIV/0!</v>
      </c>
      <c r="D37" s="1325"/>
      <c r="E37" s="1325"/>
      <c r="F37" s="1325"/>
      <c r="G37" s="1325"/>
      <c r="H37" s="1325"/>
      <c r="I37" s="1325"/>
      <c r="J37" s="1325"/>
      <c r="K37" s="724"/>
      <c r="L37" s="2955"/>
      <c r="M37" s="2956"/>
      <c r="N37" s="2956"/>
      <c r="O37" s="2956"/>
      <c r="P37" s="3298" t="str">
        <f>A37</f>
        <v>估价对象XX用房的比较价值（楼面单价，元/平方米）</v>
      </c>
      <c r="Q37" s="3299"/>
      <c r="R37" s="3328" t="e">
        <f>IF(F1="售价",ROUND(IF(D36="简单平均",AVERAGE(R36:W36),R36*F36+T36*H36+V36*J36),0),ROUND(IF(D36="简单平均",AVERAGE(R36:V36),R36*F36+T36*H36+V36*J36),1))</f>
        <v>#DIV/0!</v>
      </c>
      <c r="S37" s="3328"/>
      <c r="T37" s="3328"/>
      <c r="U37" s="3328"/>
      <c r="V37" s="3328"/>
      <c r="W37" s="3328"/>
      <c r="X37" s="699"/>
      <c r="Y37" s="699"/>
      <c r="Z37" s="699"/>
      <c r="AA37" s="699"/>
      <c r="AB37" s="699"/>
      <c r="AC37" s="699"/>
    </row>
    <row r="38" spans="1:30">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c r="A40" s="2956"/>
      <c r="B40" s="2956"/>
      <c r="C40" s="454" t="s">
        <v>2493</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c r="A41" s="2956"/>
      <c r="B41" s="2956"/>
      <c r="C41" s="454" t="s">
        <v>2494</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c r="A42" s="2959"/>
      <c r="B42" s="2959"/>
      <c r="C42" s="454" t="s">
        <v>2495</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1.75" thickBot="1">
      <c r="A45" s="703" t="s">
        <v>2496</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ht="15">
      <c r="A46" s="462" t="s">
        <v>2370</v>
      </c>
      <c r="B46" s="463"/>
      <c r="C46" s="1346" t="str">
        <f>YEAR(C7)&amp;"-"&amp;MONTH(C7)</f>
        <v>2020-9</v>
      </c>
      <c r="D46" s="1347">
        <f>EDATE(C46,-1)</f>
        <v>44044</v>
      </c>
      <c r="E46" s="1347">
        <f t="shared" ref="E46:O46" si="16">EDATE(D46,-1)</f>
        <v>44013</v>
      </c>
      <c r="F46" s="1347">
        <f t="shared" si="16"/>
        <v>43983</v>
      </c>
      <c r="G46" s="1347">
        <f t="shared" si="16"/>
        <v>43952</v>
      </c>
      <c r="H46" s="1347">
        <f t="shared" si="16"/>
        <v>43922</v>
      </c>
      <c r="I46" s="1347">
        <f t="shared" si="16"/>
        <v>43891</v>
      </c>
      <c r="J46" s="1347">
        <f t="shared" si="16"/>
        <v>43862</v>
      </c>
      <c r="K46" s="1347">
        <f t="shared" si="16"/>
        <v>43831</v>
      </c>
      <c r="L46" s="1347">
        <f t="shared" si="16"/>
        <v>43800</v>
      </c>
      <c r="M46" s="1347">
        <f t="shared" si="16"/>
        <v>43770</v>
      </c>
      <c r="N46" s="1347">
        <f t="shared" si="16"/>
        <v>43739</v>
      </c>
      <c r="O46" s="1347">
        <f t="shared" si="16"/>
        <v>43709</v>
      </c>
      <c r="P46" s="3007"/>
      <c r="Q46" s="2972"/>
      <c r="R46" s="2972"/>
      <c r="S46" s="2972"/>
      <c r="T46" s="2972"/>
      <c r="U46" s="2972"/>
      <c r="V46" s="2972"/>
      <c r="W46" s="2972"/>
      <c r="X46" s="2972"/>
      <c r="Y46" s="2972"/>
      <c r="Z46" s="2972"/>
      <c r="AA46" s="2972"/>
      <c r="AB46" s="2972"/>
      <c r="AC46" s="2972"/>
      <c r="AD46" s="2972"/>
    </row>
    <row r="47" spans="1:30" s="113" customFormat="1" ht="15">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75" thickBot="1">
      <c r="A48" s="472" t="s">
        <v>2407</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ht="15">
      <c r="A49" s="478" t="s">
        <v>2372</v>
      </c>
      <c r="B49" s="467"/>
      <c r="C49" s="479" t="s">
        <v>2474</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5.75" thickBot="1">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c r="A51" s="484" t="s">
        <v>2410</v>
      </c>
      <c r="B51" s="485" t="s">
        <v>2376</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5.75" thickBot="1">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7.75" thickTop="1">
      <c r="A53" s="491"/>
      <c r="B53" s="495" t="s">
        <v>2379</v>
      </c>
      <c r="C53" s="496" t="s">
        <v>2411</v>
      </c>
      <c r="D53" s="496" t="s">
        <v>2412</v>
      </c>
      <c r="E53" s="496" t="s">
        <v>2413</v>
      </c>
      <c r="F53" s="496" t="s">
        <v>2414</v>
      </c>
      <c r="G53" s="496" t="s">
        <v>2415</v>
      </c>
      <c r="H53" s="496" t="s">
        <v>2416</v>
      </c>
      <c r="I53" s="496" t="s">
        <v>2417</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5.75" thickTop="1">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5.75" thickBot="1">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5.75" thickTop="1">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5.75" thickBot="1">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5.75" thickTop="1">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5.75" thickBot="1">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c r="A61" s="484" t="s">
        <v>2381</v>
      </c>
      <c r="B61" s="485" t="s">
        <v>2424</v>
      </c>
      <c r="C61" s="530" t="s">
        <v>2419</v>
      </c>
      <c r="D61" s="530" t="s">
        <v>2420</v>
      </c>
      <c r="E61" s="530" t="s">
        <v>2421</v>
      </c>
      <c r="F61" s="530" t="s">
        <v>2422</v>
      </c>
      <c r="G61" s="530" t="s">
        <v>2423</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7.75" thickTop="1">
      <c r="A63" s="491"/>
      <c r="B63" s="495" t="s">
        <v>2562</v>
      </c>
      <c r="C63" s="535" t="s">
        <v>2419</v>
      </c>
      <c r="D63" s="535" t="s">
        <v>2420</v>
      </c>
      <c r="E63" s="535" t="s">
        <v>2421</v>
      </c>
      <c r="F63" s="535" t="s">
        <v>2422</v>
      </c>
      <c r="G63" s="535" t="s">
        <v>2423</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75" thickTop="1">
      <c r="A65" s="491"/>
      <c r="B65" s="503" t="s">
        <v>2511</v>
      </c>
      <c r="C65" s="616" t="s">
        <v>2497</v>
      </c>
      <c r="D65" s="616" t="s">
        <v>2498</v>
      </c>
      <c r="E65" s="616" t="s">
        <v>2499</v>
      </c>
      <c r="F65" s="616" t="s">
        <v>2500</v>
      </c>
      <c r="G65" s="616" t="s">
        <v>2501</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75" thickTop="1">
      <c r="A67" s="491"/>
      <c r="B67" s="495" t="s">
        <v>2431</v>
      </c>
      <c r="C67" s="535" t="s">
        <v>2419</v>
      </c>
      <c r="D67" s="535" t="s">
        <v>2420</v>
      </c>
      <c r="E67" s="535" t="s">
        <v>2421</v>
      </c>
      <c r="F67" s="535" t="s">
        <v>2422</v>
      </c>
      <c r="G67" s="535" t="s">
        <v>2423</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75" thickTop="1">
      <c r="A69" s="491"/>
      <c r="B69" s="495" t="s">
        <v>2551</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5.75" thickBot="1">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5.75" thickTop="1">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5.75" thickBot="1">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5.75" thickTop="1">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5.75" thickBot="1">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5.75" thickTop="1">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5.75" thickBot="1">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c r="A77" s="484" t="s">
        <v>2385</v>
      </c>
      <c r="B77" s="485" t="s">
        <v>2438</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75" thickTop="1">
      <c r="A79" s="491"/>
      <c r="B79" s="495" t="s">
        <v>2554</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ht="15">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c r="A82" s="556"/>
      <c r="B82" s="503" t="s">
        <v>2555</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c r="A84" s="556"/>
      <c r="B84" s="495" t="s">
        <v>2563</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c r="A86" s="556"/>
      <c r="B86" s="503" t="s">
        <v>2564</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5.75" thickBot="1">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c r="A89" s="550"/>
      <c r="B89" s="495" t="s">
        <v>2565</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5.75" thickBot="1">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5" thickTop="1">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5.75" thickBot="1">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5" thickTop="1">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5.75" thickBot="1">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5" thickTop="1">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5.75" thickBot="1">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5" thickTop="1">
      <c r="N97" s="2956"/>
      <c r="O97" s="2956"/>
      <c r="P97" s="2956"/>
      <c r="Q97" s="2956"/>
      <c r="R97" s="2956"/>
      <c r="S97" s="2956"/>
      <c r="T97" s="2956"/>
      <c r="U97" s="2956"/>
      <c r="V97" s="2956"/>
      <c r="W97" s="2956"/>
      <c r="X97" s="2956"/>
      <c r="Y97" s="2956"/>
      <c r="Z97" s="2956"/>
      <c r="AA97" s="2956"/>
      <c r="AB97" s="2956"/>
      <c r="AC97" s="2956"/>
      <c r="AD97" s="2956"/>
    </row>
    <row r="98" spans="1:30">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U518" sqref="U51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2566</v>
      </c>
      <c r="B1" s="355"/>
      <c r="C1" s="356" t="s">
        <v>2567</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2149</v>
      </c>
      <c r="B2" s="627" t="e">
        <f>F66</f>
        <v>#DIV/0!</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c r="A3" s="209" t="s">
        <v>2151</v>
      </c>
      <c r="B3" s="566" t="e">
        <f>ROUND(IF(D3="",B2*10000/'数据-汇总表'!E3,B2*10000/D3),0)</f>
        <v>#DIV/0!</v>
      </c>
      <c r="C3" s="209" t="s">
        <v>2568</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ht="15">
      <c r="A4" s="361" t="s">
        <v>2467</v>
      </c>
      <c r="B4" s="362"/>
      <c r="C4" s="3284" t="s">
        <v>2468</v>
      </c>
      <c r="D4" s="3285"/>
      <c r="E4" s="3286" t="s">
        <v>2469</v>
      </c>
      <c r="F4" s="3287"/>
      <c r="G4" s="3284" t="s">
        <v>2470</v>
      </c>
      <c r="H4" s="3285"/>
      <c r="I4" s="3284" t="s">
        <v>2471</v>
      </c>
      <c r="J4" s="3285"/>
      <c r="K4" s="567" t="s">
        <v>2472</v>
      </c>
      <c r="L4" s="2946"/>
      <c r="M4" s="2947"/>
      <c r="N4" s="2947"/>
      <c r="O4" s="2947"/>
      <c r="P4" s="3288" t="s">
        <v>2473</v>
      </c>
      <c r="Q4" s="3289"/>
      <c r="R4" s="3271" t="s">
        <v>2469</v>
      </c>
      <c r="S4" s="3272"/>
      <c r="T4" s="3271" t="s">
        <v>2470</v>
      </c>
      <c r="U4" s="3272"/>
      <c r="V4" s="3296" t="s">
        <v>2471</v>
      </c>
      <c r="W4" s="3296"/>
      <c r="X4" s="1541"/>
      <c r="Y4" s="3271" t="s">
        <v>2473</v>
      </c>
      <c r="Z4" s="3272"/>
      <c r="AA4" s="3266" t="s">
        <v>2469</v>
      </c>
      <c r="AB4" s="3267" t="s">
        <v>2470</v>
      </c>
      <c r="AC4" s="3266" t="s">
        <v>2471</v>
      </c>
    </row>
    <row r="5" spans="1:30" ht="15">
      <c r="A5" s="364"/>
      <c r="B5" s="365"/>
      <c r="C5" s="3277" t="s">
        <v>2364</v>
      </c>
      <c r="D5" s="3278"/>
      <c r="E5" s="3275" t="s">
        <v>2365</v>
      </c>
      <c r="F5" s="3276"/>
      <c r="G5" s="3277" t="s">
        <v>2366</v>
      </c>
      <c r="H5" s="3278"/>
      <c r="I5" s="3277" t="s">
        <v>2367</v>
      </c>
      <c r="J5" s="3278"/>
      <c r="K5" s="567"/>
      <c r="L5" s="2946"/>
      <c r="M5" s="2947"/>
      <c r="N5" s="2947"/>
      <c r="O5" s="2947"/>
      <c r="P5" s="3290"/>
      <c r="Q5" s="3291"/>
      <c r="R5" s="3273"/>
      <c r="S5" s="3274"/>
      <c r="T5" s="3273"/>
      <c r="U5" s="3274"/>
      <c r="V5" s="3296"/>
      <c r="W5" s="3296"/>
      <c r="X5" s="1541"/>
      <c r="Y5" s="3273"/>
      <c r="Z5" s="3274"/>
      <c r="AA5" s="3267"/>
      <c r="AB5" s="3267"/>
      <c r="AC5" s="3267"/>
    </row>
    <row r="6" spans="1:30" ht="15.75" thickBot="1">
      <c r="A6" s="366"/>
      <c r="B6" s="367"/>
      <c r="C6" s="3279" t="s">
        <v>2368</v>
      </c>
      <c r="D6" s="3280"/>
      <c r="E6" s="3281" t="s">
        <v>2368</v>
      </c>
      <c r="F6" s="3282"/>
      <c r="G6" s="3279" t="s">
        <v>2368</v>
      </c>
      <c r="H6" s="3280"/>
      <c r="I6" s="3279" t="s">
        <v>2368</v>
      </c>
      <c r="J6" s="3280"/>
      <c r="K6" s="567" t="s">
        <v>2369</v>
      </c>
      <c r="L6" s="2946"/>
      <c r="M6" s="2947"/>
      <c r="N6" s="2947"/>
      <c r="O6" s="2947"/>
      <c r="P6" s="3292"/>
      <c r="Q6" s="3293"/>
      <c r="R6" s="3273"/>
      <c r="S6" s="3274"/>
      <c r="T6" s="3294"/>
      <c r="U6" s="3295"/>
      <c r="V6" s="3296"/>
      <c r="W6" s="3296"/>
      <c r="X6" s="1541"/>
      <c r="Y6" s="3294"/>
      <c r="Z6" s="3295"/>
      <c r="AA6" s="3268"/>
      <c r="AB6" s="3268"/>
      <c r="AC6" s="3268"/>
    </row>
    <row r="7" spans="1:30" s="113" customFormat="1" ht="15.75" thickBot="1">
      <c r="A7" s="368" t="s">
        <v>2370</v>
      </c>
      <c r="B7" s="369"/>
      <c r="C7" s="370">
        <f>'数据-取费表'!B2</f>
        <v>44076</v>
      </c>
      <c r="D7" s="371">
        <v>100</v>
      </c>
      <c r="E7" s="372"/>
      <c r="F7" s="373">
        <f>SUMIF(70:70,YEAR(E7)&amp;"-"&amp;INT((MONTH(E7)+2)/3),71:71)</f>
        <v>0</v>
      </c>
      <c r="G7" s="2162"/>
      <c r="H7" s="371">
        <f>SUMIF(70:70,YEAR(G7)&amp;"-"&amp;INT((MONTH(G7)+2)/3),71:71)</f>
        <v>0</v>
      </c>
      <c r="I7" s="2162"/>
      <c r="J7" s="371">
        <f>SUMIF(70:70,YEAR(I7)&amp;"-"&amp;INT((MONTH(I7)+2)/3),71:71)</f>
        <v>0</v>
      </c>
      <c r="K7" s="568"/>
      <c r="L7" s="2948"/>
      <c r="M7" s="2949"/>
      <c r="N7" s="2949"/>
      <c r="O7" s="2949"/>
      <c r="P7" s="3269" t="s">
        <v>2371</v>
      </c>
      <c r="Q7" s="3297"/>
      <c r="R7" s="710" t="s">
        <v>17</v>
      </c>
      <c r="S7" s="711">
        <f t="shared" ref="S7:S15" si="0">F7</f>
        <v>0</v>
      </c>
      <c r="T7" s="710" t="s">
        <v>17</v>
      </c>
      <c r="U7" s="711">
        <f t="shared" ref="U7:U15" si="1">H7</f>
        <v>0</v>
      </c>
      <c r="V7" s="710" t="s">
        <v>17</v>
      </c>
      <c r="W7" s="711">
        <f t="shared" ref="W7:W15" si="2">J7</f>
        <v>0</v>
      </c>
      <c r="X7" s="712"/>
      <c r="Y7" s="3269" t="s">
        <v>2371</v>
      </c>
      <c r="Z7" s="3270"/>
      <c r="AA7" s="713" t="e">
        <f>D7/F7</f>
        <v>#DIV/0!</v>
      </c>
      <c r="AB7" s="713" t="e">
        <f>D7/H7</f>
        <v>#DIV/0!</v>
      </c>
      <c r="AC7" s="713" t="e">
        <f>D7/J7</f>
        <v>#DIV/0!</v>
      </c>
    </row>
    <row r="8" spans="1:30" s="113" customFormat="1" ht="15.75" thickBot="1">
      <c r="A8" s="368" t="s">
        <v>2372</v>
      </c>
      <c r="B8" s="369"/>
      <c r="C8" s="374" t="s">
        <v>2373</v>
      </c>
      <c r="D8" s="371">
        <v>100</v>
      </c>
      <c r="E8" s="374"/>
      <c r="F8" s="373">
        <f>SUMIF(73:73,E8,74:74)-SUMIF(73:73,C8,74:74)+100</f>
        <v>0</v>
      </c>
      <c r="G8" s="374"/>
      <c r="H8" s="371">
        <f>SUMIF(73:73,G8,74:74)-SUMIF(73:73,C8,74:74)+100</f>
        <v>0</v>
      </c>
      <c r="I8" s="374"/>
      <c r="J8" s="371">
        <f>SUMIF(73:73,I8,74:74)-SUMIF(73:73,C8,74:74)+100</f>
        <v>0</v>
      </c>
      <c r="K8" s="568"/>
      <c r="L8" s="2948"/>
      <c r="M8" s="2949"/>
      <c r="N8" s="2949"/>
      <c r="O8" s="2949"/>
      <c r="P8" s="3269" t="s">
        <v>2374</v>
      </c>
      <c r="Q8" s="3270"/>
      <c r="R8" s="710" t="s">
        <v>17</v>
      </c>
      <c r="S8" s="711">
        <f t="shared" si="0"/>
        <v>0</v>
      </c>
      <c r="T8" s="710" t="s">
        <v>17</v>
      </c>
      <c r="U8" s="711">
        <f t="shared" si="1"/>
        <v>0</v>
      </c>
      <c r="V8" s="710" t="s">
        <v>17</v>
      </c>
      <c r="W8" s="711">
        <f t="shared" si="2"/>
        <v>0</v>
      </c>
      <c r="X8" s="712"/>
      <c r="Y8" s="3269" t="s">
        <v>2374</v>
      </c>
      <c r="Z8" s="3270"/>
      <c r="AA8" s="713" t="e">
        <f t="shared" ref="AA8:AA45" si="3">D8/F8</f>
        <v>#DIV/0!</v>
      </c>
      <c r="AB8" s="713" t="e">
        <f t="shared" ref="AB8:AB45" si="4">D8/H8</f>
        <v>#DIV/0!</v>
      </c>
      <c r="AC8" s="713" t="e">
        <f t="shared" ref="AC8:AC45" si="5">D8/J8</f>
        <v>#DIV/0!</v>
      </c>
    </row>
    <row r="9" spans="1:30" s="113" customFormat="1">
      <c r="A9" s="375" t="s">
        <v>2375</v>
      </c>
      <c r="B9" s="67" t="s">
        <v>2376</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301" t="s">
        <v>2377</v>
      </c>
      <c r="Q9" s="1529" t="str">
        <f t="shared" ref="Q9:Q15" si="6">B9</f>
        <v>用途</v>
      </c>
      <c r="R9" s="710" t="s">
        <v>17</v>
      </c>
      <c r="S9" s="711">
        <f t="shared" si="0"/>
        <v>100</v>
      </c>
      <c r="T9" s="710" t="s">
        <v>17</v>
      </c>
      <c r="U9" s="711">
        <f t="shared" si="1"/>
        <v>100</v>
      </c>
      <c r="V9" s="710" t="s">
        <v>17</v>
      </c>
      <c r="W9" s="711">
        <f t="shared" si="2"/>
        <v>100</v>
      </c>
      <c r="X9" s="712"/>
      <c r="Y9" s="3211" t="s">
        <v>2378</v>
      </c>
      <c r="Z9" s="55" t="str">
        <f t="shared" ref="Z9:Z15" si="7">Q9</f>
        <v>用途</v>
      </c>
      <c r="AA9" s="713">
        <f t="shared" si="3"/>
        <v>1</v>
      </c>
      <c r="AB9" s="713">
        <f t="shared" si="4"/>
        <v>1</v>
      </c>
      <c r="AC9" s="713">
        <f t="shared" si="5"/>
        <v>1</v>
      </c>
    </row>
    <row r="10" spans="1:30" s="386" customFormat="1" ht="27">
      <c r="A10" s="380"/>
      <c r="B10" s="381" t="s">
        <v>2379</v>
      </c>
      <c r="C10" s="391"/>
      <c r="D10" s="132">
        <v>100</v>
      </c>
      <c r="E10" s="424"/>
      <c r="F10" s="132">
        <f>ROUND(100/'数据-取费表'!G16,0)</f>
        <v>116</v>
      </c>
      <c r="G10" s="422"/>
      <c r="H10" s="132">
        <f>ROUND(100/'数据-取费表'!G16,0)</f>
        <v>116</v>
      </c>
      <c r="I10" s="422"/>
      <c r="J10" s="132">
        <f>ROUND(100/'数据-取费表'!G16,0)</f>
        <v>116</v>
      </c>
      <c r="K10" s="628"/>
      <c r="L10" s="2950"/>
      <c r="M10" s="2951"/>
      <c r="N10" s="2951"/>
      <c r="O10" s="3004"/>
      <c r="P10" s="3301"/>
      <c r="Q10" s="1529" t="str">
        <f t="shared" si="6"/>
        <v>土地使用年限（年）</v>
      </c>
      <c r="R10" s="710" t="s">
        <v>17</v>
      </c>
      <c r="S10" s="711">
        <f t="shared" si="0"/>
        <v>116</v>
      </c>
      <c r="T10" s="710" t="s">
        <v>17</v>
      </c>
      <c r="U10" s="711">
        <f t="shared" si="1"/>
        <v>116</v>
      </c>
      <c r="V10" s="710" t="s">
        <v>17</v>
      </c>
      <c r="W10" s="711">
        <f t="shared" si="2"/>
        <v>116</v>
      </c>
      <c r="X10" s="712"/>
      <c r="Y10" s="3211"/>
      <c r="Z10" s="55" t="str">
        <f t="shared" si="7"/>
        <v>土地使用年限（年）</v>
      </c>
      <c r="AA10" s="713">
        <f t="shared" si="3"/>
        <v>0.86206896551724133</v>
      </c>
      <c r="AB10" s="713">
        <f t="shared" si="4"/>
        <v>0.86206896551724133</v>
      </c>
      <c r="AC10" s="713">
        <f t="shared" si="5"/>
        <v>0.86206896551724133</v>
      </c>
    </row>
    <row r="11" spans="1:30" ht="15">
      <c r="A11" s="387"/>
      <c r="B11" s="381" t="s">
        <v>2380</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2"/>
      <c r="M11" s="2947"/>
      <c r="N11" s="2947"/>
      <c r="O11" s="3005"/>
      <c r="P11" s="3301"/>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30" s="113" customFormat="1" ht="15">
      <c r="A12" s="390"/>
      <c r="B12" s="2081" t="s">
        <v>2569</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301"/>
      <c r="Q12" s="1529" t="str">
        <f t="shared" si="6"/>
        <v>配建</v>
      </c>
      <c r="R12" s="710" t="s">
        <v>17</v>
      </c>
      <c r="S12" s="711">
        <f t="shared" si="0"/>
        <v>100</v>
      </c>
      <c r="T12" s="710" t="s">
        <v>17</v>
      </c>
      <c r="U12" s="711">
        <f t="shared" si="1"/>
        <v>100</v>
      </c>
      <c r="V12" s="710" t="s">
        <v>17</v>
      </c>
      <c r="W12" s="711">
        <f t="shared" si="2"/>
        <v>100</v>
      </c>
      <c r="X12" s="712"/>
      <c r="Y12" s="3211"/>
      <c r="Z12" s="55" t="str">
        <f t="shared" si="7"/>
        <v>配建</v>
      </c>
      <c r="AA12" s="713">
        <f>D12/F12</f>
        <v>1</v>
      </c>
      <c r="AB12" s="713">
        <f>D12/H12</f>
        <v>1</v>
      </c>
      <c r="AC12" s="713">
        <f>D12/J12</f>
        <v>1</v>
      </c>
    </row>
    <row r="13" spans="1:30" ht="15">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D13/F13</f>
        <v>1</v>
      </c>
      <c r="AB13" s="713">
        <f>D13/H13</f>
        <v>1</v>
      </c>
      <c r="AC13" s="713">
        <f>D13/J13</f>
        <v>1</v>
      </c>
    </row>
    <row r="14" spans="1:30" ht="15.75" thickBot="1">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301"/>
      <c r="Q14" s="1529">
        <f t="shared" si="6"/>
        <v>111</v>
      </c>
      <c r="R14" s="710" t="s">
        <v>17</v>
      </c>
      <c r="S14" s="711">
        <f t="shared" si="0"/>
        <v>100</v>
      </c>
      <c r="T14" s="710" t="s">
        <v>17</v>
      </c>
      <c r="U14" s="711">
        <f t="shared" si="1"/>
        <v>100</v>
      </c>
      <c r="V14" s="710" t="s">
        <v>17</v>
      </c>
      <c r="W14" s="711">
        <f t="shared" si="2"/>
        <v>100</v>
      </c>
      <c r="X14" s="712"/>
      <c r="Y14" s="3211"/>
      <c r="Z14" s="55">
        <f t="shared" si="7"/>
        <v>111</v>
      </c>
      <c r="AA14" s="713">
        <f>D14/F14</f>
        <v>1</v>
      </c>
      <c r="AB14" s="713">
        <f>D14/H14</f>
        <v>1</v>
      </c>
      <c r="AC14" s="713">
        <f>D14/J14</f>
        <v>1</v>
      </c>
    </row>
    <row r="15" spans="1:30" ht="99.75">
      <c r="A15" s="399" t="s">
        <v>2381</v>
      </c>
      <c r="B15" s="65" t="s">
        <v>1944</v>
      </c>
      <c r="C15" s="2084"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303" t="s">
        <v>2382</v>
      </c>
      <c r="Q15" s="1538" t="str">
        <f t="shared" si="6"/>
        <v>居住社区成熟度</v>
      </c>
      <c r="R15" s="714" t="s">
        <v>17</v>
      </c>
      <c r="S15" s="715">
        <f t="shared" si="0"/>
        <v>100</v>
      </c>
      <c r="T15" s="714" t="s">
        <v>17</v>
      </c>
      <c r="U15" s="715">
        <f t="shared" si="1"/>
        <v>100</v>
      </c>
      <c r="V15" s="714" t="s">
        <v>17</v>
      </c>
      <c r="W15" s="715">
        <f t="shared" si="2"/>
        <v>100</v>
      </c>
      <c r="X15" s="1541"/>
      <c r="Y15" s="3303" t="s">
        <v>2382</v>
      </c>
      <c r="Z15" s="1542" t="str">
        <f t="shared" si="7"/>
        <v>居住社区成熟度</v>
      </c>
      <c r="AA15" s="1539">
        <f t="shared" si="3"/>
        <v>1</v>
      </c>
      <c r="AB15" s="1539">
        <f t="shared" si="4"/>
        <v>1</v>
      </c>
      <c r="AC15" s="1539">
        <f t="shared" si="5"/>
        <v>1</v>
      </c>
    </row>
    <row r="16" spans="1:30" ht="15">
      <c r="A16" s="387"/>
      <c r="B16" s="405"/>
      <c r="C16" s="406"/>
      <c r="D16" s="407"/>
      <c r="E16" s="2086"/>
      <c r="F16" s="407"/>
      <c r="G16" s="2086"/>
      <c r="H16" s="409"/>
      <c r="I16" s="2085"/>
      <c r="J16" s="407"/>
      <c r="K16" s="628"/>
      <c r="L16" s="2953"/>
      <c r="M16" s="2947"/>
      <c r="N16" s="2947"/>
      <c r="O16" s="3005"/>
      <c r="P16" s="3304"/>
      <c r="Q16" s="1538"/>
      <c r="R16" s="714"/>
      <c r="S16" s="715"/>
      <c r="T16" s="714"/>
      <c r="U16" s="715"/>
      <c r="V16" s="714"/>
      <c r="W16" s="715"/>
      <c r="X16" s="1541"/>
      <c r="Y16" s="3304"/>
      <c r="Z16" s="1542"/>
      <c r="AA16" s="1539">
        <v>1</v>
      </c>
      <c r="AB16" s="1539">
        <v>1</v>
      </c>
      <c r="AC16" s="1539">
        <v>1</v>
      </c>
    </row>
    <row r="17" spans="1:29" ht="71.25">
      <c r="A17" s="387"/>
      <c r="B17" s="410" t="s">
        <v>2475</v>
      </c>
      <c r="C17" s="2143"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304"/>
      <c r="Q17" s="1538" t="str">
        <f>B17</f>
        <v>商业繁华度</v>
      </c>
      <c r="R17" s="714" t="s">
        <v>17</v>
      </c>
      <c r="S17" s="715">
        <f>F17</f>
        <v>100</v>
      </c>
      <c r="T17" s="714" t="s">
        <v>17</v>
      </c>
      <c r="U17" s="715">
        <f>H17</f>
        <v>100</v>
      </c>
      <c r="V17" s="714" t="s">
        <v>17</v>
      </c>
      <c r="W17" s="715">
        <f>J17</f>
        <v>100</v>
      </c>
      <c r="X17" s="1541"/>
      <c r="Y17" s="3304"/>
      <c r="Z17" s="1542" t="str">
        <f>Q17</f>
        <v>商业繁华度</v>
      </c>
      <c r="AA17" s="1539">
        <f t="shared" si="3"/>
        <v>1</v>
      </c>
      <c r="AB17" s="1539">
        <f t="shared" si="4"/>
        <v>1</v>
      </c>
      <c r="AC17" s="1539">
        <f t="shared" si="5"/>
        <v>1</v>
      </c>
    </row>
    <row r="18" spans="1:29" ht="15">
      <c r="A18" s="387"/>
      <c r="B18" s="415"/>
      <c r="C18" s="2089"/>
      <c r="D18" s="409"/>
      <c r="E18" s="2091"/>
      <c r="F18" s="409"/>
      <c r="G18" s="2091"/>
      <c r="H18" s="407"/>
      <c r="I18" s="2090"/>
      <c r="J18" s="407"/>
      <c r="K18" s="628"/>
      <c r="L18" s="2953"/>
      <c r="M18" s="2947"/>
      <c r="N18" s="2947"/>
      <c r="O18" s="3005"/>
      <c r="P18" s="3304"/>
      <c r="Q18" s="1538"/>
      <c r="R18" s="714"/>
      <c r="S18" s="715"/>
      <c r="T18" s="714"/>
      <c r="U18" s="715"/>
      <c r="V18" s="714"/>
      <c r="W18" s="715"/>
      <c r="X18" s="1541"/>
      <c r="Y18" s="3304"/>
      <c r="Z18" s="1542"/>
      <c r="AA18" s="1539">
        <v>1</v>
      </c>
      <c r="AB18" s="1539">
        <v>1</v>
      </c>
      <c r="AC18" s="1539">
        <v>1</v>
      </c>
    </row>
    <row r="19" spans="1:29" ht="71.25">
      <c r="A19" s="387"/>
      <c r="B19" s="410" t="s">
        <v>2509</v>
      </c>
      <c r="C19" s="2143"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304"/>
      <c r="Q19" s="1538" t="str">
        <f>B19</f>
        <v>办公集聚程度</v>
      </c>
      <c r="R19" s="714" t="s">
        <v>17</v>
      </c>
      <c r="S19" s="715">
        <f>F19</f>
        <v>100</v>
      </c>
      <c r="T19" s="714" t="s">
        <v>17</v>
      </c>
      <c r="U19" s="715">
        <f>H19</f>
        <v>100</v>
      </c>
      <c r="V19" s="714" t="s">
        <v>17</v>
      </c>
      <c r="W19" s="715">
        <f>J19</f>
        <v>100</v>
      </c>
      <c r="X19" s="1541"/>
      <c r="Y19" s="3304"/>
      <c r="Z19" s="1542" t="str">
        <f>Q19</f>
        <v>办公集聚程度</v>
      </c>
      <c r="AA19" s="1539">
        <f t="shared" si="3"/>
        <v>1</v>
      </c>
      <c r="AB19" s="1539">
        <f t="shared" si="4"/>
        <v>1</v>
      </c>
      <c r="AC19" s="1539">
        <f t="shared" si="5"/>
        <v>1</v>
      </c>
    </row>
    <row r="20" spans="1:29" ht="15">
      <c r="A20" s="387"/>
      <c r="B20" s="415"/>
      <c r="C20" s="406"/>
      <c r="D20" s="407"/>
      <c r="E20" s="2086"/>
      <c r="F20" s="407"/>
      <c r="G20" s="2086"/>
      <c r="H20" s="407"/>
      <c r="I20" s="2085"/>
      <c r="J20" s="407"/>
      <c r="K20" s="628"/>
      <c r="L20" s="2953"/>
      <c r="M20" s="2947"/>
      <c r="N20" s="2947"/>
      <c r="O20" s="3005"/>
      <c r="P20" s="3304"/>
      <c r="Q20" s="1538"/>
      <c r="R20" s="714"/>
      <c r="S20" s="715"/>
      <c r="T20" s="714"/>
      <c r="U20" s="715"/>
      <c r="V20" s="714"/>
      <c r="W20" s="715"/>
      <c r="X20" s="1541"/>
      <c r="Y20" s="3304"/>
      <c r="Z20" s="1542"/>
      <c r="AA20" s="1539">
        <v>1</v>
      </c>
      <c r="AB20" s="1539">
        <v>1</v>
      </c>
      <c r="AC20" s="1539">
        <v>1</v>
      </c>
    </row>
    <row r="21" spans="1:29" ht="85.5">
      <c r="A21" s="387"/>
      <c r="B21" s="410" t="s">
        <v>2531</v>
      </c>
      <c r="C21" s="2088"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304"/>
      <c r="Q21" s="1538" t="str">
        <f>B21</f>
        <v>交通便捷度</v>
      </c>
      <c r="R21" s="714" t="s">
        <v>17</v>
      </c>
      <c r="S21" s="715">
        <f>F21</f>
        <v>100</v>
      </c>
      <c r="T21" s="714" t="s">
        <v>17</v>
      </c>
      <c r="U21" s="715">
        <f>H21</f>
        <v>100</v>
      </c>
      <c r="V21" s="714" t="s">
        <v>17</v>
      </c>
      <c r="W21" s="715">
        <f>J21</f>
        <v>100</v>
      </c>
      <c r="X21" s="1541"/>
      <c r="Y21" s="3304"/>
      <c r="Z21" s="1542" t="str">
        <f>Q21</f>
        <v>交通便捷度</v>
      </c>
      <c r="AA21" s="1539">
        <f t="shared" si="3"/>
        <v>1</v>
      </c>
      <c r="AB21" s="1539">
        <f t="shared" si="4"/>
        <v>1</v>
      </c>
      <c r="AC21" s="1539">
        <f t="shared" si="5"/>
        <v>1</v>
      </c>
    </row>
    <row r="22" spans="1:29" ht="15">
      <c r="A22" s="387"/>
      <c r="B22" s="1293"/>
      <c r="C22" s="406"/>
      <c r="D22" s="409"/>
      <c r="E22" s="2086"/>
      <c r="F22" s="407"/>
      <c r="G22" s="2086"/>
      <c r="H22" s="407"/>
      <c r="I22" s="2085"/>
      <c r="J22" s="407"/>
      <c r="K22" s="628"/>
      <c r="L22" s="2953"/>
      <c r="M22" s="2947"/>
      <c r="N22" s="2947"/>
      <c r="O22" s="3005"/>
      <c r="P22" s="3304"/>
      <c r="Q22" s="1538"/>
      <c r="R22" s="714"/>
      <c r="S22" s="715"/>
      <c r="T22" s="714"/>
      <c r="U22" s="715"/>
      <c r="V22" s="714"/>
      <c r="W22" s="715"/>
      <c r="X22" s="1541"/>
      <c r="Y22" s="3304"/>
      <c r="Z22" s="1542"/>
      <c r="AA22" s="1539">
        <v>1</v>
      </c>
      <c r="AB22" s="1539">
        <v>1</v>
      </c>
      <c r="AC22" s="1539">
        <v>1</v>
      </c>
    </row>
    <row r="23" spans="1:29" ht="15">
      <c r="A23" s="364"/>
      <c r="B23" s="410" t="s">
        <v>2570</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304"/>
      <c r="Q23" s="1538" t="str">
        <f t="shared" ref="Q23:Q37" si="8">B23</f>
        <v>区域土地利用方向</v>
      </c>
      <c r="R23" s="714" t="s">
        <v>17</v>
      </c>
      <c r="S23" s="715">
        <f>F23</f>
        <v>100</v>
      </c>
      <c r="T23" s="714" t="s">
        <v>17</v>
      </c>
      <c r="U23" s="715">
        <f>H23</f>
        <v>100</v>
      </c>
      <c r="V23" s="714" t="s">
        <v>17</v>
      </c>
      <c r="W23" s="715">
        <f>J23</f>
        <v>100</v>
      </c>
      <c r="X23" s="1541"/>
      <c r="Y23" s="3304"/>
      <c r="Z23" s="1542" t="str">
        <f>Q23</f>
        <v>区域土地利用方向</v>
      </c>
      <c r="AA23" s="1539">
        <f t="shared" si="3"/>
        <v>1</v>
      </c>
      <c r="AB23" s="1539">
        <f t="shared" si="4"/>
        <v>1</v>
      </c>
      <c r="AC23" s="1539">
        <f t="shared" si="5"/>
        <v>1</v>
      </c>
    </row>
    <row r="24" spans="1:29" ht="15">
      <c r="A24" s="364"/>
      <c r="B24" s="415"/>
      <c r="C24" s="573"/>
      <c r="D24" s="407"/>
      <c r="E24" s="2086"/>
      <c r="F24" s="407"/>
      <c r="G24" s="2085"/>
      <c r="H24" s="407"/>
      <c r="I24" s="2085"/>
      <c r="J24" s="407"/>
      <c r="K24" s="751"/>
      <c r="L24" s="2953"/>
      <c r="M24" s="2947"/>
      <c r="N24" s="2947"/>
      <c r="O24" s="3005"/>
      <c r="P24" s="3304"/>
      <c r="Q24" s="1538"/>
      <c r="R24" s="714"/>
      <c r="S24" s="715"/>
      <c r="T24" s="714"/>
      <c r="U24" s="715"/>
      <c r="V24" s="714"/>
      <c r="W24" s="715"/>
      <c r="X24" s="1541"/>
      <c r="Y24" s="3304"/>
      <c r="Z24" s="1542"/>
      <c r="AA24" s="1539"/>
      <c r="AB24" s="1539"/>
      <c r="AC24" s="1539"/>
    </row>
    <row r="25" spans="1:29" ht="57">
      <c r="A25" s="364"/>
      <c r="B25" s="1293" t="s">
        <v>2571</v>
      </c>
      <c r="C25" s="2143"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3"/>
      <c r="M25" s="2947"/>
      <c r="N25" s="2947"/>
      <c r="O25" s="3005"/>
      <c r="P25" s="3304"/>
      <c r="Q25" s="1538" t="str">
        <f t="shared" si="8"/>
        <v>自然及人文环境状况</v>
      </c>
      <c r="R25" s="714" t="s">
        <v>17</v>
      </c>
      <c r="S25" s="715">
        <f>F25</f>
        <v>100</v>
      </c>
      <c r="T25" s="714" t="s">
        <v>17</v>
      </c>
      <c r="U25" s="715">
        <f>H25</f>
        <v>100</v>
      </c>
      <c r="V25" s="714" t="s">
        <v>17</v>
      </c>
      <c r="W25" s="715">
        <f>J25</f>
        <v>100</v>
      </c>
      <c r="X25" s="1541"/>
      <c r="Y25" s="3304"/>
      <c r="Z25" s="1542" t="str">
        <f>Q25</f>
        <v>自然及人文环境状况</v>
      </c>
      <c r="AA25" s="1539">
        <f t="shared" si="3"/>
        <v>1</v>
      </c>
      <c r="AB25" s="1539">
        <f t="shared" si="4"/>
        <v>1</v>
      </c>
      <c r="AC25" s="1539">
        <f t="shared" si="5"/>
        <v>1</v>
      </c>
    </row>
    <row r="26" spans="1:29" ht="15">
      <c r="A26" s="364"/>
      <c r="B26" s="415"/>
      <c r="C26" s="406"/>
      <c r="D26" s="407"/>
      <c r="E26" s="2092"/>
      <c r="F26" s="407"/>
      <c r="G26" s="2092"/>
      <c r="H26" s="407"/>
      <c r="I26" s="406"/>
      <c r="J26" s="407"/>
      <c r="K26" s="628"/>
      <c r="L26" s="2953"/>
      <c r="M26" s="2947"/>
      <c r="N26" s="2947"/>
      <c r="O26" s="3005"/>
      <c r="P26" s="3304"/>
      <c r="Q26" s="1538"/>
      <c r="R26" s="714"/>
      <c r="S26" s="715"/>
      <c r="T26" s="714"/>
      <c r="U26" s="715"/>
      <c r="V26" s="714"/>
      <c r="W26" s="715"/>
      <c r="X26" s="1541"/>
      <c r="Y26" s="3304"/>
      <c r="Z26" s="1542"/>
      <c r="AA26" s="1539">
        <v>1</v>
      </c>
      <c r="AB26" s="1539">
        <v>1</v>
      </c>
      <c r="AC26" s="1539">
        <v>1</v>
      </c>
    </row>
    <row r="27" spans="1:29" s="113" customFormat="1" ht="42.75">
      <c r="A27" s="605"/>
      <c r="B27" s="1293" t="s">
        <v>2476</v>
      </c>
      <c r="C27" s="2088"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304"/>
      <c r="Q27" s="1529" t="str">
        <f t="shared" si="8"/>
        <v>公共配套设施</v>
      </c>
      <c r="R27" s="710" t="s">
        <v>17</v>
      </c>
      <c r="S27" s="711">
        <f>F27</f>
        <v>100</v>
      </c>
      <c r="T27" s="710" t="s">
        <v>17</v>
      </c>
      <c r="U27" s="711">
        <f>H27</f>
        <v>100</v>
      </c>
      <c r="V27" s="710" t="s">
        <v>17</v>
      </c>
      <c r="W27" s="711">
        <f>J27</f>
        <v>100</v>
      </c>
      <c r="X27" s="712"/>
      <c r="Y27" s="3304"/>
      <c r="Z27" s="55" t="str">
        <f>Q27</f>
        <v>公共配套设施</v>
      </c>
      <c r="AA27" s="1539">
        <f>D27/F27</f>
        <v>1</v>
      </c>
      <c r="AB27" s="1539">
        <f>D27/H27</f>
        <v>1</v>
      </c>
      <c r="AC27" s="1539">
        <f>D27/J27</f>
        <v>1</v>
      </c>
    </row>
    <row r="28" spans="1:29" s="113" customFormat="1" ht="15">
      <c r="A28" s="605"/>
      <c r="B28" s="415"/>
      <c r="C28" s="2166"/>
      <c r="D28" s="407"/>
      <c r="E28" s="2092"/>
      <c r="F28" s="407"/>
      <c r="G28" s="2092"/>
      <c r="H28" s="407"/>
      <c r="I28" s="406"/>
      <c r="J28" s="407"/>
      <c r="K28" s="628"/>
      <c r="L28" s="2948"/>
      <c r="M28" s="2949"/>
      <c r="N28" s="2949"/>
      <c r="O28" s="3003"/>
      <c r="P28" s="3304"/>
      <c r="Q28" s="1529"/>
      <c r="R28" s="710"/>
      <c r="S28" s="711"/>
      <c r="T28" s="710"/>
      <c r="U28" s="711"/>
      <c r="V28" s="710"/>
      <c r="W28" s="711"/>
      <c r="X28" s="712"/>
      <c r="Y28" s="3304"/>
      <c r="Z28" s="55"/>
      <c r="AA28" s="1539">
        <v>1</v>
      </c>
      <c r="AB28" s="1539">
        <v>1</v>
      </c>
      <c r="AC28" s="1539">
        <v>1</v>
      </c>
    </row>
    <row r="29" spans="1:29" s="113" customFormat="1" ht="28.5">
      <c r="A29" s="605"/>
      <c r="B29" s="1293" t="s">
        <v>2477</v>
      </c>
      <c r="C29" s="2088"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304"/>
      <c r="Q29" s="1529" t="str">
        <f t="shared" ref="Q29" si="9">B29</f>
        <v>基础设施水平</v>
      </c>
      <c r="R29" s="710" t="s">
        <v>17</v>
      </c>
      <c r="S29" s="711">
        <f>F29</f>
        <v>100</v>
      </c>
      <c r="T29" s="710" t="s">
        <v>17</v>
      </c>
      <c r="U29" s="711">
        <f>H29</f>
        <v>100</v>
      </c>
      <c r="V29" s="710" t="s">
        <v>17</v>
      </c>
      <c r="W29" s="711">
        <f>J29</f>
        <v>100</v>
      </c>
      <c r="X29" s="712"/>
      <c r="Y29" s="3304"/>
      <c r="Z29" s="55" t="str">
        <f>Q29</f>
        <v>基础设施水平</v>
      </c>
      <c r="AA29" s="1539">
        <f>D29/F29</f>
        <v>1</v>
      </c>
      <c r="AB29" s="1539">
        <f>D29/H29</f>
        <v>1</v>
      </c>
      <c r="AC29" s="1539">
        <f>D29/J29</f>
        <v>1</v>
      </c>
    </row>
    <row r="30" spans="1:29" s="113" customFormat="1" ht="15">
      <c r="A30" s="605"/>
      <c r="B30" s="415"/>
      <c r="C30" s="2166"/>
      <c r="D30" s="407"/>
      <c r="E30" s="2167"/>
      <c r="F30" s="407"/>
      <c r="G30" s="2167"/>
      <c r="H30" s="407"/>
      <c r="I30" s="2167"/>
      <c r="J30" s="407"/>
      <c r="K30" s="628"/>
      <c r="L30" s="2948"/>
      <c r="M30" s="2949"/>
      <c r="N30" s="2949"/>
      <c r="O30" s="3003"/>
      <c r="P30" s="3304"/>
      <c r="Q30" s="1529"/>
      <c r="R30" s="710"/>
      <c r="S30" s="711"/>
      <c r="T30" s="710"/>
      <c r="U30" s="711"/>
      <c r="V30" s="710"/>
      <c r="W30" s="711"/>
      <c r="X30" s="712"/>
      <c r="Y30" s="3304"/>
      <c r="Z30" s="55"/>
      <c r="AA30" s="1539">
        <v>1</v>
      </c>
      <c r="AB30" s="1539">
        <v>1</v>
      </c>
      <c r="AC30" s="1539">
        <v>1</v>
      </c>
    </row>
    <row r="31" spans="1:29" ht="15">
      <c r="A31" s="387"/>
      <c r="B31" s="415" t="s">
        <v>2478</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304"/>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04"/>
      <c r="Z31" s="1542" t="str">
        <f t="shared" ref="Z31:Z45" si="13">Q31</f>
        <v>临街状况</v>
      </c>
      <c r="AA31" s="1539">
        <f t="shared" si="3"/>
        <v>1</v>
      </c>
      <c r="AB31" s="1539">
        <f t="shared" si="4"/>
        <v>1</v>
      </c>
      <c r="AC31" s="1539">
        <f t="shared" si="5"/>
        <v>1</v>
      </c>
    </row>
    <row r="32" spans="1:29" ht="27">
      <c r="A32" s="387"/>
      <c r="B32" s="1293" t="s">
        <v>2513</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304"/>
      <c r="Q32" s="1538" t="str">
        <f t="shared" si="8"/>
        <v>毗邻道路的类型与等级</v>
      </c>
      <c r="R32" s="714" t="s">
        <v>17</v>
      </c>
      <c r="S32" s="715">
        <f t="shared" si="10"/>
        <v>100</v>
      </c>
      <c r="T32" s="714" t="s">
        <v>17</v>
      </c>
      <c r="U32" s="715">
        <f t="shared" si="11"/>
        <v>100</v>
      </c>
      <c r="V32" s="714" t="s">
        <v>17</v>
      </c>
      <c r="W32" s="715">
        <f t="shared" si="12"/>
        <v>100</v>
      </c>
      <c r="X32" s="1541"/>
      <c r="Y32" s="3304"/>
      <c r="Z32" s="1542" t="str">
        <f t="shared" si="13"/>
        <v>毗邻道路的类型与等级</v>
      </c>
      <c r="AA32" s="1539">
        <f t="shared" si="3"/>
        <v>1</v>
      </c>
      <c r="AB32" s="1539">
        <f t="shared" si="4"/>
        <v>1</v>
      </c>
      <c r="AC32" s="1539">
        <f t="shared" si="5"/>
        <v>1</v>
      </c>
    </row>
    <row r="33" spans="1:29" ht="15">
      <c r="A33" s="387"/>
      <c r="B33" s="415"/>
      <c r="C33" s="406"/>
      <c r="D33" s="407"/>
      <c r="E33" s="2092"/>
      <c r="F33" s="407"/>
      <c r="G33" s="2092"/>
      <c r="H33" s="407"/>
      <c r="I33" s="406"/>
      <c r="J33" s="407"/>
      <c r="K33" s="570"/>
      <c r="L33" s="2953"/>
      <c r="M33" s="2947"/>
      <c r="N33" s="2947"/>
      <c r="O33" s="3005"/>
      <c r="P33" s="3304"/>
      <c r="Q33" s="1538"/>
      <c r="R33" s="714"/>
      <c r="S33" s="715"/>
      <c r="T33" s="714"/>
      <c r="U33" s="715"/>
      <c r="V33" s="714"/>
      <c r="W33" s="715"/>
      <c r="X33" s="1541"/>
      <c r="Y33" s="3304"/>
      <c r="Z33" s="1542"/>
      <c r="AA33" s="1539">
        <v>1</v>
      </c>
      <c r="AB33" s="1539">
        <v>1</v>
      </c>
      <c r="AC33" s="1539">
        <v>1</v>
      </c>
    </row>
    <row r="34" spans="1:29" ht="15">
      <c r="A34" s="387"/>
      <c r="B34" s="381" t="s">
        <v>2572</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304"/>
      <c r="Q34" s="1538" t="str">
        <f t="shared" si="8"/>
        <v>土地级别</v>
      </c>
      <c r="R34" s="714" t="s">
        <v>17</v>
      </c>
      <c r="S34" s="715">
        <f t="shared" si="10"/>
        <v>100</v>
      </c>
      <c r="T34" s="714" t="s">
        <v>17</v>
      </c>
      <c r="U34" s="715">
        <f t="shared" si="11"/>
        <v>100</v>
      </c>
      <c r="V34" s="714" t="s">
        <v>17</v>
      </c>
      <c r="W34" s="715">
        <f t="shared" si="12"/>
        <v>100</v>
      </c>
      <c r="X34" s="1541"/>
      <c r="Y34" s="3304"/>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304"/>
      <c r="Q35" s="1538">
        <f t="shared" si="8"/>
        <v>111</v>
      </c>
      <c r="R35" s="714" t="s">
        <v>17</v>
      </c>
      <c r="S35" s="715">
        <f t="shared" si="10"/>
        <v>100</v>
      </c>
      <c r="T35" s="714" t="s">
        <v>17</v>
      </c>
      <c r="U35" s="715">
        <f t="shared" si="11"/>
        <v>100</v>
      </c>
      <c r="V35" s="714" t="s">
        <v>17</v>
      </c>
      <c r="W35" s="715">
        <f t="shared" si="12"/>
        <v>100</v>
      </c>
      <c r="X35" s="1541"/>
      <c r="Y35" s="3304"/>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327" t="s">
        <v>2387</v>
      </c>
      <c r="Q36" s="1538">
        <f t="shared" si="8"/>
        <v>111</v>
      </c>
      <c r="R36" s="714" t="s">
        <v>17</v>
      </c>
      <c r="S36" s="715">
        <f t="shared" si="10"/>
        <v>100</v>
      </c>
      <c r="T36" s="714" t="s">
        <v>17</v>
      </c>
      <c r="U36" s="715">
        <f t="shared" si="11"/>
        <v>100</v>
      </c>
      <c r="V36" s="714" t="s">
        <v>17</v>
      </c>
      <c r="W36" s="715">
        <f t="shared" si="12"/>
        <v>100</v>
      </c>
      <c r="X36" s="1541"/>
      <c r="Y36" s="3308" t="s">
        <v>2387</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308"/>
      <c r="Q37" s="1538">
        <f t="shared" si="8"/>
        <v>111</v>
      </c>
      <c r="R37" s="717" t="s">
        <v>17</v>
      </c>
      <c r="S37" s="718">
        <f t="shared" si="10"/>
        <v>100</v>
      </c>
      <c r="T37" s="717" t="s">
        <v>17</v>
      </c>
      <c r="U37" s="718">
        <f t="shared" si="11"/>
        <v>100</v>
      </c>
      <c r="V37" s="717" t="s">
        <v>17</v>
      </c>
      <c r="W37" s="718">
        <f t="shared" si="12"/>
        <v>100</v>
      </c>
      <c r="X37" s="719"/>
      <c r="Y37" s="3308"/>
      <c r="Z37" s="720">
        <f t="shared" si="13"/>
        <v>111</v>
      </c>
      <c r="AA37" s="1539">
        <f t="shared" si="3"/>
        <v>1</v>
      </c>
      <c r="AB37" s="1539">
        <f t="shared" si="4"/>
        <v>1</v>
      </c>
      <c r="AC37" s="1539">
        <f t="shared" si="5"/>
        <v>1</v>
      </c>
    </row>
    <row r="38" spans="1:29" ht="15">
      <c r="A38" s="431" t="s">
        <v>2385</v>
      </c>
      <c r="B38" s="415" t="s">
        <v>2573</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3"/>
      <c r="M38" s="2947"/>
      <c r="N38" s="2947"/>
      <c r="O38" s="3005"/>
      <c r="P38" s="3308"/>
      <c r="Q38" s="1538" t="str">
        <f>B38</f>
        <v>宗地面积</v>
      </c>
      <c r="R38" s="714" t="s">
        <v>17</v>
      </c>
      <c r="S38" s="715" t="e">
        <f t="shared" si="10"/>
        <v>#N/A</v>
      </c>
      <c r="T38" s="714" t="s">
        <v>17</v>
      </c>
      <c r="U38" s="715" t="e">
        <f t="shared" si="11"/>
        <v>#N/A</v>
      </c>
      <c r="V38" s="714" t="s">
        <v>17</v>
      </c>
      <c r="W38" s="715" t="e">
        <f t="shared" si="12"/>
        <v>#N/A</v>
      </c>
      <c r="X38" s="1541"/>
      <c r="Y38" s="3308"/>
      <c r="Z38" s="1542" t="str">
        <f t="shared" si="13"/>
        <v>宗地面积</v>
      </c>
      <c r="AA38" s="1539" t="e">
        <f t="shared" si="3"/>
        <v>#N/A</v>
      </c>
      <c r="AB38" s="1539" t="e">
        <f t="shared" si="4"/>
        <v>#N/A</v>
      </c>
      <c r="AC38" s="1539" t="e">
        <f t="shared" si="5"/>
        <v>#N/A</v>
      </c>
    </row>
    <row r="39" spans="1:29" ht="15">
      <c r="A39" s="431"/>
      <c r="B39" s="381" t="s">
        <v>2574</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308"/>
      <c r="Q39" s="1538" t="str">
        <f t="shared" ref="Q39:Q45" si="14">B39</f>
        <v>宗地形状</v>
      </c>
      <c r="R39" s="714" t="s">
        <v>17</v>
      </c>
      <c r="S39" s="715">
        <f t="shared" si="10"/>
        <v>100</v>
      </c>
      <c r="T39" s="714" t="s">
        <v>17</v>
      </c>
      <c r="U39" s="715">
        <f t="shared" si="11"/>
        <v>100</v>
      </c>
      <c r="V39" s="714" t="s">
        <v>17</v>
      </c>
      <c r="W39" s="715">
        <f t="shared" si="12"/>
        <v>100</v>
      </c>
      <c r="X39" s="1541"/>
      <c r="Y39" s="3308"/>
      <c r="Z39" s="1542" t="str">
        <f t="shared" si="13"/>
        <v>宗地形状</v>
      </c>
      <c r="AA39" s="1539">
        <f t="shared" si="3"/>
        <v>1</v>
      </c>
      <c r="AB39" s="1539">
        <f t="shared" si="4"/>
        <v>1</v>
      </c>
      <c r="AC39" s="1539">
        <f t="shared" si="5"/>
        <v>1</v>
      </c>
    </row>
    <row r="40" spans="1:29" ht="15">
      <c r="A40" s="431"/>
      <c r="B40" s="381" t="s">
        <v>2575</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308"/>
      <c r="Q40" s="1538" t="str">
        <f t="shared" si="14"/>
        <v>临街宽度及深度</v>
      </c>
      <c r="R40" s="714" t="s">
        <v>17</v>
      </c>
      <c r="S40" s="715">
        <f t="shared" si="10"/>
        <v>100</v>
      </c>
      <c r="T40" s="714" t="s">
        <v>17</v>
      </c>
      <c r="U40" s="715">
        <f t="shared" si="11"/>
        <v>100</v>
      </c>
      <c r="V40" s="714" t="s">
        <v>17</v>
      </c>
      <c r="W40" s="715">
        <f t="shared" si="12"/>
        <v>100</v>
      </c>
      <c r="X40" s="1541"/>
      <c r="Y40" s="3308"/>
      <c r="Z40" s="1542" t="str">
        <f t="shared" si="13"/>
        <v>临街宽度及深度</v>
      </c>
      <c r="AA40" s="1539">
        <f t="shared" si="3"/>
        <v>1</v>
      </c>
      <c r="AB40" s="1539">
        <f t="shared" si="4"/>
        <v>1</v>
      </c>
      <c r="AC40" s="1539">
        <f t="shared" si="5"/>
        <v>1</v>
      </c>
    </row>
    <row r="41" spans="1:29" s="113" customFormat="1" ht="15">
      <c r="A41" s="432"/>
      <c r="B41" s="381" t="s">
        <v>2576</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308"/>
      <c r="Q41" s="1538" t="str">
        <f t="shared" si="14"/>
        <v>宗地开发程度</v>
      </c>
      <c r="R41" s="710" t="s">
        <v>17</v>
      </c>
      <c r="S41" s="711">
        <f t="shared" si="10"/>
        <v>100</v>
      </c>
      <c r="T41" s="710" t="s">
        <v>17</v>
      </c>
      <c r="U41" s="711">
        <f t="shared" si="11"/>
        <v>100</v>
      </c>
      <c r="V41" s="710" t="s">
        <v>17</v>
      </c>
      <c r="W41" s="711">
        <f t="shared" si="12"/>
        <v>100</v>
      </c>
      <c r="X41" s="712"/>
      <c r="Y41" s="3308"/>
      <c r="Z41" s="55" t="str">
        <f t="shared" si="13"/>
        <v>宗地开发程度</v>
      </c>
      <c r="AA41" s="713">
        <f t="shared" si="3"/>
        <v>1</v>
      </c>
      <c r="AB41" s="713">
        <f t="shared" si="4"/>
        <v>1</v>
      </c>
      <c r="AC41" s="713">
        <f t="shared" si="5"/>
        <v>1</v>
      </c>
    </row>
    <row r="42" spans="1:29" ht="15">
      <c r="A42" s="431"/>
      <c r="B42" s="381" t="s">
        <v>2577</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308" t="s">
        <v>2387</v>
      </c>
      <c r="Q42" s="1538" t="str">
        <f t="shared" si="14"/>
        <v>工程地质条件</v>
      </c>
      <c r="R42" s="714" t="s">
        <v>17</v>
      </c>
      <c r="S42" s="715">
        <f t="shared" si="10"/>
        <v>100</v>
      </c>
      <c r="T42" s="714" t="s">
        <v>17</v>
      </c>
      <c r="U42" s="715">
        <f t="shared" si="11"/>
        <v>100</v>
      </c>
      <c r="V42" s="714" t="s">
        <v>17</v>
      </c>
      <c r="W42" s="715">
        <f t="shared" si="12"/>
        <v>100</v>
      </c>
      <c r="X42" s="1541"/>
      <c r="Y42" s="3308" t="s">
        <v>2387</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308"/>
      <c r="Q43" s="1538">
        <f t="shared" si="14"/>
        <v>111</v>
      </c>
      <c r="R43" s="714" t="s">
        <v>17</v>
      </c>
      <c r="S43" s="715">
        <f t="shared" si="10"/>
        <v>100</v>
      </c>
      <c r="T43" s="714" t="s">
        <v>17</v>
      </c>
      <c r="U43" s="715">
        <f t="shared" si="11"/>
        <v>100</v>
      </c>
      <c r="V43" s="714" t="s">
        <v>17</v>
      </c>
      <c r="W43" s="715">
        <f t="shared" si="12"/>
        <v>100</v>
      </c>
      <c r="X43" s="1541"/>
      <c r="Y43" s="3308"/>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308"/>
      <c r="Q44" s="1538">
        <f t="shared" si="14"/>
        <v>111</v>
      </c>
      <c r="R44" s="714" t="s">
        <v>17</v>
      </c>
      <c r="S44" s="715">
        <f t="shared" si="10"/>
        <v>100</v>
      </c>
      <c r="T44" s="714" t="s">
        <v>17</v>
      </c>
      <c r="U44" s="715">
        <f t="shared" si="11"/>
        <v>100</v>
      </c>
      <c r="V44" s="714" t="s">
        <v>17</v>
      </c>
      <c r="W44" s="715">
        <f t="shared" si="12"/>
        <v>100</v>
      </c>
      <c r="X44" s="1541"/>
      <c r="Y44" s="3308"/>
      <c r="Z44" s="1542">
        <f t="shared" si="13"/>
        <v>111</v>
      </c>
      <c r="AA44" s="1539">
        <f t="shared" si="3"/>
        <v>1</v>
      </c>
      <c r="AB44" s="1539">
        <f t="shared" si="4"/>
        <v>1</v>
      </c>
      <c r="AC44" s="1539">
        <f t="shared" si="5"/>
        <v>1</v>
      </c>
    </row>
    <row r="45" spans="1:29" s="430" customFormat="1" ht="15.75" thickBot="1">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308"/>
      <c r="Q45" s="1538">
        <f t="shared" si="14"/>
        <v>111</v>
      </c>
      <c r="R45" s="717" t="s">
        <v>17</v>
      </c>
      <c r="S45" s="718">
        <f t="shared" si="10"/>
        <v>100</v>
      </c>
      <c r="T45" s="717" t="s">
        <v>17</v>
      </c>
      <c r="U45" s="718">
        <f t="shared" si="11"/>
        <v>100</v>
      </c>
      <c r="V45" s="717" t="s">
        <v>17</v>
      </c>
      <c r="W45" s="718">
        <f t="shared" si="12"/>
        <v>100</v>
      </c>
      <c r="X45" s="719"/>
      <c r="Y45" s="3308"/>
      <c r="Z45" s="720">
        <f t="shared" si="13"/>
        <v>111</v>
      </c>
      <c r="AA45" s="1539">
        <f t="shared" si="3"/>
        <v>1</v>
      </c>
      <c r="AB45" s="1539">
        <f t="shared" si="4"/>
        <v>1</v>
      </c>
      <c r="AC45" s="1539">
        <f t="shared" si="5"/>
        <v>1</v>
      </c>
    </row>
    <row r="46" spans="1:29" ht="15">
      <c r="A46" s="438" t="s">
        <v>2542</v>
      </c>
      <c r="B46" s="2170" t="s">
        <v>2578</v>
      </c>
      <c r="C46" s="638" t="s">
        <v>1</v>
      </c>
      <c r="D46" s="440"/>
      <c r="E46" s="441"/>
      <c r="F46" s="442"/>
      <c r="G46" s="443"/>
      <c r="H46" s="444"/>
      <c r="I46" s="441"/>
      <c r="J46" s="444"/>
      <c r="K46" s="723"/>
      <c r="L46" s="2955"/>
      <c r="M46" s="2956"/>
      <c r="N46" s="2947"/>
      <c r="O46" s="2956"/>
      <c r="P46" s="3301" t="str">
        <f>A46</f>
        <v>成交单价</v>
      </c>
      <c r="Q46" s="3301"/>
      <c r="R46" s="3296">
        <f>E46</f>
        <v>0</v>
      </c>
      <c r="S46" s="3296"/>
      <c r="T46" s="3296">
        <f>G46</f>
        <v>0</v>
      </c>
      <c r="U46" s="3296"/>
      <c r="V46" s="3296">
        <f>I46</f>
        <v>0</v>
      </c>
      <c r="W46" s="3296"/>
      <c r="X46" s="699"/>
      <c r="Y46" s="721"/>
      <c r="Z46" s="699"/>
      <c r="AA46" s="699"/>
      <c r="AB46" s="699"/>
      <c r="AC46" s="699"/>
    </row>
    <row r="47" spans="1:29" ht="15.75" thickBot="1">
      <c r="A47" s="445" t="s">
        <v>2491</v>
      </c>
      <c r="B47" s="639"/>
      <c r="C47" s="448" t="e">
        <f>R48</f>
        <v>#DIV/0!</v>
      </c>
      <c r="D47" s="2540" t="s">
        <v>2882</v>
      </c>
      <c r="E47" s="448" t="e">
        <f>R47</f>
        <v>#DIV/0!</v>
      </c>
      <c r="F47" s="2541"/>
      <c r="G47" s="447" t="e">
        <f>T47</f>
        <v>#DIV/0!</v>
      </c>
      <c r="H47" s="2541"/>
      <c r="I47" s="448" t="e">
        <f>V47</f>
        <v>#DIV/0!</v>
      </c>
      <c r="J47" s="2541"/>
      <c r="K47" s="2543">
        <f>F47+H47+J47</f>
        <v>0</v>
      </c>
      <c r="L47" s="2955"/>
      <c r="M47" s="2956"/>
      <c r="N47" s="2956"/>
      <c r="O47" s="2956"/>
      <c r="P47" s="3301" t="str">
        <f>A47</f>
        <v>比较价值（元/平方米）</v>
      </c>
      <c r="Q47" s="3301"/>
      <c r="R47" s="3329" t="e">
        <f>ROUND(PRODUCT(R46,AA7:AA45),0)</f>
        <v>#DIV/0!</v>
      </c>
      <c r="S47" s="3329"/>
      <c r="T47" s="3329" t="e">
        <f>ROUND(PRODUCT(T46,AB7:AB45),0)</f>
        <v>#DIV/0!</v>
      </c>
      <c r="U47" s="3329"/>
      <c r="V47" s="3329" t="e">
        <f>ROUND(PRODUCT(V46,AC7:AC45),0)</f>
        <v>#DIV/0!</v>
      </c>
      <c r="W47" s="3329"/>
      <c r="X47" s="699"/>
      <c r="Y47" s="699"/>
      <c r="Z47" s="699"/>
      <c r="AA47" s="699"/>
      <c r="AB47" s="699"/>
      <c r="AC47" s="699"/>
    </row>
    <row r="48" spans="1:29" ht="15.75" thickBot="1">
      <c r="A48" s="449" t="s">
        <v>2579</v>
      </c>
      <c r="B48" s="450"/>
      <c r="C48" s="451" t="e">
        <f>R48</f>
        <v>#DIV/0!</v>
      </c>
      <c r="D48" s="451"/>
      <c r="E48" s="451"/>
      <c r="F48" s="451"/>
      <c r="G48" s="451"/>
      <c r="H48" s="451"/>
      <c r="I48" s="451"/>
      <c r="J48" s="451"/>
      <c r="K48" s="724"/>
      <c r="L48" s="2955"/>
      <c r="M48" s="2956"/>
      <c r="N48" s="2956"/>
      <c r="O48" s="2956"/>
      <c r="P48" s="3298" t="str">
        <f>A48</f>
        <v>估价对象XX用房的比较价值（楼面单价，元/平方米）</v>
      </c>
      <c r="Q48" s="3299"/>
      <c r="R48" s="3330" t="e">
        <f>ROUND(IF(D47="简单平均",AVERAGE(R47:W47),R47*F47+T47*H47+V47*J47),0)</f>
        <v>#DIV/0!</v>
      </c>
      <c r="S48" s="3330"/>
      <c r="T48" s="3330"/>
      <c r="U48" s="3330"/>
      <c r="V48" s="3330"/>
      <c r="W48" s="3330"/>
      <c r="X48" s="699"/>
      <c r="Y48" s="699"/>
      <c r="Z48" s="699"/>
      <c r="AA48" s="699"/>
      <c r="AB48" s="699"/>
      <c r="AC48" s="699"/>
    </row>
    <row r="49" spans="1:29">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c r="A51" s="2956"/>
      <c r="B51" s="2956"/>
      <c r="C51" s="454" t="s">
        <v>2493</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c r="A52" s="2956"/>
      <c r="B52" s="2956"/>
      <c r="C52" s="454" t="s">
        <v>2494</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c r="A53" s="2959"/>
      <c r="B53" s="2959"/>
      <c r="C53" s="454" t="s">
        <v>2495</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5" thickBot="1">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c r="A55" s="640" t="s">
        <v>2580</v>
      </c>
      <c r="B55" s="641" t="s">
        <v>2581</v>
      </c>
      <c r="C55" s="2171" t="s">
        <v>2582</v>
      </c>
      <c r="D55" s="2172" t="s">
        <v>2583</v>
      </c>
      <c r="E55" s="642" t="s">
        <v>2584</v>
      </c>
      <c r="F55" s="1021" t="s">
        <v>2585</v>
      </c>
      <c r="G55" s="3284" t="s">
        <v>2586</v>
      </c>
      <c r="H55" s="3331"/>
      <c r="I55" s="140" t="s">
        <v>2587</v>
      </c>
      <c r="J55" s="2173">
        <f>项目基本情况!F35</f>
        <v>0</v>
      </c>
      <c r="K55" s="2174" t="s">
        <v>2588</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c r="A56" s="644" t="s">
        <v>2589</v>
      </c>
      <c r="B56" s="645" t="e">
        <f>C48</f>
        <v>#DIV/0!</v>
      </c>
      <c r="C56" s="646">
        <v>1</v>
      </c>
      <c r="D56" s="1075">
        <v>1</v>
      </c>
      <c r="E56" s="646">
        <f>'数据-汇总表'!E8+'数据-汇总表'!E9</f>
        <v>8276.64</v>
      </c>
      <c r="F56" s="1017" t="e">
        <f t="shared" ref="F56:F65" si="15">ROUND(B56*E56/10000,0)</f>
        <v>#DIV/0!</v>
      </c>
      <c r="G56" s="3283"/>
      <c r="H56" s="3301"/>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c r="A57" s="649" t="s">
        <v>2590</v>
      </c>
      <c r="B57" s="224" t="e">
        <f>ROUND($C$48*C57*D57,0)</f>
        <v>#DIV/0!</v>
      </c>
      <c r="C57" s="176">
        <f t="shared" ref="C57:C65" si="16">IF($C$55="北京市系数",I57,J57)</f>
        <v>0</v>
      </c>
      <c r="D57" s="1076">
        <v>0.25</v>
      </c>
      <c r="E57" s="650"/>
      <c r="F57" s="1017" t="e">
        <f t="shared" si="15"/>
        <v>#DIV/0!</v>
      </c>
      <c r="G57" s="3332" t="s">
        <v>2591</v>
      </c>
      <c r="H57" s="1018">
        <f>项目基本情况!B37</f>
        <v>0</v>
      </c>
      <c r="I57" s="1022">
        <f>SUMIF(修正!A45:A56,H57,修正!B45:B56)</f>
        <v>0</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c r="A58" s="649" t="s">
        <v>2592</v>
      </c>
      <c r="B58" s="224" t="e">
        <f t="shared" ref="B58:B65" si="17">ROUND($C$48*C58*D58,0)</f>
        <v>#DIV/0!</v>
      </c>
      <c r="C58" s="176">
        <f t="shared" si="16"/>
        <v>0</v>
      </c>
      <c r="D58" s="1076">
        <v>0.25</v>
      </c>
      <c r="E58" s="650"/>
      <c r="F58" s="1017" t="e">
        <f t="shared" si="15"/>
        <v>#DIV/0!</v>
      </c>
      <c r="G58" s="3332"/>
      <c r="H58" s="1018">
        <f>项目基本情况!B37</f>
        <v>0</v>
      </c>
      <c r="I58" s="1022">
        <f>SUMIF(修正!A45:A56,H58,修正!C45:C56)</f>
        <v>0</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c r="A59" s="649" t="s">
        <v>2593</v>
      </c>
      <c r="B59" s="224" t="e">
        <f t="shared" si="17"/>
        <v>#DIV/0!</v>
      </c>
      <c r="C59" s="176">
        <f t="shared" si="16"/>
        <v>0</v>
      </c>
      <c r="D59" s="1076">
        <v>0.25</v>
      </c>
      <c r="E59" s="650"/>
      <c r="F59" s="1017" t="e">
        <f t="shared" si="15"/>
        <v>#DIV/0!</v>
      </c>
      <c r="G59" s="3332"/>
      <c r="H59" s="1018">
        <f>项目基本情况!B37</f>
        <v>0</v>
      </c>
      <c r="I59" s="1022">
        <f>SUMIF(修正!A45:A56,H59,修正!D45:D56)</f>
        <v>0</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c r="A60" s="649" t="s">
        <v>2594</v>
      </c>
      <c r="B60" s="224" t="e">
        <f t="shared" si="17"/>
        <v>#DIV/0!</v>
      </c>
      <c r="C60" s="176">
        <f t="shared" si="16"/>
        <v>0</v>
      </c>
      <c r="D60" s="1076">
        <v>0.25</v>
      </c>
      <c r="E60" s="650"/>
      <c r="F60" s="1017" t="e">
        <f t="shared" si="15"/>
        <v>#DIV/0!</v>
      </c>
      <c r="G60" s="3332"/>
      <c r="H60" s="1018">
        <f>项目基本情况!B37</f>
        <v>0</v>
      </c>
      <c r="I60" s="1022">
        <f>SUMIF(修正!A45:A56,H60,修正!E45:E56)</f>
        <v>0</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c r="A61" s="649" t="s">
        <v>2595</v>
      </c>
      <c r="B61" s="224" t="e">
        <f t="shared" si="17"/>
        <v>#DIV/0!</v>
      </c>
      <c r="C61" s="176">
        <f t="shared" si="16"/>
        <v>0.3</v>
      </c>
      <c r="D61" s="1076">
        <v>0.25</v>
      </c>
      <c r="E61" s="223">
        <f>'数据-汇总表'!E11</f>
        <v>0</v>
      </c>
      <c r="F61" s="1017" t="e">
        <f t="shared" si="15"/>
        <v>#DIV/0!</v>
      </c>
      <c r="G61" s="2175" t="s">
        <v>2596</v>
      </c>
      <c r="H61" s="1018" t="str">
        <f>项目基本情况!C37</f>
        <v>二级</v>
      </c>
      <c r="I61" s="1022">
        <f>SUMIF(修正!A45:A56,H61,修正!F45:F56)</f>
        <v>0.3</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c r="A62" s="649" t="s">
        <v>2597</v>
      </c>
      <c r="B62" s="224" t="e">
        <f t="shared" si="17"/>
        <v>#DIV/0!</v>
      </c>
      <c r="C62" s="176">
        <f t="shared" si="16"/>
        <v>0.3</v>
      </c>
      <c r="D62" s="1076">
        <v>0.25</v>
      </c>
      <c r="E62" s="223">
        <f>'数据-汇总表'!E12</f>
        <v>0</v>
      </c>
      <c r="F62" s="1017" t="e">
        <f t="shared" si="15"/>
        <v>#DIV/0!</v>
      </c>
      <c r="G62" s="1023" t="s">
        <v>2598</v>
      </c>
      <c r="H62" s="1018" t="str">
        <f>IF(G62="商业",项目基本情况!B37,IF(G62="办公",项目基本情况!C37,IF(G62="住宅",项目基本情况!D37,项目基本情况!E37)))</f>
        <v>二级</v>
      </c>
      <c r="I62" s="1022">
        <f>SUMIF(修正!A45:A56,H62,修正!G45:G56)</f>
        <v>0.3</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c r="A63" s="649" t="s">
        <v>2599</v>
      </c>
      <c r="B63" s="224" t="e">
        <f t="shared" si="17"/>
        <v>#DIV/0!</v>
      </c>
      <c r="C63" s="176">
        <f t="shared" si="16"/>
        <v>0</v>
      </c>
      <c r="D63" s="1076">
        <v>0.25</v>
      </c>
      <c r="E63" s="223">
        <f>'数据-汇总表'!E13</f>
        <v>0</v>
      </c>
      <c r="F63" s="1017" t="e">
        <f t="shared" si="15"/>
        <v>#DIV/0!</v>
      </c>
      <c r="G63" s="1023" t="s">
        <v>2600</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c r="A64" s="649" t="s">
        <v>2601</v>
      </c>
      <c r="B64" s="224" t="e">
        <f t="shared" si="17"/>
        <v>#DIV/0!</v>
      </c>
      <c r="C64" s="176">
        <f t="shared" si="16"/>
        <v>0</v>
      </c>
      <c r="D64" s="1076">
        <v>0.25</v>
      </c>
      <c r="E64" s="223">
        <f>'数据-汇总表'!E14</f>
        <v>0</v>
      </c>
      <c r="F64" s="1017" t="e">
        <f t="shared" si="15"/>
        <v>#DIV/0!</v>
      </c>
      <c r="G64" s="2175" t="s">
        <v>2591</v>
      </c>
      <c r="H64" s="1018">
        <f>项目基本情况!B37</f>
        <v>0</v>
      </c>
      <c r="I64" s="1022">
        <f>SUMIF(修正!A45:A56,H64,修正!H45:H56)</f>
        <v>0</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5" thickBot="1">
      <c r="A65" s="649" t="s">
        <v>2602</v>
      </c>
      <c r="B65" s="224" t="e">
        <f t="shared" si="17"/>
        <v>#DIV/0!</v>
      </c>
      <c r="C65" s="176">
        <f t="shared" si="16"/>
        <v>0.25</v>
      </c>
      <c r="D65" s="1076">
        <v>0.25</v>
      </c>
      <c r="E65" s="223">
        <f>'数据-汇总表'!E15</f>
        <v>0</v>
      </c>
      <c r="F65" s="1017" t="e">
        <f t="shared" si="15"/>
        <v>#DIV/0!</v>
      </c>
      <c r="G65" s="2176" t="s">
        <v>2596</v>
      </c>
      <c r="H65" s="1028" t="str">
        <f>项目基本情况!C37</f>
        <v>二级</v>
      </c>
      <c r="I65" s="1024">
        <f>SUMIF(修正!A45:A56,H65,修正!H45:H56)</f>
        <v>0.25</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ht="13.5" thickBot="1">
      <c r="A66" s="651" t="s">
        <v>2603</v>
      </c>
      <c r="B66" s="652" t="s">
        <v>28</v>
      </c>
      <c r="C66" s="652" t="s">
        <v>29</v>
      </c>
      <c r="D66" s="652" t="s">
        <v>997</v>
      </c>
      <c r="E66" s="652">
        <f>IF(B46="楼面地价",SUM(E56:E65),'数据-汇总表'!D3)</f>
        <v>8276.64</v>
      </c>
      <c r="F66" s="653" t="e">
        <f>IF(B46="楼面地价",SUM(F56:F65),ROUND(C48*E66/10000,0))</f>
        <v>#DIV/0!</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c r="A68" s="699"/>
      <c r="B68" s="701"/>
      <c r="C68" s="701" t="str">
        <f>YEAR(C7)&amp;"-"&amp;MONTH(C7)&amp;"-1"</f>
        <v>2020-9-1</v>
      </c>
      <c r="D68" s="701">
        <f>EDATE(C68,-3)</f>
        <v>43983</v>
      </c>
      <c r="E68" s="701">
        <f>EDATE(D68,-3)</f>
        <v>43891</v>
      </c>
      <c r="F68" s="701">
        <f t="shared" ref="F68:O68" si="18">EDATE(E68,-3)</f>
        <v>43800</v>
      </c>
      <c r="G68" s="701">
        <f t="shared" si="18"/>
        <v>43709</v>
      </c>
      <c r="H68" s="701">
        <f t="shared" si="18"/>
        <v>43617</v>
      </c>
      <c r="I68" s="701">
        <f t="shared" si="18"/>
        <v>43525</v>
      </c>
      <c r="J68" s="701">
        <f t="shared" si="18"/>
        <v>43435</v>
      </c>
      <c r="K68" s="701">
        <f t="shared" si="18"/>
        <v>43344</v>
      </c>
      <c r="L68" s="701">
        <f t="shared" si="18"/>
        <v>43252</v>
      </c>
      <c r="M68" s="701">
        <f t="shared" si="18"/>
        <v>43160</v>
      </c>
      <c r="N68" s="701">
        <f t="shared" si="18"/>
        <v>43070</v>
      </c>
      <c r="O68" s="701">
        <f t="shared" si="18"/>
        <v>42979</v>
      </c>
      <c r="P68" s="2956"/>
      <c r="Q68" s="2956"/>
      <c r="R68" s="2956"/>
      <c r="S68" s="2956"/>
      <c r="T68" s="2956"/>
      <c r="U68" s="2956"/>
      <c r="V68" s="2956"/>
      <c r="W68" s="2956"/>
      <c r="X68" s="2956"/>
      <c r="Y68" s="2956"/>
      <c r="Z68" s="2956"/>
      <c r="AA68" s="2956"/>
      <c r="AB68" s="2956"/>
      <c r="AC68" s="2956"/>
    </row>
    <row r="69" spans="1:29" ht="21.75" thickBot="1">
      <c r="A69" s="703" t="s">
        <v>2496</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ht="15">
      <c r="A70" s="2177" t="s">
        <v>2604</v>
      </c>
      <c r="B70" s="1269"/>
      <c r="C70" s="1344" t="str">
        <f>YEAR(C68)&amp;"-"&amp;ROUNDUP(MONTH(C68)/3,0)</f>
        <v>2020-3</v>
      </c>
      <c r="D70" s="1344" t="str">
        <f>YEAR(D68)&amp;"-"&amp;ROUNDUP(MONTH(D68)/3,0)</f>
        <v>2020-2</v>
      </c>
      <c r="E70" s="1344" t="str">
        <f t="shared" ref="E70:O70" si="19">YEAR(E68)&amp;"-"&amp;ROUNDUP(MONTH(E68)/3,0)</f>
        <v>2020-1</v>
      </c>
      <c r="F70" s="1344" t="str">
        <f t="shared" si="19"/>
        <v>2019-4</v>
      </c>
      <c r="G70" s="1344" t="str">
        <f t="shared" si="19"/>
        <v>2019-3</v>
      </c>
      <c r="H70" s="1344" t="str">
        <f t="shared" si="19"/>
        <v>2019-2</v>
      </c>
      <c r="I70" s="1344" t="str">
        <f t="shared" si="19"/>
        <v>2019-1</v>
      </c>
      <c r="J70" s="1344" t="str">
        <f t="shared" si="19"/>
        <v>2018-4</v>
      </c>
      <c r="K70" s="1344" t="str">
        <f t="shared" si="19"/>
        <v>2018-3</v>
      </c>
      <c r="L70" s="1344" t="str">
        <f t="shared" si="19"/>
        <v>2018-2</v>
      </c>
      <c r="M70" s="1344" t="str">
        <f t="shared" si="19"/>
        <v>2018-1</v>
      </c>
      <c r="N70" s="1344" t="str">
        <f t="shared" si="19"/>
        <v>2017-4</v>
      </c>
      <c r="O70" s="1344" t="str">
        <f t="shared" si="19"/>
        <v>2017-3</v>
      </c>
      <c r="P70" s="3007"/>
      <c r="Q70" s="2972"/>
      <c r="R70" s="2972"/>
      <c r="S70" s="2972"/>
      <c r="T70" s="2972"/>
      <c r="U70" s="2972"/>
      <c r="V70" s="2972"/>
      <c r="W70" s="2972"/>
      <c r="X70" s="2972"/>
      <c r="Y70" s="2972"/>
      <c r="Z70" s="2972"/>
      <c r="AA70" s="2972"/>
      <c r="AB70" s="2972"/>
      <c r="AC70" s="2972"/>
    </row>
    <row r="71" spans="1:29" s="113" customFormat="1" ht="30" customHeight="1">
      <c r="A71" s="2178" t="s">
        <v>2605</v>
      </c>
      <c r="B71" s="294" t="str">
        <f>"北京市平均增长率"&amp;TEXT(SUMIF(基准地价修正!N21:N25,A71,基准地价修正!P21:P25),"0.00%")</f>
        <v>北京市平均增长率1.97%</v>
      </c>
      <c r="C71" s="560">
        <v>100</v>
      </c>
      <c r="D71" s="552"/>
      <c r="E71" s="552"/>
      <c r="F71" s="552"/>
      <c r="G71" s="552"/>
      <c r="H71" s="552"/>
      <c r="I71" s="552"/>
      <c r="J71" s="552"/>
      <c r="K71" s="552"/>
      <c r="L71" s="552"/>
      <c r="M71" s="1340"/>
      <c r="N71" s="552"/>
      <c r="O71" s="1341"/>
      <c r="P71" s="2970"/>
      <c r="Q71" s="2890"/>
      <c r="R71" s="2890"/>
      <c r="S71" s="2890"/>
      <c r="T71" s="2890"/>
      <c r="U71" s="2890"/>
      <c r="V71" s="2890"/>
      <c r="W71" s="2890"/>
      <c r="X71" s="2890"/>
      <c r="Y71" s="2890"/>
      <c r="Z71" s="2890"/>
      <c r="AA71" s="2890"/>
      <c r="AB71" s="2890"/>
      <c r="AC71" s="2890"/>
    </row>
    <row r="72" spans="1:29" s="113" customFormat="1" ht="15.75" thickBot="1">
      <c r="A72" s="472" t="s">
        <v>2407</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ht="15">
      <c r="A73" s="478" t="s">
        <v>2372</v>
      </c>
      <c r="B73" s="467"/>
      <c r="C73" s="479" t="s">
        <v>2474</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5.75" thickBot="1">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c r="A75" s="484" t="s">
        <v>2410</v>
      </c>
      <c r="B75" s="485" t="s">
        <v>2376</v>
      </c>
      <c r="C75" s="487"/>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5.75" thickBot="1">
      <c r="A76" s="491"/>
      <c r="B76" s="492"/>
      <c r="C76" s="493"/>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7.75" thickTop="1">
      <c r="A77" s="491"/>
      <c r="B77" s="495" t="s">
        <v>2379</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5.75" thickBot="1">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75" thickTop="1">
      <c r="A79" s="491"/>
      <c r="B79" s="503" t="s">
        <v>2380</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ht="15">
      <c r="A80" s="491"/>
      <c r="B80" s="505"/>
      <c r="C80" s="506"/>
      <c r="D80" s="506"/>
      <c r="E80" s="506"/>
      <c r="F80" s="506"/>
      <c r="G80" s="506"/>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5"/>
      <c r="O81" s="2985"/>
      <c r="P81" s="3009"/>
      <c r="Q81" s="2970"/>
      <c r="R81" s="2956"/>
      <c r="S81" s="2956"/>
      <c r="T81" s="2956"/>
      <c r="U81" s="2956"/>
      <c r="V81" s="2956"/>
      <c r="W81" s="2956"/>
      <c r="X81" s="2956"/>
      <c r="Y81" s="2956"/>
      <c r="Z81" s="2956"/>
      <c r="AA81" s="2956"/>
      <c r="AB81" s="2956"/>
      <c r="AC81" s="2956"/>
    </row>
    <row r="82" spans="1:29" s="430" customFormat="1" ht="15.75" thickTop="1">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5.75" thickBot="1">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5.75" thickTop="1">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5.75" thickBot="1">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5.75" thickTop="1">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5.75" thickBot="1">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c r="A88" s="484" t="s">
        <v>2381</v>
      </c>
      <c r="B88" s="485" t="s">
        <v>2418</v>
      </c>
      <c r="C88" s="530" t="s">
        <v>2419</v>
      </c>
      <c r="D88" s="530" t="s">
        <v>2420</v>
      </c>
      <c r="E88" s="530" t="s">
        <v>2421</v>
      </c>
      <c r="F88" s="530" t="s">
        <v>2422</v>
      </c>
      <c r="G88" s="530" t="s">
        <v>2423</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75" thickTop="1">
      <c r="A90" s="491"/>
      <c r="B90" s="495" t="s">
        <v>2606</v>
      </c>
      <c r="C90" s="535" t="s">
        <v>2419</v>
      </c>
      <c r="D90" s="535" t="s">
        <v>2420</v>
      </c>
      <c r="E90" s="535" t="s">
        <v>2421</v>
      </c>
      <c r="F90" s="535" t="s">
        <v>2422</v>
      </c>
      <c r="G90" s="535" t="s">
        <v>2423</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75" thickTop="1">
      <c r="A92" s="491"/>
      <c r="B92" s="495" t="s">
        <v>2519</v>
      </c>
      <c r="C92" s="535" t="s">
        <v>2419</v>
      </c>
      <c r="D92" s="535" t="s">
        <v>2420</v>
      </c>
      <c r="E92" s="535" t="s">
        <v>2421</v>
      </c>
      <c r="F92" s="535" t="s">
        <v>2422</v>
      </c>
      <c r="G92" s="535" t="s">
        <v>2423</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75" thickTop="1">
      <c r="A94" s="491"/>
      <c r="B94" s="495" t="s">
        <v>2424</v>
      </c>
      <c r="C94" s="535" t="s">
        <v>2419</v>
      </c>
      <c r="D94" s="535" t="s">
        <v>2420</v>
      </c>
      <c r="E94" s="535" t="s">
        <v>2421</v>
      </c>
      <c r="F94" s="535" t="s">
        <v>2422</v>
      </c>
      <c r="G94" s="535" t="s">
        <v>2423</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15.75" thickTop="1">
      <c r="A96" s="536"/>
      <c r="B96" s="495" t="s">
        <v>2607</v>
      </c>
      <c r="C96" s="535" t="s">
        <v>2419</v>
      </c>
      <c r="D96" s="535" t="s">
        <v>2420</v>
      </c>
      <c r="E96" s="535" t="s">
        <v>2421</v>
      </c>
      <c r="F96" s="535" t="s">
        <v>2422</v>
      </c>
      <c r="G96" s="535" t="s">
        <v>2423</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7.75" thickTop="1">
      <c r="A98" s="536"/>
      <c r="B98" s="495" t="s">
        <v>2608</v>
      </c>
      <c r="C98" s="530" t="s">
        <v>2419</v>
      </c>
      <c r="D98" s="530" t="s">
        <v>2420</v>
      </c>
      <c r="E98" s="530" t="s">
        <v>2421</v>
      </c>
      <c r="F98" s="530" t="s">
        <v>2422</v>
      </c>
      <c r="G98" s="530" t="s">
        <v>2423</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75" thickTop="1">
      <c r="A100" s="510"/>
      <c r="B100" s="495" t="s">
        <v>2476</v>
      </c>
      <c r="C100" s="530" t="s">
        <v>2419</v>
      </c>
      <c r="D100" s="530" t="s">
        <v>2420</v>
      </c>
      <c r="E100" s="530" t="s">
        <v>2421</v>
      </c>
      <c r="F100" s="530" t="s">
        <v>2422</v>
      </c>
      <c r="G100" s="530" t="s">
        <v>2423</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75" thickTop="1">
      <c r="A102" s="510"/>
      <c r="B102" s="503" t="s">
        <v>2477</v>
      </c>
      <c r="C102" s="616" t="s">
        <v>2497</v>
      </c>
      <c r="D102" s="616" t="s">
        <v>2498</v>
      </c>
      <c r="E102" s="616" t="s">
        <v>2499</v>
      </c>
      <c r="F102" s="616" t="s">
        <v>2500</v>
      </c>
      <c r="G102" s="616" t="s">
        <v>2501</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75" thickTop="1">
      <c r="A104" s="491"/>
      <c r="B104" s="495" t="str">
        <f>B31</f>
        <v>临街状况</v>
      </c>
      <c r="C104" s="496" t="s">
        <v>2609</v>
      </c>
      <c r="D104" s="496" t="s">
        <v>2610</v>
      </c>
      <c r="E104" s="496" t="s">
        <v>2611</v>
      </c>
      <c r="F104" s="496" t="s">
        <v>2612</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5"/>
      <c r="O105" s="2985"/>
      <c r="P105" s="3009"/>
      <c r="Q105" s="2970"/>
      <c r="R105" s="2956"/>
      <c r="S105" s="2956"/>
      <c r="T105" s="2956"/>
      <c r="U105" s="2956"/>
      <c r="V105" s="2956"/>
      <c r="W105" s="2956"/>
      <c r="X105" s="2956"/>
      <c r="Y105" s="2956"/>
      <c r="Z105" s="2956"/>
      <c r="AA105" s="2956"/>
      <c r="AB105" s="2956"/>
      <c r="AC105" s="2956"/>
    </row>
    <row r="106" spans="1:29" ht="27.75" thickTop="1">
      <c r="A106" s="491"/>
      <c r="B106" s="495" t="s">
        <v>2513</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5"/>
      <c r="O107" s="2985"/>
      <c r="P107" s="3009"/>
      <c r="Q107" s="2970"/>
      <c r="R107" s="2956"/>
      <c r="S107" s="2956"/>
      <c r="T107" s="2956"/>
      <c r="U107" s="2956"/>
      <c r="V107" s="2956"/>
      <c r="W107" s="2956"/>
      <c r="X107" s="2956"/>
      <c r="Y107" s="2956"/>
      <c r="Z107" s="2956"/>
      <c r="AA107" s="2956"/>
      <c r="AB107" s="2956"/>
      <c r="AC107" s="2956"/>
    </row>
    <row r="108" spans="1:29" ht="15.75" thickTop="1">
      <c r="A108" s="491"/>
      <c r="B108" s="495" t="s">
        <v>2572</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5"/>
      <c r="O109" s="2985"/>
      <c r="P109" s="3009"/>
      <c r="Q109" s="2970"/>
      <c r="R109" s="2956"/>
      <c r="S109" s="2956"/>
      <c r="T109" s="2956"/>
      <c r="U109" s="2956"/>
      <c r="V109" s="2956"/>
      <c r="W109" s="2956"/>
      <c r="X109" s="2956"/>
      <c r="Y109" s="2956"/>
      <c r="Z109" s="2956"/>
      <c r="AA109" s="2956"/>
      <c r="AB109" s="2956"/>
      <c r="AC109" s="2956"/>
    </row>
    <row r="110" spans="1:29" ht="15.75" thickTop="1">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5.75" thickBot="1">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5" thickTop="1">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5.75" thickBot="1">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5" thickTop="1">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5.75" thickBot="1">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c r="A116" s="484" t="s">
        <v>2385</v>
      </c>
      <c r="B116" s="485" t="s">
        <v>2613</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4"/>
      <c r="O116" s="2984"/>
      <c r="P116" s="3009"/>
      <c r="Q116" s="2970"/>
      <c r="R116" s="2956"/>
      <c r="S116" s="2956"/>
      <c r="T116" s="2956"/>
      <c r="U116" s="2956"/>
      <c r="V116" s="2956"/>
      <c r="W116" s="2956"/>
      <c r="X116" s="2956"/>
      <c r="Y116" s="2956"/>
      <c r="Z116" s="2956"/>
      <c r="AA116" s="2956"/>
      <c r="AB116" s="2956"/>
      <c r="AC116" s="2956"/>
    </row>
    <row r="117" spans="1:29" ht="15">
      <c r="A117" s="491"/>
      <c r="B117" s="503"/>
      <c r="C117" s="552"/>
      <c r="D117" s="552"/>
      <c r="E117" s="552"/>
      <c r="F117" s="552"/>
      <c r="G117" s="552"/>
      <c r="H117" s="552"/>
      <c r="I117" s="552"/>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5.75" thickBot="1">
      <c r="A118" s="491"/>
      <c r="B118" s="500"/>
      <c r="C118" s="527"/>
      <c r="D118" s="548"/>
      <c r="E118" s="548"/>
      <c r="F118" s="548"/>
      <c r="G118" s="548"/>
      <c r="H118" s="548"/>
      <c r="I118" s="548"/>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c r="A119" s="556"/>
      <c r="B119" s="495" t="s">
        <v>2614</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5"/>
      <c r="O120" s="2985"/>
      <c r="P120" s="3009"/>
      <c r="Q120" s="2970"/>
      <c r="R120" s="2956"/>
      <c r="S120" s="2956"/>
      <c r="T120" s="2956"/>
      <c r="U120" s="2956"/>
      <c r="V120" s="2956"/>
      <c r="W120" s="2956"/>
      <c r="X120" s="2956"/>
      <c r="Y120" s="2956"/>
      <c r="Z120" s="2956"/>
      <c r="AA120" s="2956"/>
      <c r="AB120" s="2956"/>
      <c r="AC120" s="2956"/>
    </row>
    <row r="121" spans="1:29" ht="15" thickTop="1">
      <c r="A121" s="556"/>
      <c r="B121" s="495" t="s">
        <v>2615</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c r="A123" s="550"/>
      <c r="B123" s="495" t="s">
        <v>2616</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6"/>
      <c r="O124" s="2986"/>
      <c r="P124" s="3010"/>
      <c r="Q124" s="2977"/>
      <c r="R124" s="2978"/>
      <c r="S124" s="2978"/>
      <c r="T124" s="2978"/>
      <c r="U124" s="2978"/>
      <c r="V124" s="2978"/>
      <c r="W124" s="2978"/>
      <c r="X124" s="2978"/>
      <c r="Y124" s="2978"/>
      <c r="Z124" s="2978"/>
      <c r="AA124" s="2978"/>
      <c r="AB124" s="2978"/>
      <c r="AC124" s="2978"/>
    </row>
    <row r="125" spans="1:29" ht="15" thickTop="1">
      <c r="A125" s="556"/>
      <c r="B125" s="495" t="s">
        <v>2617</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5"/>
      <c r="O126" s="2985"/>
      <c r="P126" s="3009"/>
      <c r="Q126" s="2970"/>
      <c r="R126" s="2956"/>
      <c r="S126" s="2956"/>
      <c r="T126" s="2956"/>
      <c r="U126" s="2956"/>
      <c r="V126" s="2956"/>
      <c r="W126" s="2956"/>
      <c r="X126" s="2956"/>
      <c r="Y126" s="2956"/>
      <c r="Z126" s="2956"/>
      <c r="AA126" s="2956"/>
      <c r="AB126" s="2956"/>
      <c r="AC126" s="2956"/>
    </row>
    <row r="127" spans="1:29" ht="15" thickTop="1">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5.75" thickBot="1">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5" thickTop="1">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5.75" thickBot="1">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5" thickTop="1">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5.75" thickBot="1">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U518" sqref="U518"/>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2566</v>
      </c>
      <c r="B1" s="355"/>
      <c r="C1" s="356" t="s">
        <v>2618</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2149</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2151</v>
      </c>
      <c r="B3" s="566" t="e">
        <f>ROUND(IF(D3="",B2*10000/'数据-汇总表'!E3,B2*10000/D3),0)</f>
        <v>#DIV/0!</v>
      </c>
      <c r="C3" s="209" t="s">
        <v>2568</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2467</v>
      </c>
      <c r="B4" s="362"/>
      <c r="C4" s="3284" t="s">
        <v>2468</v>
      </c>
      <c r="D4" s="3285"/>
      <c r="E4" s="3286" t="s">
        <v>2469</v>
      </c>
      <c r="F4" s="3287"/>
      <c r="G4" s="3284" t="s">
        <v>2470</v>
      </c>
      <c r="H4" s="3285"/>
      <c r="I4" s="3284" t="s">
        <v>2471</v>
      </c>
      <c r="J4" s="3285"/>
      <c r="K4" s="567" t="s">
        <v>2472</v>
      </c>
      <c r="L4" s="2946"/>
      <c r="M4" s="2947"/>
      <c r="N4" s="2947"/>
      <c r="O4" s="2947"/>
      <c r="P4" s="3288" t="s">
        <v>2473</v>
      </c>
      <c r="Q4" s="3289"/>
      <c r="R4" s="3271" t="s">
        <v>2469</v>
      </c>
      <c r="S4" s="3272"/>
      <c r="T4" s="3271" t="s">
        <v>2470</v>
      </c>
      <c r="U4" s="3272"/>
      <c r="V4" s="3296" t="s">
        <v>2471</v>
      </c>
      <c r="W4" s="3296"/>
      <c r="X4" s="1541"/>
      <c r="Y4" s="3271" t="s">
        <v>2473</v>
      </c>
      <c r="Z4" s="3272"/>
      <c r="AA4" s="3266" t="s">
        <v>2469</v>
      </c>
      <c r="AB4" s="3267" t="s">
        <v>2470</v>
      </c>
      <c r="AC4" s="3266" t="s">
        <v>2471</v>
      </c>
    </row>
    <row r="5" spans="1:29" ht="15">
      <c r="A5" s="364"/>
      <c r="B5" s="365"/>
      <c r="C5" s="3277" t="s">
        <v>2364</v>
      </c>
      <c r="D5" s="3278"/>
      <c r="E5" s="3275" t="s">
        <v>2365</v>
      </c>
      <c r="F5" s="3276"/>
      <c r="G5" s="3277" t="s">
        <v>2366</v>
      </c>
      <c r="H5" s="3278"/>
      <c r="I5" s="3277" t="s">
        <v>2367</v>
      </c>
      <c r="J5" s="3278"/>
      <c r="K5" s="567"/>
      <c r="L5" s="2946"/>
      <c r="M5" s="2947"/>
      <c r="N5" s="2947"/>
      <c r="O5" s="2947"/>
      <c r="P5" s="3290"/>
      <c r="Q5" s="3291"/>
      <c r="R5" s="3273"/>
      <c r="S5" s="3274"/>
      <c r="T5" s="3273"/>
      <c r="U5" s="3274"/>
      <c r="V5" s="3296"/>
      <c r="W5" s="3296"/>
      <c r="X5" s="1541"/>
      <c r="Y5" s="3273"/>
      <c r="Z5" s="3274"/>
      <c r="AA5" s="3267"/>
      <c r="AB5" s="3267"/>
      <c r="AC5" s="3267"/>
    </row>
    <row r="6" spans="1:29" ht="15.75" thickBot="1">
      <c r="A6" s="366"/>
      <c r="B6" s="367"/>
      <c r="C6" s="3333" t="s">
        <v>2619</v>
      </c>
      <c r="D6" s="3334"/>
      <c r="E6" s="3335" t="s">
        <v>2619</v>
      </c>
      <c r="F6" s="3336"/>
      <c r="G6" s="3333" t="s">
        <v>2619</v>
      </c>
      <c r="H6" s="3334"/>
      <c r="I6" s="3333" t="s">
        <v>2619</v>
      </c>
      <c r="J6" s="3334"/>
      <c r="K6" s="567" t="s">
        <v>2369</v>
      </c>
      <c r="L6" s="2946"/>
      <c r="M6" s="2947"/>
      <c r="N6" s="2947"/>
      <c r="O6" s="2947"/>
      <c r="P6" s="3292"/>
      <c r="Q6" s="3293"/>
      <c r="R6" s="3273"/>
      <c r="S6" s="3274"/>
      <c r="T6" s="3294"/>
      <c r="U6" s="3295"/>
      <c r="V6" s="3296"/>
      <c r="W6" s="3296"/>
      <c r="X6" s="1541"/>
      <c r="Y6" s="3294"/>
      <c r="Z6" s="3295"/>
      <c r="AA6" s="3268"/>
      <c r="AB6" s="3268"/>
      <c r="AC6" s="3268"/>
    </row>
    <row r="7" spans="1:29" s="113" customFormat="1" ht="15.75" thickBot="1">
      <c r="A7" s="368" t="s">
        <v>2370</v>
      </c>
      <c r="B7" s="369"/>
      <c r="C7" s="370">
        <f>'数据-取费表'!B2</f>
        <v>44076</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269" t="s">
        <v>2371</v>
      </c>
      <c r="Q7" s="3297"/>
      <c r="R7" s="710" t="s">
        <v>17</v>
      </c>
      <c r="S7" s="711">
        <f t="shared" ref="S7:S15" si="0">F7</f>
        <v>0</v>
      </c>
      <c r="T7" s="710" t="s">
        <v>17</v>
      </c>
      <c r="U7" s="711">
        <f t="shared" ref="U7:U15" si="1">H7</f>
        <v>0</v>
      </c>
      <c r="V7" s="710" t="s">
        <v>17</v>
      </c>
      <c r="W7" s="711">
        <f t="shared" ref="W7:W15" si="2">J7</f>
        <v>0</v>
      </c>
      <c r="X7" s="712"/>
      <c r="Y7" s="3269" t="s">
        <v>2371</v>
      </c>
      <c r="Z7" s="3270"/>
      <c r="AA7" s="713" t="e">
        <f>D7/F7</f>
        <v>#DIV/0!</v>
      </c>
      <c r="AB7" s="713" t="e">
        <f>D7/H7</f>
        <v>#DIV/0!</v>
      </c>
      <c r="AC7" s="713" t="e">
        <f>D7/J7</f>
        <v>#DIV/0!</v>
      </c>
    </row>
    <row r="8" spans="1:29" s="113" customFormat="1" ht="15.75" thickBot="1">
      <c r="A8" s="368" t="s">
        <v>2372</v>
      </c>
      <c r="B8" s="369"/>
      <c r="C8" s="374" t="s">
        <v>2373</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269" t="s">
        <v>2374</v>
      </c>
      <c r="Q8" s="3270"/>
      <c r="R8" s="710" t="s">
        <v>17</v>
      </c>
      <c r="S8" s="711">
        <f t="shared" si="0"/>
        <v>0</v>
      </c>
      <c r="T8" s="710" t="s">
        <v>17</v>
      </c>
      <c r="U8" s="711">
        <f t="shared" si="1"/>
        <v>0</v>
      </c>
      <c r="V8" s="710" t="s">
        <v>17</v>
      </c>
      <c r="W8" s="711">
        <f t="shared" si="2"/>
        <v>0</v>
      </c>
      <c r="X8" s="712"/>
      <c r="Y8" s="3269" t="s">
        <v>2374</v>
      </c>
      <c r="Z8" s="3270"/>
      <c r="AA8" s="713" t="e">
        <f t="shared" ref="AA8:AA40" si="3">D8/F8</f>
        <v>#DIV/0!</v>
      </c>
      <c r="AB8" s="713" t="e">
        <f t="shared" ref="AB8:AB40" si="4">D8/H8</f>
        <v>#DIV/0!</v>
      </c>
      <c r="AC8" s="713" t="e">
        <f t="shared" ref="AC8:AC40" si="5">D8/J8</f>
        <v>#DIV/0!</v>
      </c>
    </row>
    <row r="9" spans="1:29" s="113" customFormat="1">
      <c r="A9" s="375" t="s">
        <v>2375</v>
      </c>
      <c r="B9" s="67" t="s">
        <v>2376</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301" t="s">
        <v>2377</v>
      </c>
      <c r="Q9" s="1529" t="str">
        <f t="shared" ref="Q9:Q15" si="6">B9</f>
        <v>用途</v>
      </c>
      <c r="R9" s="710" t="s">
        <v>17</v>
      </c>
      <c r="S9" s="711">
        <f t="shared" si="0"/>
        <v>100</v>
      </c>
      <c r="T9" s="710" t="s">
        <v>17</v>
      </c>
      <c r="U9" s="711">
        <f t="shared" si="1"/>
        <v>100</v>
      </c>
      <c r="V9" s="710" t="s">
        <v>17</v>
      </c>
      <c r="W9" s="711">
        <f t="shared" si="2"/>
        <v>100</v>
      </c>
      <c r="X9" s="712"/>
      <c r="Y9" s="3211" t="s">
        <v>2378</v>
      </c>
      <c r="Z9" s="55" t="str">
        <f t="shared" ref="Z9:Z15" si="7">Q9</f>
        <v>用途</v>
      </c>
      <c r="AA9" s="713">
        <f t="shared" si="3"/>
        <v>1</v>
      </c>
      <c r="AB9" s="713">
        <f t="shared" si="4"/>
        <v>1</v>
      </c>
      <c r="AC9" s="713">
        <f t="shared" si="5"/>
        <v>1</v>
      </c>
    </row>
    <row r="10" spans="1:29" s="386" customFormat="1" ht="27">
      <c r="A10" s="380"/>
      <c r="B10" s="381" t="s">
        <v>2379</v>
      </c>
      <c r="C10" s="391"/>
      <c r="D10" s="132">
        <v>100</v>
      </c>
      <c r="E10" s="391"/>
      <c r="F10" s="132">
        <f>ROUND(100/'数据-取费表'!G16,0)</f>
        <v>116</v>
      </c>
      <c r="G10" s="391"/>
      <c r="H10" s="132">
        <f>ROUND(100/'数据-取费表'!G16,0)</f>
        <v>116</v>
      </c>
      <c r="I10" s="391"/>
      <c r="J10" s="132">
        <f>ROUND(100/'数据-取费表'!G16,0)</f>
        <v>116</v>
      </c>
      <c r="K10" s="628"/>
      <c r="L10" s="2950"/>
      <c r="M10" s="2951"/>
      <c r="N10" s="2951"/>
      <c r="O10" s="3004"/>
      <c r="P10" s="3301"/>
      <c r="Q10" s="1529" t="str">
        <f t="shared" si="6"/>
        <v>土地使用年限（年）</v>
      </c>
      <c r="R10" s="710" t="s">
        <v>17</v>
      </c>
      <c r="S10" s="711">
        <f t="shared" si="0"/>
        <v>116</v>
      </c>
      <c r="T10" s="710" t="s">
        <v>17</v>
      </c>
      <c r="U10" s="711">
        <f t="shared" si="1"/>
        <v>116</v>
      </c>
      <c r="V10" s="710" t="s">
        <v>17</v>
      </c>
      <c r="W10" s="711">
        <f t="shared" si="2"/>
        <v>116</v>
      </c>
      <c r="X10" s="712"/>
      <c r="Y10" s="3211"/>
      <c r="Z10" s="55" t="str">
        <f t="shared" si="7"/>
        <v>土地使用年限（年）</v>
      </c>
      <c r="AA10" s="713">
        <f t="shared" si="3"/>
        <v>0.86206896551724133</v>
      </c>
      <c r="AB10" s="713">
        <f t="shared" si="4"/>
        <v>0.86206896551724133</v>
      </c>
      <c r="AC10" s="713">
        <f t="shared" si="5"/>
        <v>0.86206896551724133</v>
      </c>
    </row>
    <row r="11" spans="1:29" ht="15">
      <c r="A11" s="387"/>
      <c r="B11" s="381" t="s">
        <v>2380</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301"/>
      <c r="Q11" s="1529" t="str">
        <f t="shared" si="6"/>
        <v>容积率</v>
      </c>
      <c r="R11" s="710" t="s">
        <v>17</v>
      </c>
      <c r="S11" s="711" t="e">
        <f t="shared" si="0"/>
        <v>#N/A</v>
      </c>
      <c r="T11" s="710" t="s">
        <v>17</v>
      </c>
      <c r="U11" s="711" t="e">
        <f t="shared" si="1"/>
        <v>#N/A</v>
      </c>
      <c r="V11" s="710" t="s">
        <v>17</v>
      </c>
      <c r="W11" s="711" t="e">
        <f t="shared" si="2"/>
        <v>#N/A</v>
      </c>
      <c r="X11" s="712"/>
      <c r="Y11" s="3211"/>
      <c r="Z11" s="55" t="str">
        <f t="shared" si="7"/>
        <v>容积率</v>
      </c>
      <c r="AA11" s="713" t="e">
        <f t="shared" si="3"/>
        <v>#N/A</v>
      </c>
      <c r="AB11" s="713" t="e">
        <f t="shared" si="4"/>
        <v>#N/A</v>
      </c>
      <c r="AC11" s="713" t="e">
        <f t="shared" si="5"/>
        <v>#N/A</v>
      </c>
    </row>
    <row r="12" spans="1:29" s="113" customFormat="1" ht="15">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301"/>
      <c r="Q12" s="1529">
        <f t="shared" si="6"/>
        <v>111</v>
      </c>
      <c r="R12" s="710" t="s">
        <v>17</v>
      </c>
      <c r="S12" s="711">
        <f t="shared" si="0"/>
        <v>100</v>
      </c>
      <c r="T12" s="710" t="s">
        <v>17</v>
      </c>
      <c r="U12" s="711">
        <f t="shared" si="1"/>
        <v>100</v>
      </c>
      <c r="V12" s="710" t="s">
        <v>17</v>
      </c>
      <c r="W12" s="711">
        <f t="shared" si="2"/>
        <v>100</v>
      </c>
      <c r="X12" s="712"/>
      <c r="Y12" s="3211"/>
      <c r="Z12" s="55">
        <f t="shared" si="7"/>
        <v>111</v>
      </c>
      <c r="AA12" s="713">
        <f>D12/F12</f>
        <v>1</v>
      </c>
      <c r="AB12" s="713">
        <f>D12/H12</f>
        <v>1</v>
      </c>
      <c r="AC12" s="713">
        <f>D12/J12</f>
        <v>1</v>
      </c>
    </row>
    <row r="13" spans="1:29" ht="15">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301"/>
      <c r="Q13" s="1529">
        <f t="shared" si="6"/>
        <v>111</v>
      </c>
      <c r="R13" s="710" t="s">
        <v>17</v>
      </c>
      <c r="S13" s="711">
        <f t="shared" si="0"/>
        <v>100</v>
      </c>
      <c r="T13" s="710" t="s">
        <v>17</v>
      </c>
      <c r="U13" s="711">
        <f t="shared" si="1"/>
        <v>100</v>
      </c>
      <c r="V13" s="710" t="s">
        <v>17</v>
      </c>
      <c r="W13" s="711">
        <f t="shared" si="2"/>
        <v>100</v>
      </c>
      <c r="X13" s="712"/>
      <c r="Y13" s="3211"/>
      <c r="Z13" s="55">
        <f t="shared" si="7"/>
        <v>111</v>
      </c>
      <c r="AA13" s="713">
        <f t="shared" si="3"/>
        <v>1</v>
      </c>
      <c r="AB13" s="713">
        <f t="shared" si="4"/>
        <v>1</v>
      </c>
      <c r="AC13" s="713">
        <f t="shared" si="5"/>
        <v>1</v>
      </c>
    </row>
    <row r="14" spans="1:29" ht="15.75" thickBot="1">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301"/>
      <c r="Q14" s="1529">
        <f t="shared" si="6"/>
        <v>111</v>
      </c>
      <c r="R14" s="710" t="s">
        <v>17</v>
      </c>
      <c r="S14" s="711">
        <f t="shared" si="0"/>
        <v>100</v>
      </c>
      <c r="T14" s="710" t="s">
        <v>17</v>
      </c>
      <c r="U14" s="711">
        <f t="shared" si="1"/>
        <v>100</v>
      </c>
      <c r="V14" s="710" t="s">
        <v>17</v>
      </c>
      <c r="W14" s="711">
        <f t="shared" si="2"/>
        <v>100</v>
      </c>
      <c r="X14" s="712"/>
      <c r="Y14" s="3211"/>
      <c r="Z14" s="55">
        <f t="shared" si="7"/>
        <v>111</v>
      </c>
      <c r="AA14" s="713">
        <f t="shared" si="3"/>
        <v>1</v>
      </c>
      <c r="AB14" s="713">
        <f t="shared" si="4"/>
        <v>1</v>
      </c>
      <c r="AC14" s="713">
        <f t="shared" si="5"/>
        <v>1</v>
      </c>
    </row>
    <row r="15" spans="1:29" ht="57">
      <c r="A15" s="399" t="s">
        <v>2381</v>
      </c>
      <c r="B15" s="585" t="s">
        <v>2620</v>
      </c>
      <c r="C15" s="215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303" t="s">
        <v>2382</v>
      </c>
      <c r="Q15" s="1538" t="str">
        <f t="shared" si="6"/>
        <v>产业集聚程度</v>
      </c>
      <c r="R15" s="714" t="s">
        <v>17</v>
      </c>
      <c r="S15" s="715">
        <f t="shared" si="0"/>
        <v>100</v>
      </c>
      <c r="T15" s="714" t="s">
        <v>17</v>
      </c>
      <c r="U15" s="715">
        <f t="shared" si="1"/>
        <v>100</v>
      </c>
      <c r="V15" s="714" t="s">
        <v>17</v>
      </c>
      <c r="W15" s="715">
        <f t="shared" si="2"/>
        <v>100</v>
      </c>
      <c r="X15" s="1541"/>
      <c r="Y15" s="3303" t="s">
        <v>2382</v>
      </c>
      <c r="Z15" s="1542" t="str">
        <f t="shared" si="7"/>
        <v>产业集聚程度</v>
      </c>
      <c r="AA15" s="1539">
        <f t="shared" si="3"/>
        <v>1</v>
      </c>
      <c r="AB15" s="1539">
        <f t="shared" si="4"/>
        <v>1</v>
      </c>
      <c r="AC15" s="1539">
        <f t="shared" si="5"/>
        <v>1</v>
      </c>
    </row>
    <row r="16" spans="1:29" ht="15">
      <c r="A16" s="387"/>
      <c r="B16" s="586"/>
      <c r="C16" s="406"/>
      <c r="D16" s="407"/>
      <c r="E16" s="2092"/>
      <c r="F16" s="407"/>
      <c r="G16" s="2092"/>
      <c r="H16" s="409"/>
      <c r="I16" s="2092"/>
      <c r="J16" s="407"/>
      <c r="K16" s="628"/>
      <c r="L16" s="2953"/>
      <c r="M16" s="2947"/>
      <c r="N16" s="2947"/>
      <c r="O16" s="3005"/>
      <c r="P16" s="3304"/>
      <c r="Q16" s="1538"/>
      <c r="R16" s="714"/>
      <c r="S16" s="715"/>
      <c r="T16" s="714"/>
      <c r="U16" s="715"/>
      <c r="V16" s="714"/>
      <c r="W16" s="715"/>
      <c r="X16" s="1541"/>
      <c r="Y16" s="3304"/>
      <c r="Z16" s="1542"/>
      <c r="AA16" s="1539">
        <v>1</v>
      </c>
      <c r="AB16" s="1539">
        <v>1</v>
      </c>
      <c r="AC16" s="1539">
        <v>1</v>
      </c>
    </row>
    <row r="17" spans="1:29" ht="85.5">
      <c r="A17" s="387"/>
      <c r="B17" s="587" t="s">
        <v>2531</v>
      </c>
      <c r="C17" s="208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304"/>
      <c r="Q17" s="1538" t="str">
        <f>B17</f>
        <v>交通便捷度</v>
      </c>
      <c r="R17" s="714" t="s">
        <v>17</v>
      </c>
      <c r="S17" s="715">
        <f>F17</f>
        <v>100</v>
      </c>
      <c r="T17" s="714" t="s">
        <v>17</v>
      </c>
      <c r="U17" s="715">
        <f>H17</f>
        <v>100</v>
      </c>
      <c r="V17" s="714" t="s">
        <v>17</v>
      </c>
      <c r="W17" s="715">
        <f>J17</f>
        <v>100</v>
      </c>
      <c r="X17" s="1541"/>
      <c r="Y17" s="3304"/>
      <c r="Z17" s="1542" t="str">
        <f>Q17</f>
        <v>交通便捷度</v>
      </c>
      <c r="AA17" s="1539">
        <f t="shared" si="3"/>
        <v>1</v>
      </c>
      <c r="AB17" s="1539">
        <f t="shared" si="4"/>
        <v>1</v>
      </c>
      <c r="AC17" s="1539">
        <f t="shared" si="5"/>
        <v>1</v>
      </c>
    </row>
    <row r="18" spans="1:29" ht="15">
      <c r="A18" s="387"/>
      <c r="B18" s="588"/>
      <c r="C18" s="406"/>
      <c r="D18" s="407"/>
      <c r="E18" s="2086"/>
      <c r="F18" s="407"/>
      <c r="G18" s="2086"/>
      <c r="H18" s="407"/>
      <c r="I18" s="2085"/>
      <c r="J18" s="407"/>
      <c r="K18" s="628"/>
      <c r="L18" s="2953"/>
      <c r="M18" s="2947"/>
      <c r="N18" s="2947"/>
      <c r="O18" s="3005"/>
      <c r="P18" s="3304"/>
      <c r="Q18" s="1538"/>
      <c r="R18" s="714"/>
      <c r="S18" s="715"/>
      <c r="T18" s="714"/>
      <c r="U18" s="715"/>
      <c r="V18" s="714"/>
      <c r="W18" s="715"/>
      <c r="X18" s="1541"/>
      <c r="Y18" s="3304"/>
      <c r="Z18" s="1542"/>
      <c r="AA18" s="1539">
        <v>1</v>
      </c>
      <c r="AB18" s="1539">
        <v>1</v>
      </c>
      <c r="AC18" s="1539">
        <v>1</v>
      </c>
    </row>
    <row r="19" spans="1:29" ht="15">
      <c r="A19" s="387"/>
      <c r="B19" s="587" t="s">
        <v>2570</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304"/>
      <c r="Q19" s="1538" t="str">
        <f t="shared" ref="Q19:Q33" si="8">B19</f>
        <v>区域土地利用方向</v>
      </c>
      <c r="R19" s="714" t="s">
        <v>17</v>
      </c>
      <c r="S19" s="715">
        <f>F19</f>
        <v>100</v>
      </c>
      <c r="T19" s="714" t="s">
        <v>17</v>
      </c>
      <c r="U19" s="715">
        <f>H19</f>
        <v>100</v>
      </c>
      <c r="V19" s="714" t="s">
        <v>17</v>
      </c>
      <c r="W19" s="715">
        <f>J19</f>
        <v>100</v>
      </c>
      <c r="X19" s="1541"/>
      <c r="Y19" s="3304"/>
      <c r="Z19" s="1542" t="str">
        <f>Q19</f>
        <v>区域土地利用方向</v>
      </c>
      <c r="AA19" s="1539">
        <f t="shared" si="3"/>
        <v>1</v>
      </c>
      <c r="AB19" s="1539">
        <f t="shared" si="4"/>
        <v>1</v>
      </c>
      <c r="AC19" s="1539">
        <f t="shared" si="5"/>
        <v>1</v>
      </c>
    </row>
    <row r="20" spans="1:29" ht="15">
      <c r="A20" s="364"/>
      <c r="B20" s="588"/>
      <c r="C20" s="406"/>
      <c r="D20" s="407"/>
      <c r="E20" s="2086"/>
      <c r="F20" s="407"/>
      <c r="G20" s="2086"/>
      <c r="H20" s="407"/>
      <c r="I20" s="2086"/>
      <c r="J20" s="407"/>
      <c r="K20" s="751"/>
      <c r="L20" s="2953"/>
      <c r="M20" s="2947"/>
      <c r="N20" s="2947"/>
      <c r="O20" s="3005"/>
      <c r="P20" s="3304"/>
      <c r="Q20" s="1538"/>
      <c r="R20" s="714"/>
      <c r="S20" s="715"/>
      <c r="T20" s="714"/>
      <c r="U20" s="715"/>
      <c r="V20" s="714"/>
      <c r="W20" s="715"/>
      <c r="X20" s="1541"/>
      <c r="Y20" s="3304"/>
      <c r="Z20" s="1542"/>
      <c r="AA20" s="1539"/>
      <c r="AB20" s="1539"/>
      <c r="AC20" s="1539"/>
    </row>
    <row r="21" spans="1:29" ht="71.25">
      <c r="A21" s="364"/>
      <c r="B21" s="587" t="s">
        <v>2621</v>
      </c>
      <c r="C21" s="208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304"/>
      <c r="Q21" s="1538" t="str">
        <f t="shared" si="8"/>
        <v>环境状况</v>
      </c>
      <c r="R21" s="714" t="s">
        <v>17</v>
      </c>
      <c r="S21" s="715">
        <f>F21</f>
        <v>100</v>
      </c>
      <c r="T21" s="714" t="s">
        <v>17</v>
      </c>
      <c r="U21" s="715">
        <f>H21</f>
        <v>100</v>
      </c>
      <c r="V21" s="714" t="s">
        <v>17</v>
      </c>
      <c r="W21" s="715">
        <f>J21</f>
        <v>100</v>
      </c>
      <c r="X21" s="1541"/>
      <c r="Y21" s="3304"/>
      <c r="Z21" s="1542" t="str">
        <f>Q21</f>
        <v>环境状况</v>
      </c>
      <c r="AA21" s="1539">
        <f t="shared" si="3"/>
        <v>1</v>
      </c>
      <c r="AB21" s="1539">
        <f t="shared" si="4"/>
        <v>1</v>
      </c>
      <c r="AC21" s="1539">
        <f t="shared" si="5"/>
        <v>1</v>
      </c>
    </row>
    <row r="22" spans="1:29" ht="15">
      <c r="A22" s="364"/>
      <c r="B22" s="588"/>
      <c r="C22" s="406"/>
      <c r="D22" s="407"/>
      <c r="E22" s="2092"/>
      <c r="F22" s="407"/>
      <c r="G22" s="2092"/>
      <c r="H22" s="407"/>
      <c r="I22" s="406"/>
      <c r="J22" s="407"/>
      <c r="K22" s="628"/>
      <c r="L22" s="2953"/>
      <c r="M22" s="2947"/>
      <c r="N22" s="2947"/>
      <c r="O22" s="3005"/>
      <c r="P22" s="3304"/>
      <c r="Q22" s="1538"/>
      <c r="R22" s="714"/>
      <c r="S22" s="715"/>
      <c r="T22" s="714"/>
      <c r="U22" s="715"/>
      <c r="V22" s="714"/>
      <c r="W22" s="715"/>
      <c r="X22" s="1541"/>
      <c r="Y22" s="3304"/>
      <c r="Z22" s="1542"/>
      <c r="AA22" s="1539">
        <v>1</v>
      </c>
      <c r="AB22" s="1539">
        <v>1</v>
      </c>
      <c r="AC22" s="1539">
        <v>1</v>
      </c>
    </row>
    <row r="23" spans="1:29" s="113" customFormat="1" ht="42.75">
      <c r="A23" s="605"/>
      <c r="B23" s="589" t="s">
        <v>2476</v>
      </c>
      <c r="C23" s="208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304"/>
      <c r="Q23" s="1529" t="str">
        <f t="shared" si="8"/>
        <v>公共配套设施</v>
      </c>
      <c r="R23" s="710" t="s">
        <v>17</v>
      </c>
      <c r="S23" s="711">
        <f>F23</f>
        <v>100</v>
      </c>
      <c r="T23" s="710" t="s">
        <v>17</v>
      </c>
      <c r="U23" s="711">
        <f>H23</f>
        <v>100</v>
      </c>
      <c r="V23" s="710" t="s">
        <v>17</v>
      </c>
      <c r="W23" s="711">
        <f>J23</f>
        <v>100</v>
      </c>
      <c r="X23" s="712"/>
      <c r="Y23" s="3304"/>
      <c r="Z23" s="55" t="str">
        <f>Q23</f>
        <v>公共配套设施</v>
      </c>
      <c r="AA23" s="1539">
        <f>D23/F23</f>
        <v>1</v>
      </c>
      <c r="AB23" s="1539">
        <f>D23/H23</f>
        <v>1</v>
      </c>
      <c r="AC23" s="1539">
        <f>D23/J23</f>
        <v>1</v>
      </c>
    </row>
    <row r="24" spans="1:29" s="113" customFormat="1" ht="15">
      <c r="A24" s="605"/>
      <c r="B24" s="588"/>
      <c r="C24" s="2166"/>
      <c r="D24" s="407"/>
      <c r="E24" s="2092"/>
      <c r="F24" s="407"/>
      <c r="G24" s="2092"/>
      <c r="H24" s="407"/>
      <c r="I24" s="406"/>
      <c r="J24" s="407"/>
      <c r="K24" s="628"/>
      <c r="L24" s="2948"/>
      <c r="M24" s="2949"/>
      <c r="N24" s="2949"/>
      <c r="O24" s="3003"/>
      <c r="P24" s="3304"/>
      <c r="Q24" s="1529"/>
      <c r="R24" s="710"/>
      <c r="S24" s="711"/>
      <c r="T24" s="710"/>
      <c r="U24" s="711"/>
      <c r="V24" s="710"/>
      <c r="W24" s="711"/>
      <c r="X24" s="712"/>
      <c r="Y24" s="3304"/>
      <c r="Z24" s="55"/>
      <c r="AA24" s="713">
        <v>1</v>
      </c>
      <c r="AB24" s="713">
        <v>1</v>
      </c>
      <c r="AC24" s="713">
        <v>1</v>
      </c>
    </row>
    <row r="25" spans="1:29" s="113" customFormat="1" ht="28.5">
      <c r="A25" s="605"/>
      <c r="B25" s="589" t="s">
        <v>2477</v>
      </c>
      <c r="C25" s="208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304"/>
      <c r="Q25" s="1529" t="str">
        <f t="shared" ref="Q25" si="9">B25</f>
        <v>基础设施水平</v>
      </c>
      <c r="R25" s="710" t="s">
        <v>17</v>
      </c>
      <c r="S25" s="711">
        <f>F25</f>
        <v>100</v>
      </c>
      <c r="T25" s="710" t="s">
        <v>17</v>
      </c>
      <c r="U25" s="711">
        <f>H25</f>
        <v>100</v>
      </c>
      <c r="V25" s="710" t="s">
        <v>17</v>
      </c>
      <c r="W25" s="711">
        <f>J25</f>
        <v>100</v>
      </c>
      <c r="X25" s="712"/>
      <c r="Y25" s="3304"/>
      <c r="Z25" s="55" t="str">
        <f>Q25</f>
        <v>基础设施水平</v>
      </c>
      <c r="AA25" s="1539">
        <f>D25/F25</f>
        <v>1</v>
      </c>
      <c r="AB25" s="1539">
        <f>D25/H25</f>
        <v>1</v>
      </c>
      <c r="AC25" s="1539">
        <f>D25/J25</f>
        <v>1</v>
      </c>
    </row>
    <row r="26" spans="1:29" s="113" customFormat="1" ht="15">
      <c r="A26" s="605"/>
      <c r="B26" s="588"/>
      <c r="C26" s="2166"/>
      <c r="D26" s="407"/>
      <c r="E26" s="2167"/>
      <c r="F26" s="407"/>
      <c r="G26" s="2167"/>
      <c r="H26" s="407"/>
      <c r="I26" s="2167"/>
      <c r="J26" s="407"/>
      <c r="K26" s="628"/>
      <c r="L26" s="2948"/>
      <c r="M26" s="2949"/>
      <c r="N26" s="2949"/>
      <c r="O26" s="3003"/>
      <c r="P26" s="3304"/>
      <c r="Q26" s="1529"/>
      <c r="R26" s="710"/>
      <c r="S26" s="711"/>
      <c r="T26" s="710"/>
      <c r="U26" s="711"/>
      <c r="V26" s="710"/>
      <c r="W26" s="711"/>
      <c r="X26" s="712"/>
      <c r="Y26" s="3304"/>
      <c r="Z26" s="55"/>
      <c r="AA26" s="713">
        <v>1</v>
      </c>
      <c r="AB26" s="713">
        <v>1</v>
      </c>
      <c r="AC26" s="713">
        <v>1</v>
      </c>
    </row>
    <row r="27" spans="1:29" ht="15">
      <c r="A27" s="387"/>
      <c r="B27" s="588" t="s">
        <v>2478</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304"/>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04"/>
      <c r="Z27" s="1542" t="str">
        <f t="shared" ref="Z27:Z40" si="13">Q27</f>
        <v>临街状况</v>
      </c>
      <c r="AA27" s="1539">
        <f t="shared" si="3"/>
        <v>1</v>
      </c>
      <c r="AB27" s="1539">
        <f t="shared" si="4"/>
        <v>1</v>
      </c>
      <c r="AC27" s="1539">
        <f t="shared" si="5"/>
        <v>1</v>
      </c>
    </row>
    <row r="28" spans="1:29" ht="27">
      <c r="A28" s="387"/>
      <c r="B28" s="589" t="s">
        <v>2513</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304"/>
      <c r="Q28" s="1538" t="str">
        <f t="shared" si="8"/>
        <v>毗邻道路的类型与等级</v>
      </c>
      <c r="R28" s="714" t="s">
        <v>17</v>
      </c>
      <c r="S28" s="715">
        <f t="shared" si="10"/>
        <v>100</v>
      </c>
      <c r="T28" s="714" t="s">
        <v>17</v>
      </c>
      <c r="U28" s="715">
        <f t="shared" si="11"/>
        <v>100</v>
      </c>
      <c r="V28" s="714" t="s">
        <v>17</v>
      </c>
      <c r="W28" s="715">
        <f t="shared" si="12"/>
        <v>100</v>
      </c>
      <c r="X28" s="1541"/>
      <c r="Y28" s="3304"/>
      <c r="Z28" s="1542" t="str">
        <f t="shared" si="13"/>
        <v>毗邻道路的类型与等级</v>
      </c>
      <c r="AA28" s="1539">
        <f t="shared" si="3"/>
        <v>1</v>
      </c>
      <c r="AB28" s="1539">
        <f t="shared" si="4"/>
        <v>1</v>
      </c>
      <c r="AC28" s="1539">
        <f t="shared" si="5"/>
        <v>1</v>
      </c>
    </row>
    <row r="29" spans="1:29" ht="15">
      <c r="A29" s="387"/>
      <c r="B29" s="588"/>
      <c r="C29" s="406"/>
      <c r="D29" s="407"/>
      <c r="E29" s="2092"/>
      <c r="F29" s="407"/>
      <c r="G29" s="2092"/>
      <c r="H29" s="407"/>
      <c r="I29" s="2092"/>
      <c r="J29" s="407"/>
      <c r="K29" s="570"/>
      <c r="L29" s="2953"/>
      <c r="M29" s="2947"/>
      <c r="N29" s="2947"/>
      <c r="O29" s="3005"/>
      <c r="P29" s="3304"/>
      <c r="Q29" s="1538"/>
      <c r="R29" s="714"/>
      <c r="S29" s="715"/>
      <c r="T29" s="714"/>
      <c r="U29" s="715"/>
      <c r="V29" s="714"/>
      <c r="W29" s="715"/>
      <c r="X29" s="1541"/>
      <c r="Y29" s="3304"/>
      <c r="Z29" s="1542"/>
      <c r="AA29" s="1539">
        <v>1</v>
      </c>
      <c r="AB29" s="1539">
        <v>1</v>
      </c>
      <c r="AC29" s="1539">
        <v>1</v>
      </c>
    </row>
    <row r="30" spans="1:29" ht="15">
      <c r="A30" s="387"/>
      <c r="B30" s="610" t="s">
        <v>2572</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304"/>
      <c r="Q30" s="1538" t="str">
        <f t="shared" si="8"/>
        <v>土地级别</v>
      </c>
      <c r="R30" s="714" t="s">
        <v>17</v>
      </c>
      <c r="S30" s="715">
        <f t="shared" si="10"/>
        <v>100</v>
      </c>
      <c r="T30" s="714" t="s">
        <v>17</v>
      </c>
      <c r="U30" s="715">
        <f t="shared" si="11"/>
        <v>100</v>
      </c>
      <c r="V30" s="714" t="s">
        <v>17</v>
      </c>
      <c r="W30" s="715">
        <f t="shared" si="12"/>
        <v>100</v>
      </c>
      <c r="X30" s="1541"/>
      <c r="Y30" s="3304"/>
      <c r="Z30" s="1542" t="str">
        <f t="shared" si="13"/>
        <v>土地级别</v>
      </c>
      <c r="AA30" s="1539">
        <f t="shared" si="3"/>
        <v>1</v>
      </c>
      <c r="AB30" s="1539">
        <f t="shared" si="4"/>
        <v>1</v>
      </c>
      <c r="AC30" s="1539">
        <f t="shared" si="5"/>
        <v>1</v>
      </c>
    </row>
    <row r="31" spans="1:29" ht="15">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304"/>
      <c r="Q31" s="1538">
        <f t="shared" si="8"/>
        <v>111</v>
      </c>
      <c r="R31" s="714" t="s">
        <v>17</v>
      </c>
      <c r="S31" s="715">
        <f t="shared" si="10"/>
        <v>100</v>
      </c>
      <c r="T31" s="714" t="s">
        <v>17</v>
      </c>
      <c r="U31" s="715">
        <f t="shared" si="11"/>
        <v>100</v>
      </c>
      <c r="V31" s="714" t="s">
        <v>17</v>
      </c>
      <c r="W31" s="715">
        <f t="shared" si="12"/>
        <v>100</v>
      </c>
      <c r="X31" s="1541"/>
      <c r="Y31" s="3304"/>
      <c r="Z31" s="1542">
        <f t="shared" si="13"/>
        <v>111</v>
      </c>
      <c r="AA31" s="1539">
        <f t="shared" si="3"/>
        <v>1</v>
      </c>
      <c r="AB31" s="1539">
        <f t="shared" si="4"/>
        <v>1</v>
      </c>
      <c r="AC31" s="1539">
        <f t="shared" si="5"/>
        <v>1</v>
      </c>
    </row>
    <row r="32" spans="1:29" ht="15">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327" t="s">
        <v>2387</v>
      </c>
      <c r="Q32" s="1538">
        <f t="shared" si="8"/>
        <v>111</v>
      </c>
      <c r="R32" s="714" t="s">
        <v>17</v>
      </c>
      <c r="S32" s="715">
        <f t="shared" si="10"/>
        <v>100</v>
      </c>
      <c r="T32" s="714" t="s">
        <v>17</v>
      </c>
      <c r="U32" s="715">
        <f t="shared" si="11"/>
        <v>100</v>
      </c>
      <c r="V32" s="714" t="s">
        <v>17</v>
      </c>
      <c r="W32" s="715">
        <f t="shared" si="12"/>
        <v>100</v>
      </c>
      <c r="X32" s="1541"/>
      <c r="Y32" s="3308" t="s">
        <v>2387</v>
      </c>
      <c r="Z32" s="1542">
        <f t="shared" si="13"/>
        <v>111</v>
      </c>
      <c r="AA32" s="1539">
        <f t="shared" si="3"/>
        <v>1</v>
      </c>
      <c r="AB32" s="1539">
        <f t="shared" si="4"/>
        <v>1</v>
      </c>
      <c r="AC32" s="1539">
        <f t="shared" si="5"/>
        <v>1</v>
      </c>
    </row>
    <row r="33" spans="1:31" s="430" customFormat="1" ht="15.75" thickBot="1">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308"/>
      <c r="Q33" s="1538">
        <f t="shared" si="8"/>
        <v>111</v>
      </c>
      <c r="R33" s="717" t="s">
        <v>17</v>
      </c>
      <c r="S33" s="718">
        <f t="shared" si="10"/>
        <v>100</v>
      </c>
      <c r="T33" s="717" t="s">
        <v>17</v>
      </c>
      <c r="U33" s="718">
        <f t="shared" si="11"/>
        <v>100</v>
      </c>
      <c r="V33" s="717" t="s">
        <v>17</v>
      </c>
      <c r="W33" s="718">
        <f t="shared" si="12"/>
        <v>100</v>
      </c>
      <c r="X33" s="719"/>
      <c r="Y33" s="3308"/>
      <c r="Z33" s="720">
        <f t="shared" si="13"/>
        <v>111</v>
      </c>
      <c r="AA33" s="1539">
        <f t="shared" si="3"/>
        <v>1</v>
      </c>
      <c r="AB33" s="1539">
        <f t="shared" si="4"/>
        <v>1</v>
      </c>
      <c r="AC33" s="1539">
        <f t="shared" si="5"/>
        <v>1</v>
      </c>
    </row>
    <row r="34" spans="1:31" ht="15">
      <c r="A34" s="399" t="s">
        <v>2385</v>
      </c>
      <c r="B34" s="415" t="s">
        <v>2573</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308"/>
      <c r="Q34" s="1538" t="str">
        <f>B34</f>
        <v>宗地面积</v>
      </c>
      <c r="R34" s="714" t="s">
        <v>17</v>
      </c>
      <c r="S34" s="715" t="e">
        <f t="shared" si="10"/>
        <v>#N/A</v>
      </c>
      <c r="T34" s="714" t="s">
        <v>17</v>
      </c>
      <c r="U34" s="715" t="e">
        <f t="shared" si="11"/>
        <v>#N/A</v>
      </c>
      <c r="V34" s="714" t="s">
        <v>17</v>
      </c>
      <c r="W34" s="715" t="e">
        <f t="shared" si="12"/>
        <v>#N/A</v>
      </c>
      <c r="X34" s="1541"/>
      <c r="Y34" s="3308"/>
      <c r="Z34" s="1542" t="str">
        <f t="shared" si="13"/>
        <v>宗地面积</v>
      </c>
      <c r="AA34" s="1539" t="e">
        <f t="shared" si="3"/>
        <v>#N/A</v>
      </c>
      <c r="AB34" s="1539" t="e">
        <f t="shared" si="4"/>
        <v>#N/A</v>
      </c>
      <c r="AC34" s="1539" t="e">
        <f t="shared" si="5"/>
        <v>#N/A</v>
      </c>
    </row>
    <row r="35" spans="1:31" ht="15">
      <c r="A35" s="431"/>
      <c r="B35" s="381" t="s">
        <v>2574</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308"/>
      <c r="Q35" s="1538" t="str">
        <f t="shared" ref="Q35:Q40" si="14">B35</f>
        <v>宗地形状</v>
      </c>
      <c r="R35" s="714" t="s">
        <v>17</v>
      </c>
      <c r="S35" s="715">
        <f t="shared" si="10"/>
        <v>100</v>
      </c>
      <c r="T35" s="714" t="s">
        <v>17</v>
      </c>
      <c r="U35" s="715">
        <f t="shared" si="11"/>
        <v>100</v>
      </c>
      <c r="V35" s="714" t="s">
        <v>17</v>
      </c>
      <c r="W35" s="715">
        <f t="shared" si="12"/>
        <v>100</v>
      </c>
      <c r="X35" s="1541"/>
      <c r="Y35" s="3308"/>
      <c r="Z35" s="1542" t="str">
        <f t="shared" si="13"/>
        <v>宗地形状</v>
      </c>
      <c r="AA35" s="1539">
        <f t="shared" si="3"/>
        <v>1</v>
      </c>
      <c r="AB35" s="1539">
        <f t="shared" si="4"/>
        <v>1</v>
      </c>
      <c r="AC35" s="1539">
        <f t="shared" si="5"/>
        <v>1</v>
      </c>
    </row>
    <row r="36" spans="1:31" s="113" customFormat="1" ht="15">
      <c r="A36" s="432"/>
      <c r="B36" s="381" t="s">
        <v>2576</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308"/>
      <c r="Q36" s="1538" t="str">
        <f t="shared" si="14"/>
        <v>宗地开发程度</v>
      </c>
      <c r="R36" s="710" t="s">
        <v>17</v>
      </c>
      <c r="S36" s="711">
        <f t="shared" si="10"/>
        <v>100</v>
      </c>
      <c r="T36" s="710" t="s">
        <v>17</v>
      </c>
      <c r="U36" s="711">
        <f t="shared" si="11"/>
        <v>100</v>
      </c>
      <c r="V36" s="710" t="s">
        <v>17</v>
      </c>
      <c r="W36" s="711">
        <f t="shared" si="12"/>
        <v>100</v>
      </c>
      <c r="X36" s="712"/>
      <c r="Y36" s="3308"/>
      <c r="Z36" s="55" t="str">
        <f t="shared" si="13"/>
        <v>宗地开发程度</v>
      </c>
      <c r="AA36" s="713">
        <f t="shared" si="3"/>
        <v>1</v>
      </c>
      <c r="AB36" s="713">
        <f t="shared" si="4"/>
        <v>1</v>
      </c>
      <c r="AC36" s="713">
        <f t="shared" si="5"/>
        <v>1</v>
      </c>
    </row>
    <row r="37" spans="1:31" ht="15">
      <c r="A37" s="431"/>
      <c r="B37" s="381" t="s">
        <v>2577</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308" t="s">
        <v>2387</v>
      </c>
      <c r="Q37" s="1538" t="str">
        <f t="shared" si="14"/>
        <v>工程地质条件</v>
      </c>
      <c r="R37" s="714" t="s">
        <v>17</v>
      </c>
      <c r="S37" s="715">
        <f t="shared" si="10"/>
        <v>100</v>
      </c>
      <c r="T37" s="714" t="s">
        <v>17</v>
      </c>
      <c r="U37" s="715">
        <f t="shared" si="11"/>
        <v>100</v>
      </c>
      <c r="V37" s="714" t="s">
        <v>17</v>
      </c>
      <c r="W37" s="715">
        <f t="shared" si="12"/>
        <v>100</v>
      </c>
      <c r="X37" s="1541"/>
      <c r="Y37" s="3308" t="s">
        <v>2387</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308"/>
      <c r="Q38" s="1538">
        <f t="shared" si="14"/>
        <v>111</v>
      </c>
      <c r="R38" s="714" t="s">
        <v>17</v>
      </c>
      <c r="S38" s="715">
        <f t="shared" si="10"/>
        <v>100</v>
      </c>
      <c r="T38" s="714" t="s">
        <v>17</v>
      </c>
      <c r="U38" s="715">
        <f t="shared" si="11"/>
        <v>100</v>
      </c>
      <c r="V38" s="714" t="s">
        <v>17</v>
      </c>
      <c r="W38" s="715">
        <f t="shared" si="12"/>
        <v>100</v>
      </c>
      <c r="X38" s="1541"/>
      <c r="Y38" s="3308"/>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308"/>
      <c r="Q39" s="1538">
        <f t="shared" si="14"/>
        <v>111</v>
      </c>
      <c r="R39" s="714" t="s">
        <v>17</v>
      </c>
      <c r="S39" s="715">
        <f t="shared" si="10"/>
        <v>100</v>
      </c>
      <c r="T39" s="714" t="s">
        <v>17</v>
      </c>
      <c r="U39" s="715">
        <f t="shared" si="11"/>
        <v>100</v>
      </c>
      <c r="V39" s="714" t="s">
        <v>17</v>
      </c>
      <c r="W39" s="715">
        <f t="shared" si="12"/>
        <v>100</v>
      </c>
      <c r="X39" s="1541"/>
      <c r="Y39" s="3308"/>
      <c r="Z39" s="1542">
        <f t="shared" si="13"/>
        <v>111</v>
      </c>
      <c r="AA39" s="1539">
        <f t="shared" si="3"/>
        <v>1</v>
      </c>
      <c r="AB39" s="1539">
        <f t="shared" si="4"/>
        <v>1</v>
      </c>
      <c r="AC39" s="1539">
        <f t="shared" si="5"/>
        <v>1</v>
      </c>
    </row>
    <row r="40" spans="1:31" s="430" customFormat="1" ht="15.75" thickBot="1">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308"/>
      <c r="Q40" s="1538">
        <f t="shared" si="14"/>
        <v>111</v>
      </c>
      <c r="R40" s="717" t="s">
        <v>17</v>
      </c>
      <c r="S40" s="718">
        <f t="shared" si="10"/>
        <v>100</v>
      </c>
      <c r="T40" s="717" t="s">
        <v>17</v>
      </c>
      <c r="U40" s="718">
        <f t="shared" si="11"/>
        <v>100</v>
      </c>
      <c r="V40" s="717" t="s">
        <v>17</v>
      </c>
      <c r="W40" s="718">
        <f t="shared" si="12"/>
        <v>100</v>
      </c>
      <c r="X40" s="719"/>
      <c r="Y40" s="3308"/>
      <c r="Z40" s="720">
        <f t="shared" si="13"/>
        <v>111</v>
      </c>
      <c r="AA40" s="1539">
        <f t="shared" si="3"/>
        <v>1</v>
      </c>
      <c r="AB40" s="1539">
        <f t="shared" si="4"/>
        <v>1</v>
      </c>
      <c r="AC40" s="1539">
        <f t="shared" si="5"/>
        <v>1</v>
      </c>
    </row>
    <row r="41" spans="1:31" ht="15">
      <c r="A41" s="438" t="s">
        <v>2542</v>
      </c>
      <c r="B41" s="2170" t="s">
        <v>2622</v>
      </c>
      <c r="C41" s="638" t="s">
        <v>1</v>
      </c>
      <c r="D41" s="440"/>
      <c r="E41" s="441"/>
      <c r="F41" s="442"/>
      <c r="G41" s="443"/>
      <c r="H41" s="444"/>
      <c r="I41" s="441"/>
      <c r="J41" s="444"/>
      <c r="K41" s="723"/>
      <c r="L41" s="2955"/>
      <c r="M41" s="2947"/>
      <c r="N41" s="2947"/>
      <c r="O41" s="2956"/>
      <c r="P41" s="3301" t="str">
        <f>A41</f>
        <v>成交单价</v>
      </c>
      <c r="Q41" s="3301"/>
      <c r="R41" s="3296">
        <f>E41</f>
        <v>0</v>
      </c>
      <c r="S41" s="3296"/>
      <c r="T41" s="3296">
        <f>G41</f>
        <v>0</v>
      </c>
      <c r="U41" s="3296"/>
      <c r="V41" s="3296">
        <f>I41</f>
        <v>0</v>
      </c>
      <c r="W41" s="3296"/>
      <c r="X41" s="699"/>
      <c r="Y41" s="721"/>
      <c r="Z41" s="699"/>
      <c r="AA41" s="699"/>
      <c r="AB41" s="699"/>
      <c r="AC41" s="699"/>
    </row>
    <row r="42" spans="1:31" ht="15.75" thickBot="1">
      <c r="A42" s="445" t="s">
        <v>2491</v>
      </c>
      <c r="B42" s="639"/>
      <c r="C42" s="448" t="e">
        <f>R43</f>
        <v>#DIV/0!</v>
      </c>
      <c r="D42" s="2540" t="s">
        <v>2882</v>
      </c>
      <c r="E42" s="448" t="e">
        <f>R42</f>
        <v>#DIV/0!</v>
      </c>
      <c r="F42" s="2541"/>
      <c r="G42" s="447" t="e">
        <f>T42</f>
        <v>#DIV/0!</v>
      </c>
      <c r="H42" s="2541"/>
      <c r="I42" s="448" t="e">
        <f>V42</f>
        <v>#DIV/0!</v>
      </c>
      <c r="J42" s="2541"/>
      <c r="K42" s="2543">
        <f>F42+H42+J42</f>
        <v>0</v>
      </c>
      <c r="L42" s="2955"/>
      <c r="M42" s="2947"/>
      <c r="N42" s="2947"/>
      <c r="O42" s="2956"/>
      <c r="P42" s="3301" t="str">
        <f>A42</f>
        <v>比较价值（元/平方米）</v>
      </c>
      <c r="Q42" s="3301"/>
      <c r="R42" s="3329" t="e">
        <f>ROUND(PRODUCT(R41,AA7:AA40),0)</f>
        <v>#DIV/0!</v>
      </c>
      <c r="S42" s="3329"/>
      <c r="T42" s="3329" t="e">
        <f>ROUND(PRODUCT(T41,AB7:AB40),0)</f>
        <v>#DIV/0!</v>
      </c>
      <c r="U42" s="3329"/>
      <c r="V42" s="3329" t="e">
        <f>ROUND(PRODUCT(V41,AC7:AC40),0)</f>
        <v>#DIV/0!</v>
      </c>
      <c r="W42" s="3329"/>
      <c r="X42" s="699"/>
      <c r="Y42" s="699"/>
      <c r="Z42" s="699"/>
      <c r="AA42" s="699"/>
      <c r="AB42" s="699"/>
      <c r="AC42" s="699"/>
    </row>
    <row r="43" spans="1:31" ht="15.75" thickBot="1">
      <c r="A43" s="449" t="s">
        <v>2492</v>
      </c>
      <c r="B43" s="450"/>
      <c r="C43" s="451" t="e">
        <f>R43</f>
        <v>#DIV/0!</v>
      </c>
      <c r="D43" s="451"/>
      <c r="E43" s="451"/>
      <c r="F43" s="451"/>
      <c r="G43" s="451"/>
      <c r="H43" s="451"/>
      <c r="I43" s="451"/>
      <c r="J43" s="451"/>
      <c r="K43" s="724"/>
      <c r="L43" s="2955"/>
      <c r="M43" s="2947"/>
      <c r="N43" s="2947"/>
      <c r="O43" s="2956"/>
      <c r="P43" s="3298" t="str">
        <f>A43</f>
        <v>估价对象XX用房的比较价值（楼面单价，元/平方米）</v>
      </c>
      <c r="Q43" s="3299"/>
      <c r="R43" s="3330" t="e">
        <f>ROUND(IF(D42="简单平均",AVERAGE(R42:W42),R42*F42+T42*H42+V42*J42),0)</f>
        <v>#DIV/0!</v>
      </c>
      <c r="S43" s="3330"/>
      <c r="T43" s="3330"/>
      <c r="U43" s="3330"/>
      <c r="V43" s="3330"/>
      <c r="W43" s="3330"/>
      <c r="X43" s="699"/>
      <c r="Y43" s="699"/>
      <c r="Z43" s="699"/>
      <c r="AA43" s="699"/>
      <c r="AB43" s="699"/>
      <c r="AC43" s="699"/>
    </row>
    <row r="44" spans="1:31">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c r="A46" s="2956"/>
      <c r="B46" s="295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c r="A47" s="2956"/>
      <c r="B47" s="295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c r="A48" s="2959"/>
      <c r="B48" s="295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5" thickBot="1">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7">
      <c r="A50" s="640" t="s">
        <v>2580</v>
      </c>
      <c r="B50" s="641" t="s">
        <v>2581</v>
      </c>
      <c r="C50" s="2171" t="s">
        <v>2582</v>
      </c>
      <c r="D50" s="2172" t="s">
        <v>2583</v>
      </c>
      <c r="E50" s="642" t="s">
        <v>2584</v>
      </c>
      <c r="F50" s="643" t="s">
        <v>2585</v>
      </c>
      <c r="G50" s="3284" t="s">
        <v>2586</v>
      </c>
      <c r="H50" s="3331"/>
      <c r="I50" s="1542" t="s">
        <v>2623</v>
      </c>
      <c r="J50" s="1542">
        <f>项目基本情况!F35</f>
        <v>0</v>
      </c>
      <c r="K50" s="2174" t="s">
        <v>2588</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c r="A51" s="644" t="s">
        <v>2589</v>
      </c>
      <c r="B51" s="645" t="e">
        <f>C43</f>
        <v>#DIV/0!</v>
      </c>
      <c r="C51" s="646">
        <v>1</v>
      </c>
      <c r="D51" s="1075">
        <v>1</v>
      </c>
      <c r="E51" s="646">
        <f>'数据-汇总表'!E8+'数据-汇总表'!E9</f>
        <v>8276.64</v>
      </c>
      <c r="F51" s="647" t="e">
        <f t="shared" ref="F51:F60" si="15">ROUND(B51*E51/10000,0)</f>
        <v>#DIV/0!</v>
      </c>
      <c r="G51" s="3283"/>
      <c r="H51" s="3301"/>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c r="A52" s="649" t="s">
        <v>2590</v>
      </c>
      <c r="B52" s="224" t="e">
        <f>ROUND($C$43*C52*D52,0)</f>
        <v>#DIV/0!</v>
      </c>
      <c r="C52" s="176">
        <f t="shared" ref="C52:C60" si="16">IF($C$50="北京市系数",I52,J52)</f>
        <v>0</v>
      </c>
      <c r="D52" s="1076">
        <v>0.25</v>
      </c>
      <c r="E52" s="650"/>
      <c r="F52" s="647" t="e">
        <f t="shared" si="15"/>
        <v>#DIV/0!</v>
      </c>
      <c r="G52" s="3332" t="s">
        <v>2591</v>
      </c>
      <c r="H52" s="1018">
        <f>项目基本情况!B37</f>
        <v>0</v>
      </c>
      <c r="I52" s="879">
        <f>SUMIF(修正!A45:A56,H52,修正!B45:B56)</f>
        <v>0</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c r="A53" s="649" t="s">
        <v>2592</v>
      </c>
      <c r="B53" s="224" t="e">
        <f t="shared" ref="B53:B60" si="17">ROUND($C$43*C53*D53,0)</f>
        <v>#DIV/0!</v>
      </c>
      <c r="C53" s="176">
        <f t="shared" si="16"/>
        <v>0</v>
      </c>
      <c r="D53" s="1076">
        <v>0.25</v>
      </c>
      <c r="E53" s="650"/>
      <c r="F53" s="647" t="e">
        <f t="shared" si="15"/>
        <v>#DIV/0!</v>
      </c>
      <c r="G53" s="3332"/>
      <c r="H53" s="1018">
        <f>项目基本情况!B37</f>
        <v>0</v>
      </c>
      <c r="I53" s="879">
        <f>SUMIF(修正!A45:A56,H53,修正!C45:C56)</f>
        <v>0</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c r="A54" s="649" t="s">
        <v>2593</v>
      </c>
      <c r="B54" s="224" t="e">
        <f t="shared" si="17"/>
        <v>#DIV/0!</v>
      </c>
      <c r="C54" s="176">
        <f t="shared" si="16"/>
        <v>0</v>
      </c>
      <c r="D54" s="1076">
        <v>0.25</v>
      </c>
      <c r="E54" s="650"/>
      <c r="F54" s="647" t="e">
        <f t="shared" si="15"/>
        <v>#DIV/0!</v>
      </c>
      <c r="G54" s="3332"/>
      <c r="H54" s="1018">
        <f>项目基本情况!B37</f>
        <v>0</v>
      </c>
      <c r="I54" s="879">
        <f>SUMIF(修正!A45:A56,H54,修正!D45:D56)</f>
        <v>0</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c r="A55" s="649" t="s">
        <v>2594</v>
      </c>
      <c r="B55" s="224" t="e">
        <f t="shared" si="17"/>
        <v>#DIV/0!</v>
      </c>
      <c r="C55" s="176">
        <f t="shared" si="16"/>
        <v>0</v>
      </c>
      <c r="D55" s="1076">
        <v>0.25</v>
      </c>
      <c r="E55" s="650"/>
      <c r="F55" s="647" t="e">
        <f t="shared" si="15"/>
        <v>#DIV/0!</v>
      </c>
      <c r="G55" s="3332"/>
      <c r="H55" s="1018">
        <f>项目基本情况!B37</f>
        <v>0</v>
      </c>
      <c r="I55" s="879">
        <f>SUMIF(修正!A45:A56,H55,修正!E45:E56)</f>
        <v>0</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c r="A56" s="649" t="s">
        <v>2595</v>
      </c>
      <c r="B56" s="224" t="e">
        <f t="shared" si="17"/>
        <v>#DIV/0!</v>
      </c>
      <c r="C56" s="176">
        <f t="shared" si="16"/>
        <v>0.3</v>
      </c>
      <c r="D56" s="1076">
        <v>0.25</v>
      </c>
      <c r="E56" s="223">
        <f>'数据-汇总表'!E11</f>
        <v>0</v>
      </c>
      <c r="F56" s="647" t="e">
        <f t="shared" si="15"/>
        <v>#DIV/0!</v>
      </c>
      <c r="G56" s="2175" t="s">
        <v>2596</v>
      </c>
      <c r="H56" s="1018" t="str">
        <f>项目基本情况!C37</f>
        <v>二级</v>
      </c>
      <c r="I56" s="879">
        <f>SUMIF(修正!A45:A56,H56,修正!F45:F56)</f>
        <v>0.3</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c r="A57" s="649" t="s">
        <v>2597</v>
      </c>
      <c r="B57" s="224" t="e">
        <f t="shared" si="17"/>
        <v>#DIV/0!</v>
      </c>
      <c r="C57" s="176">
        <f t="shared" si="16"/>
        <v>0.3</v>
      </c>
      <c r="D57" s="1076">
        <v>0.25</v>
      </c>
      <c r="E57" s="223">
        <f>'数据-汇总表'!E12</f>
        <v>0</v>
      </c>
      <c r="F57" s="647" t="e">
        <f t="shared" si="15"/>
        <v>#DIV/0!</v>
      </c>
      <c r="G57" s="1023" t="s">
        <v>2598</v>
      </c>
      <c r="H57" s="1018" t="str">
        <f>IF(G57="商业",项目基本情况!B37,IF(G57="办公",项目基本情况!C37,IF(G57="住宅",项目基本情况!D37,项目基本情况!E37)))</f>
        <v>二级</v>
      </c>
      <c r="I57" s="879">
        <f>SUMIF(修正!A45:A56,H57,修正!G45:G56)</f>
        <v>0.3</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c r="A58" s="649" t="s">
        <v>2599</v>
      </c>
      <c r="B58" s="224" t="e">
        <f t="shared" si="17"/>
        <v>#DIV/0!</v>
      </c>
      <c r="C58" s="176">
        <f t="shared" si="16"/>
        <v>0</v>
      </c>
      <c r="D58" s="1076">
        <v>0.25</v>
      </c>
      <c r="E58" s="223">
        <f>'数据-汇总表'!E13</f>
        <v>0</v>
      </c>
      <c r="F58" s="647" t="e">
        <f t="shared" si="15"/>
        <v>#DIV/0!</v>
      </c>
      <c r="G58" s="1023" t="s">
        <v>2600</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c r="A59" s="649" t="s">
        <v>2601</v>
      </c>
      <c r="B59" s="224" t="e">
        <f t="shared" si="17"/>
        <v>#DIV/0!</v>
      </c>
      <c r="C59" s="176">
        <f t="shared" si="16"/>
        <v>0</v>
      </c>
      <c r="D59" s="1076">
        <v>0.25</v>
      </c>
      <c r="E59" s="223">
        <f>'数据-汇总表'!E14</f>
        <v>0</v>
      </c>
      <c r="F59" s="647" t="e">
        <f t="shared" si="15"/>
        <v>#DIV/0!</v>
      </c>
      <c r="G59" s="2175" t="s">
        <v>2591</v>
      </c>
      <c r="H59" s="1018">
        <f>项目基本情况!B37</f>
        <v>0</v>
      </c>
      <c r="I59" s="879">
        <f>SUMIF(修正!A45:A56,H59,修正!H45:H56)</f>
        <v>0</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5" thickBot="1">
      <c r="A60" s="649" t="s">
        <v>2602</v>
      </c>
      <c r="B60" s="224" t="e">
        <f t="shared" si="17"/>
        <v>#DIV/0!</v>
      </c>
      <c r="C60" s="176">
        <f t="shared" si="16"/>
        <v>0.25</v>
      </c>
      <c r="D60" s="1076">
        <v>0.25</v>
      </c>
      <c r="E60" s="223">
        <f>'数据-汇总表'!E15</f>
        <v>0</v>
      </c>
      <c r="F60" s="647" t="e">
        <f t="shared" si="15"/>
        <v>#DIV/0!</v>
      </c>
      <c r="G60" s="2176" t="s">
        <v>2596</v>
      </c>
      <c r="H60" s="1028" t="str">
        <f>项目基本情况!C37</f>
        <v>二级</v>
      </c>
      <c r="I60" s="879">
        <f>SUMIF(修正!A45:A56,H60,修正!H45:H56)</f>
        <v>0.25</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5" thickBot="1">
      <c r="A61" s="651" t="s">
        <v>2603</v>
      </c>
      <c r="B61" s="652" t="s">
        <v>28</v>
      </c>
      <c r="C61" s="652" t="s">
        <v>29</v>
      </c>
      <c r="D61" s="652" t="s">
        <v>997</v>
      </c>
      <c r="E61" s="652">
        <f>IF(B41="楼面地价",SUM(E51:E60),'数据-汇总表'!D3)</f>
        <v>927.85</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c r="A63" s="1058"/>
      <c r="B63" s="1060"/>
      <c r="C63" s="701" t="str">
        <f>YEAR(C7)&amp;"-"&amp;MONTH(C7)&amp;"-1"</f>
        <v>2020-9-1</v>
      </c>
      <c r="D63" s="701">
        <f>EDATE(C63,-3)</f>
        <v>43983</v>
      </c>
      <c r="E63" s="701">
        <f>EDATE(D63,-3)</f>
        <v>43891</v>
      </c>
      <c r="F63" s="701">
        <f t="shared" ref="F63:O63" si="18">EDATE(E63,-3)</f>
        <v>43800</v>
      </c>
      <c r="G63" s="701">
        <f t="shared" si="18"/>
        <v>43709</v>
      </c>
      <c r="H63" s="701">
        <f t="shared" si="18"/>
        <v>43617</v>
      </c>
      <c r="I63" s="701">
        <f t="shared" si="18"/>
        <v>43525</v>
      </c>
      <c r="J63" s="701">
        <f t="shared" si="18"/>
        <v>43435</v>
      </c>
      <c r="K63" s="701">
        <f t="shared" si="18"/>
        <v>43344</v>
      </c>
      <c r="L63" s="701">
        <f t="shared" si="18"/>
        <v>43252</v>
      </c>
      <c r="M63" s="701">
        <f t="shared" si="18"/>
        <v>43160</v>
      </c>
      <c r="N63" s="701">
        <f t="shared" si="18"/>
        <v>43070</v>
      </c>
      <c r="O63" s="701">
        <f t="shared" si="18"/>
        <v>42979</v>
      </c>
      <c r="P63" s="2956"/>
      <c r="Q63" s="2956"/>
      <c r="R63" s="2956"/>
      <c r="S63" s="2956"/>
      <c r="T63" s="2956"/>
      <c r="U63" s="2956"/>
      <c r="V63" s="2956"/>
      <c r="W63" s="2956"/>
      <c r="X63" s="2956"/>
      <c r="Y63" s="2956"/>
      <c r="Z63" s="2956"/>
      <c r="AA63" s="2956"/>
      <c r="AB63" s="2956"/>
      <c r="AC63" s="2956"/>
      <c r="AD63" s="2956"/>
      <c r="AE63" s="2956"/>
    </row>
    <row r="64" spans="1:31" ht="21.75" thickBot="1">
      <c r="A64" s="703" t="s">
        <v>2496</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ht="15">
      <c r="A65" s="2177" t="s">
        <v>2604</v>
      </c>
      <c r="B65" s="1269"/>
      <c r="C65" s="1344" t="str">
        <f>YEAR(C63)&amp;"-"&amp;ROUNDUP(MONTH(C63)/3,0)</f>
        <v>2020-3</v>
      </c>
      <c r="D65" s="1344" t="str">
        <f t="shared" ref="D65:O65" si="19">YEAR(D63)&amp;"-"&amp;ROUNDUP(MONTH(D63)/3,0)</f>
        <v>2020-2</v>
      </c>
      <c r="E65" s="1344" t="str">
        <f t="shared" si="19"/>
        <v>2020-1</v>
      </c>
      <c r="F65" s="1344" t="str">
        <f t="shared" si="19"/>
        <v>2019-4</v>
      </c>
      <c r="G65" s="1344" t="str">
        <f t="shared" si="19"/>
        <v>2019-3</v>
      </c>
      <c r="H65" s="1344" t="str">
        <f t="shared" si="19"/>
        <v>2019-2</v>
      </c>
      <c r="I65" s="1344" t="str">
        <f t="shared" si="19"/>
        <v>2019-1</v>
      </c>
      <c r="J65" s="1344" t="str">
        <f t="shared" si="19"/>
        <v>2018-4</v>
      </c>
      <c r="K65" s="1344" t="str">
        <f t="shared" si="19"/>
        <v>2018-3</v>
      </c>
      <c r="L65" s="1344" t="str">
        <f t="shared" si="19"/>
        <v>2018-2</v>
      </c>
      <c r="M65" s="1344" t="str">
        <f t="shared" si="19"/>
        <v>2018-1</v>
      </c>
      <c r="N65" s="1344" t="str">
        <f t="shared" si="19"/>
        <v>2017-4</v>
      </c>
      <c r="O65" s="1344" t="str">
        <f t="shared" si="19"/>
        <v>2017-3</v>
      </c>
      <c r="P65" s="3007"/>
      <c r="Q65" s="2972"/>
      <c r="R65" s="2972"/>
      <c r="S65" s="2972"/>
      <c r="T65" s="2972"/>
      <c r="U65" s="2972"/>
      <c r="V65" s="2972"/>
      <c r="W65" s="2972"/>
      <c r="X65" s="2972"/>
      <c r="Y65" s="2972"/>
      <c r="Z65" s="2972"/>
      <c r="AA65" s="2972"/>
      <c r="AB65" s="2972"/>
      <c r="AC65" s="2972"/>
      <c r="AD65" s="2972"/>
      <c r="AE65" s="2972"/>
    </row>
    <row r="66" spans="1:31" s="113" customFormat="1" ht="30.75" customHeight="1">
      <c r="A66" s="2182" t="s">
        <v>2624</v>
      </c>
      <c r="B66" s="294" t="str">
        <f>"北京市平均增长率"&amp;TEXT(基准地价修正!P24,"0.00%")</f>
        <v>北京市平均增长率1.27%</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75" thickBot="1">
      <c r="A67" s="472" t="s">
        <v>2407</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ht="15">
      <c r="A68" s="478" t="s">
        <v>2372</v>
      </c>
      <c r="B68" s="467"/>
      <c r="C68" s="479" t="s">
        <v>2474</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5.75" thickBot="1">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c r="A70" s="484" t="s">
        <v>2410</v>
      </c>
      <c r="B70" s="485" t="s">
        <v>2376</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5.75" thickBot="1">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7.75" thickTop="1">
      <c r="A72" s="491"/>
      <c r="B72" s="495" t="s">
        <v>2379</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5.75" thickBot="1">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75" thickTop="1">
      <c r="A74" s="491"/>
      <c r="B74" s="503" t="s">
        <v>2380</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ht="15">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5.75" thickTop="1">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5.75" thickBot="1">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5.75" thickTop="1">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5.75" thickBot="1">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5.75" thickTop="1">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5.75" thickBot="1">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c r="A83" s="484" t="s">
        <v>2381</v>
      </c>
      <c r="B83" s="485" t="s">
        <v>2527</v>
      </c>
      <c r="C83" s="530" t="s">
        <v>2419</v>
      </c>
      <c r="D83" s="530" t="s">
        <v>2420</v>
      </c>
      <c r="E83" s="530" t="s">
        <v>2421</v>
      </c>
      <c r="F83" s="530" t="s">
        <v>2422</v>
      </c>
      <c r="G83" s="530" t="s">
        <v>2423</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75" thickTop="1">
      <c r="A85" s="491"/>
      <c r="B85" s="495" t="s">
        <v>2424</v>
      </c>
      <c r="C85" s="535" t="s">
        <v>2419</v>
      </c>
      <c r="D85" s="535" t="s">
        <v>2420</v>
      </c>
      <c r="E85" s="535" t="s">
        <v>2421</v>
      </c>
      <c r="F85" s="535" t="s">
        <v>2422</v>
      </c>
      <c r="G85" s="535" t="s">
        <v>2423</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15.75" thickTop="1">
      <c r="A87" s="536"/>
      <c r="B87" s="495" t="s">
        <v>2607</v>
      </c>
      <c r="C87" s="530" t="s">
        <v>2419</v>
      </c>
      <c r="D87" s="530" t="s">
        <v>2420</v>
      </c>
      <c r="E87" s="530" t="s">
        <v>2421</v>
      </c>
      <c r="F87" s="530" t="s">
        <v>2422</v>
      </c>
      <c r="G87" s="530" t="s">
        <v>2423</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7.75" thickTop="1">
      <c r="A89" s="536"/>
      <c r="B89" s="495" t="s">
        <v>2608</v>
      </c>
      <c r="C89" s="530" t="s">
        <v>2419</v>
      </c>
      <c r="D89" s="530" t="s">
        <v>2420</v>
      </c>
      <c r="E89" s="530" t="s">
        <v>2421</v>
      </c>
      <c r="F89" s="530" t="s">
        <v>2422</v>
      </c>
      <c r="G89" s="530" t="s">
        <v>2423</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75" thickTop="1">
      <c r="A91" s="510"/>
      <c r="B91" s="495" t="s">
        <v>2476</v>
      </c>
      <c r="C91" s="530" t="s">
        <v>2419</v>
      </c>
      <c r="D91" s="530" t="s">
        <v>2420</v>
      </c>
      <c r="E91" s="530" t="s">
        <v>2421</v>
      </c>
      <c r="F91" s="530" t="s">
        <v>2422</v>
      </c>
      <c r="G91" s="530" t="s">
        <v>2423</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75" thickTop="1">
      <c r="A93" s="510"/>
      <c r="B93" s="503" t="s">
        <v>2625</v>
      </c>
      <c r="C93" s="616" t="s">
        <v>2497</v>
      </c>
      <c r="D93" s="616" t="s">
        <v>2498</v>
      </c>
      <c r="E93" s="616" t="s">
        <v>2499</v>
      </c>
      <c r="F93" s="616" t="s">
        <v>2500</v>
      </c>
      <c r="G93" s="616" t="s">
        <v>2501</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75" thickTop="1">
      <c r="A95" s="491"/>
      <c r="B95" s="495" t="str">
        <f>B27</f>
        <v>临街状况</v>
      </c>
      <c r="C95" s="496" t="s">
        <v>2609</v>
      </c>
      <c r="D95" s="496" t="s">
        <v>2610</v>
      </c>
      <c r="E95" s="496" t="s">
        <v>2611</v>
      </c>
      <c r="F95" s="496" t="s">
        <v>2612</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7.75" thickTop="1">
      <c r="A97" s="491"/>
      <c r="B97" s="495" t="s">
        <v>2513</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75" thickTop="1">
      <c r="A99" s="491"/>
      <c r="B99" s="495" t="s">
        <v>2572</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5.75" thickTop="1">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5.75" thickBot="1">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5" thickTop="1">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5.75" thickBot="1">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5" thickTop="1">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5.75" thickBot="1">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c r="A107" s="484" t="s">
        <v>2385</v>
      </c>
      <c r="B107" s="485" t="s">
        <v>2613</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ht="15">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5.75" thickBot="1">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c r="A110" s="556"/>
      <c r="B110" s="495" t="s">
        <v>2614</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c r="A112" s="550"/>
      <c r="B112" s="495" t="s">
        <v>2616</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c r="A114" s="556"/>
      <c r="B114" s="495" t="s">
        <v>2617</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5" thickTop="1">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5.75" thickBot="1">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5" thickTop="1">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5.75" thickBot="1">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5" thickTop="1">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5.75" thickBot="1">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B21" sqref="B21"/>
    </sheetView>
  </sheetViews>
  <sheetFormatPr defaultColWidth="12" defaultRowHeight="12.75"/>
  <cols>
    <col min="1" max="1" width="9.75" style="2252" customWidth="1"/>
    <col min="2" max="2" width="19.25" style="2355" customWidth="1"/>
    <col min="3" max="4" width="12" style="2186"/>
    <col min="5" max="5" width="14.625" style="2186" customWidth="1"/>
    <col min="6" max="8" width="12" style="2186"/>
    <col min="9" max="9" width="12.25" style="2186" bestFit="1" customWidth="1"/>
    <col min="10" max="10" width="12" style="2186"/>
    <col min="11" max="11" width="8.125" style="2247" customWidth="1"/>
    <col min="12" max="12" width="12" style="2186"/>
    <col min="13" max="13" width="8.5" style="2186" customWidth="1"/>
    <col min="14" max="14" width="9.75" style="2186" customWidth="1"/>
    <col min="15" max="25" width="12" style="2186"/>
    <col min="26" max="26" width="9.375" style="2252" customWidth="1"/>
    <col min="27" max="32" width="9.375" style="1282" customWidth="1"/>
    <col min="33" max="36" width="9.375" style="2252" customWidth="1"/>
    <col min="37" max="38" width="9.375" style="2186" customWidth="1"/>
    <col min="39" max="16384" width="12" style="2186"/>
  </cols>
  <sheetData>
    <row r="1" spans="1:36" ht="28.5">
      <c r="A1" s="202" t="s">
        <v>2626</v>
      </c>
      <c r="B1" s="203"/>
      <c r="C1" s="207" t="s">
        <v>2627</v>
      </c>
      <c r="D1" s="348">
        <f>SUM(D29:D30,D33:D39)</f>
        <v>8276.64</v>
      </c>
      <c r="E1" s="2183"/>
      <c r="F1" s="2183"/>
      <c r="G1" s="2183"/>
      <c r="H1" s="2183"/>
      <c r="I1" s="2183"/>
      <c r="J1" s="2183"/>
      <c r="K1" s="1280"/>
      <c r="L1" s="2184" t="s">
        <v>2628</v>
      </c>
      <c r="M1" s="994">
        <f>SUMPRODUCT((区片价!B5:B9=I2)*(区片价!C3:F3=E2)*(区片价!C5:F9))</f>
        <v>0</v>
      </c>
      <c r="N1" s="997">
        <f>SUMPRODUCT((因素修正幅度!B5:B9=I2)*(因素修正幅度!C3:F3=E2)*(因素修正幅度!C5:F9))</f>
        <v>0</v>
      </c>
      <c r="O1" s="2185"/>
      <c r="P1" s="2185"/>
      <c r="Q1" s="1280"/>
      <c r="R1" s="1374" t="s">
        <v>2629</v>
      </c>
      <c r="S1" s="1374" t="s">
        <v>2630</v>
      </c>
      <c r="T1" s="1374" t="s">
        <v>2631</v>
      </c>
      <c r="U1" s="1374" t="s">
        <v>2632</v>
      </c>
      <c r="V1" s="1374" t="s">
        <v>2633</v>
      </c>
      <c r="W1" s="1378"/>
      <c r="X1" s="1378"/>
      <c r="Y1" s="1378"/>
      <c r="Z1" s="1378"/>
      <c r="AA1" s="1378"/>
      <c r="AB1" s="1378"/>
      <c r="AC1" s="1379"/>
      <c r="AD1" s="1380"/>
      <c r="AE1" s="1380"/>
      <c r="AF1" s="1380"/>
      <c r="AG1" s="1380"/>
      <c r="AH1" s="1380"/>
      <c r="AI1" s="1380"/>
      <c r="AJ1" s="1381"/>
    </row>
    <row r="2" spans="1:36" ht="15.75">
      <c r="A2" s="207" t="s">
        <v>2634</v>
      </c>
      <c r="B2" s="210">
        <f ca="1">C26</f>
        <v>18683</v>
      </c>
      <c r="C2" s="2187" t="s">
        <v>2635</v>
      </c>
      <c r="D2" s="2188" t="s">
        <v>2636</v>
      </c>
      <c r="E2" s="2189" t="s">
        <v>27</v>
      </c>
      <c r="F2" s="2188" t="s">
        <v>2637</v>
      </c>
      <c r="G2" s="2190" t="str">
        <f>IF(E2="商业",项目基本情况!B37,IF(E2="办公",项目基本情况!C37,IF(E2="住宅",项目基本情况!D37,项目基本情况!E37)))</f>
        <v>二级</v>
      </c>
      <c r="H2" s="2188" t="s">
        <v>2638</v>
      </c>
      <c r="I2" s="2190" t="str">
        <f>IF(E2="商业",项目基本情况!B38,IF(E2="办公",项目基本情况!C38,IF(E2="住宅",项目基本情况!D38,项目基本情况!E38)))</f>
        <v>Ⅱ—03</v>
      </c>
      <c r="J2" s="2191"/>
      <c r="K2" s="1280"/>
      <c r="L2" s="2192" t="s">
        <v>2639</v>
      </c>
      <c r="M2" s="995">
        <f>SUMPRODUCT((区片价!B10:B28=I2)*(区片价!C3:F3=E2)*(区片价!C10:F28))</f>
        <v>23180</v>
      </c>
      <c r="N2" s="997">
        <f>SUMPRODUCT((因素修正幅度!B10:B28=I2)*(因素修正幅度!C3:F3=E2)*(因素修正幅度!C10:F28))</f>
        <v>7.0999999999999994E-2</v>
      </c>
      <c r="O2" s="1280"/>
      <c r="P2" s="1280"/>
      <c r="Q2" s="1280"/>
      <c r="R2" s="1374">
        <v>1</v>
      </c>
      <c r="S2" s="1374">
        <f>ROUND(IF(G3&gt;1,IF(R2&lt;7,SUMPRODUCT((B93:B98=R2)*(C92:N92=G2)*(C93:N98)),SUMIF(C92:N92,G2,C100:N100)),IF(R2&lt;7,SUMPRODUCT((B102:B107=R2)*(C92:N92=G2)*(C102:N107)),SUMIF(C92:N92,G2,C109:N109))),4)</f>
        <v>1.9361999999999999</v>
      </c>
      <c r="T2" s="1374">
        <f ca="1">ROUND($C$5*$C$18*$C$19*$C$20*S2*$C$24,0)</f>
        <v>51877</v>
      </c>
      <c r="U2" s="1375"/>
      <c r="V2" s="1374">
        <f ca="1">ROUND(T2*U2/10000,0)</f>
        <v>0</v>
      </c>
      <c r="W2" s="1378"/>
      <c r="X2" s="1378"/>
      <c r="Y2" s="1378"/>
      <c r="Z2" s="1378"/>
      <c r="AA2" s="1378"/>
      <c r="AB2" s="1378"/>
      <c r="AC2" s="1379"/>
      <c r="AD2" s="1380"/>
      <c r="AE2" s="1380"/>
      <c r="AF2" s="1380"/>
      <c r="AG2" s="1380"/>
      <c r="AH2" s="1380"/>
      <c r="AI2" s="1380"/>
      <c r="AJ2" s="1381"/>
    </row>
    <row r="3" spans="1:36" ht="25.5">
      <c r="A3" s="209" t="s">
        <v>2640</v>
      </c>
      <c r="B3" s="210">
        <f ca="1">ROUND(B2*10000/D1,0)</f>
        <v>22573</v>
      </c>
      <c r="C3" s="2187" t="s">
        <v>2641</v>
      </c>
      <c r="D3" s="2188" t="s">
        <v>2642</v>
      </c>
      <c r="E3" s="2193" t="s">
        <v>3087</v>
      </c>
      <c r="F3" s="2194" t="s">
        <v>2643</v>
      </c>
      <c r="G3" s="855">
        <f>IF(F3="宗地容积率",'数据-汇总表'!I4,IF(F3="估价对象容积率",'数据-汇总表'!I6,'数据-汇总表'!I7))</f>
        <v>8.92</v>
      </c>
      <c r="H3" s="175" t="s">
        <v>2644</v>
      </c>
      <c r="I3" s="881"/>
      <c r="J3" s="2191" t="s">
        <v>2645</v>
      </c>
      <c r="K3" s="1280"/>
      <c r="L3" s="2192" t="s">
        <v>2646</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1.4198</v>
      </c>
      <c r="T3" s="1374">
        <f t="shared" ref="T3:T16" ca="1" si="0">ROUND($C$5*$C$18*$C$19*$C$20*S3*$C$24,0)</f>
        <v>38041</v>
      </c>
      <c r="U3" s="1375"/>
      <c r="V3" s="1374">
        <f t="shared" ref="V3:V16" ca="1" si="1">ROUND(T3*U3/10000,0)</f>
        <v>0</v>
      </c>
      <c r="W3" s="1378"/>
      <c r="X3" s="1378"/>
      <c r="Y3" s="1378"/>
      <c r="Z3" s="1378"/>
      <c r="AA3" s="1378"/>
      <c r="AB3" s="1378"/>
      <c r="AC3" s="1379"/>
      <c r="AD3" s="1380"/>
      <c r="AE3" s="1380"/>
      <c r="AF3" s="1380"/>
      <c r="AG3" s="1380"/>
      <c r="AH3" s="1380"/>
      <c r="AI3" s="1380"/>
      <c r="AJ3" s="1381"/>
    </row>
    <row r="4" spans="1:36" ht="15.75">
      <c r="A4" s="3356"/>
      <c r="B4" s="3357"/>
      <c r="C4" s="3357"/>
      <c r="D4" s="3358"/>
      <c r="E4" s="3358"/>
      <c r="F4" s="3358"/>
      <c r="G4" s="3358"/>
      <c r="H4" s="3358"/>
      <c r="I4" s="3358"/>
      <c r="J4" s="3359"/>
      <c r="K4" s="1280"/>
      <c r="L4" s="2192" t="s">
        <v>2647</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1.1594</v>
      </c>
      <c r="T4" s="1374">
        <f t="shared" ca="1" si="0"/>
        <v>31064</v>
      </c>
      <c r="U4" s="1375"/>
      <c r="V4" s="1374">
        <f t="shared" ca="1" si="1"/>
        <v>0</v>
      </c>
      <c r="W4" s="1378"/>
      <c r="X4" s="1378"/>
      <c r="Y4" s="1378"/>
      <c r="Z4" s="1378"/>
      <c r="AA4" s="1378"/>
      <c r="AB4" s="1378"/>
      <c r="AC4" s="1379"/>
      <c r="AD4" s="1380"/>
      <c r="AE4" s="1380"/>
      <c r="AF4" s="1380"/>
      <c r="AG4" s="1380"/>
      <c r="AH4" s="1380"/>
      <c r="AI4" s="1380"/>
      <c r="AJ4" s="1381"/>
    </row>
    <row r="5" spans="1:36" s="2204" customFormat="1" ht="15.75" thickBot="1">
      <c r="A5" s="2195" t="s">
        <v>807</v>
      </c>
      <c r="B5" s="2196" t="s">
        <v>2648</v>
      </c>
      <c r="C5" s="856">
        <f>ROUND(IF(E2="商业",C6*C7+C16,(IF(E2="住宅",C6*C12+C16,C6+C16))),0)</f>
        <v>23166</v>
      </c>
      <c r="D5" s="1525">
        <f>ROUND(C6+C16,0)</f>
        <v>23166</v>
      </c>
      <c r="E5" s="1525"/>
      <c r="F5" s="2197"/>
      <c r="G5" s="2198"/>
      <c r="H5" s="2198"/>
      <c r="I5" s="2198"/>
      <c r="J5" s="2199"/>
      <c r="K5" s="2200"/>
      <c r="L5" s="2192" t="s">
        <v>2649</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0.96220000000000006</v>
      </c>
      <c r="T5" s="1374">
        <f t="shared" ca="1" si="0"/>
        <v>25780</v>
      </c>
      <c r="U5" s="1375"/>
      <c r="V5" s="1374">
        <f t="shared" ca="1" si="1"/>
        <v>0</v>
      </c>
      <c r="W5" s="1378"/>
      <c r="X5" s="1378"/>
      <c r="Y5" s="1378"/>
      <c r="Z5" s="1378"/>
      <c r="AA5" s="1378"/>
      <c r="AB5" s="1378"/>
      <c r="AC5" s="2201"/>
      <c r="AD5" s="2202"/>
      <c r="AE5" s="2202"/>
      <c r="AF5" s="2202"/>
      <c r="AG5" s="2202"/>
      <c r="AH5" s="2202"/>
      <c r="AI5" s="2202"/>
      <c r="AJ5" s="2203"/>
    </row>
    <row r="6" spans="1:36" ht="15.75" thickBot="1">
      <c r="A6" s="2205" t="s">
        <v>2650</v>
      </c>
      <c r="B6" s="2206" t="s">
        <v>2651</v>
      </c>
      <c r="C6" s="857">
        <f>SUMIF(L1:L12,G2,M1:M12)</f>
        <v>23180</v>
      </c>
      <c r="D6" s="2207" t="s">
        <v>2652</v>
      </c>
      <c r="E6" s="2208"/>
      <c r="F6" s="2208"/>
      <c r="G6" s="2209"/>
      <c r="H6" s="2209"/>
      <c r="I6" s="2209"/>
      <c r="J6" s="2210"/>
      <c r="K6" s="1570"/>
      <c r="L6" s="2192" t="s">
        <v>2653</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0.8417</v>
      </c>
      <c r="T6" s="1374">
        <f t="shared" ca="1" si="0"/>
        <v>22552</v>
      </c>
      <c r="U6" s="1375"/>
      <c r="V6" s="1374">
        <f t="shared" ca="1" si="1"/>
        <v>0</v>
      </c>
      <c r="W6" s="1378"/>
      <c r="X6" s="1378"/>
      <c r="Y6" s="1378"/>
      <c r="Z6" s="1378"/>
      <c r="AA6" s="1378"/>
      <c r="AB6" s="1378"/>
      <c r="AC6" s="2201"/>
      <c r="AD6" s="2202"/>
      <c r="AE6" s="2202"/>
      <c r="AF6" s="2202"/>
      <c r="AG6" s="2202"/>
      <c r="AH6" s="2202"/>
      <c r="AI6" s="2202"/>
      <c r="AJ6" s="2203"/>
    </row>
    <row r="7" spans="1:36" ht="24">
      <c r="A7" s="3337" t="str">
        <f>IF(E2="商业",IF(C8="不临58条商业街","",2),"")</f>
        <v/>
      </c>
      <c r="B7" s="2211" t="s">
        <v>2654</v>
      </c>
      <c r="C7" s="858" t="e">
        <f>IF(C8="不临58条商业街",1,ROUND(1+(1.6*E8+1.2*E9+0.8*E10+0.4*E11)*C9,4))</f>
        <v>#DIV/0!</v>
      </c>
      <c r="D7" s="2212" t="s">
        <v>2655</v>
      </c>
      <c r="E7" s="882"/>
      <c r="F7" s="2213"/>
      <c r="G7" s="2214"/>
      <c r="H7" s="2214"/>
      <c r="I7" s="2214"/>
      <c r="J7" s="2215"/>
      <c r="K7" s="1570"/>
      <c r="L7" s="2192" t="s">
        <v>2656</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0.76080000000000003</v>
      </c>
      <c r="T7" s="1374">
        <f t="shared" ca="1" si="0"/>
        <v>20384</v>
      </c>
      <c r="U7" s="1375"/>
      <c r="V7" s="1374">
        <f t="shared" ca="1" si="1"/>
        <v>0</v>
      </c>
      <c r="W7" s="1544" t="s">
        <v>2657</v>
      </c>
      <c r="X7" s="1376" t="str">
        <f>G2</f>
        <v>二级</v>
      </c>
      <c r="Y7" s="1376" t="s">
        <v>2658</v>
      </c>
      <c r="Z7" s="1377">
        <f>G3</f>
        <v>8.92</v>
      </c>
      <c r="AA7" s="1378"/>
      <c r="AB7" s="1378"/>
      <c r="AC7" s="1379"/>
      <c r="AD7" s="1380"/>
      <c r="AE7" s="1380"/>
      <c r="AF7" s="1380"/>
      <c r="AG7" s="1380"/>
      <c r="AH7" s="1380"/>
      <c r="AI7" s="1380"/>
      <c r="AJ7" s="1381"/>
    </row>
    <row r="8" spans="1:36" ht="15">
      <c r="A8" s="3360"/>
      <c r="B8" s="175" t="s">
        <v>2659</v>
      </c>
      <c r="C8" s="2216"/>
      <c r="D8" s="859" t="s">
        <v>139</v>
      </c>
      <c r="E8" s="860" t="e">
        <f>ROUND(C11/E7,4)</f>
        <v>#DIV/0!</v>
      </c>
      <c r="F8" s="2217" t="s">
        <v>2660</v>
      </c>
      <c r="G8" s="2218"/>
      <c r="H8" s="2218"/>
      <c r="I8" s="2218"/>
      <c r="J8" s="2219"/>
      <c r="K8" s="1280"/>
      <c r="L8" s="2192" t="s">
        <v>2661</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353" t="s">
        <v>2662</v>
      </c>
      <c r="X8" s="3354"/>
      <c r="Y8" s="1382" t="s">
        <v>2663</v>
      </c>
      <c r="Z8" s="1382" t="s">
        <v>2664</v>
      </c>
      <c r="AA8" s="1382" t="s">
        <v>2665</v>
      </c>
      <c r="AB8" s="1382" t="s">
        <v>2666</v>
      </c>
      <c r="AC8" s="1382" t="s">
        <v>2667</v>
      </c>
      <c r="AD8" s="1382" t="s">
        <v>2668</v>
      </c>
      <c r="AE8" s="1382" t="s">
        <v>2669</v>
      </c>
      <c r="AF8" s="1382" t="s">
        <v>2670</v>
      </c>
      <c r="AG8" s="1382" t="s">
        <v>2671</v>
      </c>
      <c r="AH8" s="1382" t="s">
        <v>2672</v>
      </c>
      <c r="AI8" s="1382" t="s">
        <v>2673</v>
      </c>
      <c r="AJ8" s="1382" t="s">
        <v>2674</v>
      </c>
    </row>
    <row r="9" spans="1:36" ht="15">
      <c r="A9" s="3360"/>
      <c r="B9" s="175" t="s">
        <v>2675</v>
      </c>
      <c r="C9" s="861">
        <f>SUMIF(修正!C59:C119,C8,修正!E59:E119)</f>
        <v>0</v>
      </c>
      <c r="D9" s="176" t="s">
        <v>140</v>
      </c>
      <c r="E9" s="176" t="e">
        <f>ROUND(C11/E7,4)</f>
        <v>#DIV/0!</v>
      </c>
      <c r="F9" s="2217" t="s">
        <v>2676</v>
      </c>
      <c r="G9" s="2218"/>
      <c r="H9" s="2218"/>
      <c r="I9" s="2218"/>
      <c r="J9" s="2219"/>
      <c r="K9" s="1280"/>
      <c r="L9" s="2192" t="s">
        <v>2677</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ca="1" si="0"/>
        <v>0</v>
      </c>
      <c r="U9" s="1375"/>
      <c r="V9" s="1374">
        <f t="shared" ca="1" si="1"/>
        <v>0</v>
      </c>
      <c r="W9" s="3355" t="s">
        <v>2678</v>
      </c>
      <c r="X9" s="1383" t="s">
        <v>2679</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60"/>
      <c r="B10" s="175" t="s">
        <v>2680</v>
      </c>
      <c r="C10" s="176">
        <f>SUMIF(修正!C59:C119,C8,修正!F59:F119)</f>
        <v>0</v>
      </c>
      <c r="D10" s="176" t="s">
        <v>141</v>
      </c>
      <c r="E10" s="176" t="e">
        <f>ROUND(C11/E7,4)</f>
        <v>#DIV/0!</v>
      </c>
      <c r="F10" s="2217" t="s">
        <v>2681</v>
      </c>
      <c r="G10" s="2218"/>
      <c r="H10" s="2218"/>
      <c r="I10" s="2218"/>
      <c r="J10" s="2219"/>
      <c r="K10" s="1280"/>
      <c r="L10" s="2192" t="s">
        <v>2682</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355"/>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360"/>
      <c r="B11" s="2220" t="s">
        <v>2683</v>
      </c>
      <c r="C11" s="862">
        <f>C10/4</f>
        <v>0</v>
      </c>
      <c r="D11" s="862" t="s">
        <v>142</v>
      </c>
      <c r="E11" s="862" t="e">
        <f>ROUND(C11/E7,4)</f>
        <v>#DIV/0!</v>
      </c>
      <c r="F11" s="2221" t="s">
        <v>2684</v>
      </c>
      <c r="G11" s="2222"/>
      <c r="H11" s="2222"/>
      <c r="I11" s="2222"/>
      <c r="J11" s="2223"/>
      <c r="K11" s="1280"/>
      <c r="L11" s="2192" t="s">
        <v>2685</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355" t="s">
        <v>2686</v>
      </c>
      <c r="X11" s="1386" t="s">
        <v>2687</v>
      </c>
      <c r="Y11" s="1387">
        <f>$G$3</f>
        <v>8.92</v>
      </c>
      <c r="Z11" s="1387">
        <f t="shared" ref="Z11:AJ11" si="3">$G$3</f>
        <v>8.92</v>
      </c>
      <c r="AA11" s="1387">
        <f t="shared" si="3"/>
        <v>8.92</v>
      </c>
      <c r="AB11" s="1387">
        <f t="shared" si="3"/>
        <v>8.92</v>
      </c>
      <c r="AC11" s="1387">
        <f t="shared" si="3"/>
        <v>8.92</v>
      </c>
      <c r="AD11" s="1387">
        <f t="shared" si="3"/>
        <v>8.92</v>
      </c>
      <c r="AE11" s="1387">
        <f t="shared" si="3"/>
        <v>8.92</v>
      </c>
      <c r="AF11" s="1387">
        <f t="shared" si="3"/>
        <v>8.92</v>
      </c>
      <c r="AG11" s="1387">
        <f t="shared" si="3"/>
        <v>8.92</v>
      </c>
      <c r="AH11" s="1387">
        <f t="shared" si="3"/>
        <v>8.92</v>
      </c>
      <c r="AI11" s="1387">
        <f t="shared" si="3"/>
        <v>8.92</v>
      </c>
      <c r="AJ11" s="1387">
        <f t="shared" si="3"/>
        <v>8.92</v>
      </c>
    </row>
    <row r="12" spans="1:36" ht="25.5" thickBot="1">
      <c r="A12" s="3337" t="s">
        <v>2688</v>
      </c>
      <c r="B12" s="2224" t="s">
        <v>2689</v>
      </c>
      <c r="C12" s="858">
        <f>ROUND(C15*D15*E15*F15*G15*H15*I15*J15,4)</f>
        <v>1</v>
      </c>
      <c r="D12" s="2225" t="s">
        <v>2690</v>
      </c>
      <c r="E12" s="2226"/>
      <c r="F12" s="2226"/>
      <c r="G12" s="2227"/>
      <c r="H12" s="2227"/>
      <c r="I12" s="2227"/>
      <c r="J12" s="2228"/>
      <c r="K12" s="1280"/>
      <c r="L12" s="2229" t="s">
        <v>2691</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355"/>
      <c r="X12" s="1388" t="s">
        <v>2692</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61"/>
      <c r="B13" s="2230" t="s">
        <v>2693</v>
      </c>
      <c r="C13" s="2231" t="s">
        <v>2694</v>
      </c>
      <c r="D13" s="1536" t="s">
        <v>2695</v>
      </c>
      <c r="E13" s="1536" t="s">
        <v>2696</v>
      </c>
      <c r="F13" s="30" t="s">
        <v>2697</v>
      </c>
      <c r="G13" s="2232" t="s">
        <v>2698</v>
      </c>
      <c r="H13" s="2232" t="s">
        <v>2698</v>
      </c>
      <c r="I13" s="2232" t="s">
        <v>2698</v>
      </c>
      <c r="J13" s="2233" t="s">
        <v>2698</v>
      </c>
      <c r="K13" s="1280"/>
      <c r="L13" s="1280"/>
      <c r="M13" s="1280"/>
      <c r="N13" s="1280"/>
      <c r="O13" s="1280"/>
      <c r="P13" s="1280"/>
      <c r="Q13" s="1280"/>
      <c r="R13" s="1374">
        <v>12</v>
      </c>
      <c r="S13" s="1375"/>
      <c r="T13" s="1374">
        <f t="shared" ca="1" si="0"/>
        <v>0</v>
      </c>
      <c r="U13" s="1375"/>
      <c r="V13" s="1374">
        <f t="shared" ca="1" si="1"/>
        <v>0</v>
      </c>
      <c r="W13" s="3355"/>
      <c r="X13" s="1388"/>
      <c r="Y13" s="1385">
        <f>(-0.163*(Y12^2)-0.59*Y12+7617)*(10^(-4))/Y11</f>
        <v>8.5392376681614354E-2</v>
      </c>
      <c r="Z13" s="1385">
        <f t="shared" ref="Z13:AJ13" si="5">(-0.163*(Z12^2)-0.59*Z12+7617)*(10^(-4))/Z11</f>
        <v>8.5392376681614354E-2</v>
      </c>
      <c r="AA13" s="1385">
        <f t="shared" si="5"/>
        <v>8.5392376681614354E-2</v>
      </c>
      <c r="AB13" s="1385">
        <f t="shared" si="5"/>
        <v>8.5392376681614354E-2</v>
      </c>
      <c r="AC13" s="1385">
        <f t="shared" si="5"/>
        <v>8.5392376681614354E-2</v>
      </c>
      <c r="AD13" s="1385">
        <f t="shared" si="5"/>
        <v>8.5392376681614354E-2</v>
      </c>
      <c r="AE13" s="1385">
        <f t="shared" si="5"/>
        <v>8.5392376681614354E-2</v>
      </c>
      <c r="AF13" s="1385">
        <f t="shared" si="5"/>
        <v>8.5392376681614354E-2</v>
      </c>
      <c r="AG13" s="1385">
        <f t="shared" si="5"/>
        <v>8.5392376681614354E-2</v>
      </c>
      <c r="AH13" s="1385">
        <f t="shared" si="5"/>
        <v>8.5392376681614354E-2</v>
      </c>
      <c r="AI13" s="1385">
        <f t="shared" si="5"/>
        <v>8.5392376681614354E-2</v>
      </c>
      <c r="AJ13" s="1385">
        <f t="shared" si="5"/>
        <v>8.5392376681614354E-2</v>
      </c>
    </row>
    <row r="14" spans="1:36" ht="15">
      <c r="A14" s="3361"/>
      <c r="B14" s="2234"/>
      <c r="C14" s="2235"/>
      <c r="D14" s="2236"/>
      <c r="E14" s="2236"/>
      <c r="F14" s="2237"/>
      <c r="G14" s="2238" t="s">
        <v>2699</v>
      </c>
      <c r="H14" s="2239"/>
      <c r="I14" s="2240"/>
      <c r="J14" s="2241"/>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2"/>
      <c r="AE14" s="3022"/>
      <c r="AF14" s="3022"/>
      <c r="AG14" s="3022"/>
      <c r="AH14" s="3022"/>
      <c r="AI14" s="3022"/>
      <c r="AJ14" s="3023"/>
    </row>
    <row r="15" spans="1:36" ht="15.75" thickBot="1">
      <c r="A15" s="3362"/>
      <c r="B15" s="2242" t="s">
        <v>2700</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f t="shared" ca="1" si="0"/>
        <v>0</v>
      </c>
      <c r="U15" s="1375"/>
      <c r="V15" s="1374">
        <f t="shared" ca="1" si="1"/>
        <v>0</v>
      </c>
      <c r="W15" s="1378"/>
      <c r="X15" s="1378"/>
      <c r="Y15" s="1378"/>
      <c r="Z15" s="1378"/>
      <c r="AA15" s="1378"/>
      <c r="AB15" s="1378"/>
      <c r="AC15" s="1379"/>
      <c r="AD15" s="3022"/>
      <c r="AE15" s="3022"/>
      <c r="AF15" s="3022"/>
      <c r="AG15" s="3022"/>
      <c r="AH15" s="3022"/>
      <c r="AI15" s="3022"/>
      <c r="AJ15" s="3023"/>
    </row>
    <row r="16" spans="1:36" ht="24.6" customHeight="1">
      <c r="A16" s="3337" t="s">
        <v>2705</v>
      </c>
      <c r="B16" s="2211" t="s">
        <v>2706</v>
      </c>
      <c r="C16" s="2373">
        <f>ROUND(IF(F17="与级别开发程度一致",0,(G17-E17)/C17),0)</f>
        <v>-14</v>
      </c>
      <c r="D16" s="3350" t="s">
        <v>2710</v>
      </c>
      <c r="E16" s="3351"/>
      <c r="F16" s="3350" t="s">
        <v>2707</v>
      </c>
      <c r="G16" s="3351"/>
      <c r="H16" s="2243" t="s">
        <v>3072</v>
      </c>
      <c r="I16" s="2243" t="s">
        <v>3074</v>
      </c>
      <c r="J16" s="2377" t="s">
        <v>3073</v>
      </c>
      <c r="K16" s="2243" t="s">
        <v>3075</v>
      </c>
      <c r="L16" s="2243" t="s">
        <v>3076</v>
      </c>
      <c r="M16" s="2243" t="s">
        <v>3077</v>
      </c>
      <c r="N16" s="2243" t="s">
        <v>3089</v>
      </c>
      <c r="O16" s="2244"/>
      <c r="P16" s="2185"/>
      <c r="Q16" s="1280"/>
      <c r="R16" s="1374">
        <v>15</v>
      </c>
      <c r="S16" s="1375"/>
      <c r="T16" s="1374">
        <f t="shared" ca="1" si="0"/>
        <v>0</v>
      </c>
      <c r="U16" s="1375"/>
      <c r="V16" s="1374">
        <f t="shared" ca="1" si="1"/>
        <v>0</v>
      </c>
      <c r="W16" s="1378"/>
      <c r="X16" s="1378"/>
      <c r="Y16" s="1378"/>
      <c r="Z16" s="1378"/>
      <c r="AA16" s="1378"/>
      <c r="AB16" s="1378"/>
      <c r="AC16" s="1379"/>
      <c r="AD16" s="3022"/>
      <c r="AE16" s="3022"/>
      <c r="AF16" s="3022"/>
      <c r="AG16" s="3022"/>
      <c r="AH16" s="3022"/>
      <c r="AI16" s="3022"/>
      <c r="AJ16" s="3023"/>
    </row>
    <row r="17" spans="1:37" ht="26.25" thickBot="1">
      <c r="A17" s="3338"/>
      <c r="B17" s="2384" t="s">
        <v>2709</v>
      </c>
      <c r="C17" s="2385">
        <f>SUMPRODUCT((修正!A2:A5=E2)*(修正!B1:M1=G2)*(修正!B2:M5))</f>
        <v>3.5</v>
      </c>
      <c r="D17" s="193" t="str">
        <f>IF(OR(G2="八级",G2="九级",G2="十级",G2="十一级",G2="十二级"),"五通一平","七通一平")</f>
        <v>七通一平</v>
      </c>
      <c r="E17" s="2374">
        <f>SUMPRODUCT((修正!B1:M1=G2)*(修正!B15:M15))</f>
        <v>375</v>
      </c>
      <c r="F17" s="2375" t="s">
        <v>3088</v>
      </c>
      <c r="G17" s="2376">
        <f>SUM(H17:O17)</f>
        <v>325</v>
      </c>
      <c r="H17" s="2385">
        <f>SUMPRODUCT((七通一平=H16)*(修正!B1:M1=G2)*(修正!B6:M14))</f>
        <v>80</v>
      </c>
      <c r="I17" s="2385">
        <f>SUMPRODUCT((七通一平=I16)*(修正!B1:M1=G2)*(修正!B6:M14))</f>
        <v>70</v>
      </c>
      <c r="J17" s="2386">
        <f>SUMPRODUCT((七通一平=J16)*(修正!B1:M1=G2)*(修正!B6:M14))</f>
        <v>20</v>
      </c>
      <c r="K17" s="2385">
        <f>SUMPRODUCT((七通一平=K16)*(修正!B1:M1=G2)*(修正!B6:M14))</f>
        <v>30</v>
      </c>
      <c r="L17" s="2385">
        <f>SUMPRODUCT((七通一平=L16)*(修正!B1:M1=G2)*(修正!B6:M14))</f>
        <v>45</v>
      </c>
      <c r="M17" s="2385">
        <f>SUMPRODUCT((七通一平=M16)*(修正!B1:M1=G2)*(修正!B6:M14))</f>
        <v>60</v>
      </c>
      <c r="N17" s="2385">
        <f>SUMPRODUCT((七通一平=N16)*(修正!B1:M1=G2)*(修正!B6:M14))</f>
        <v>20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75" thickBot="1">
      <c r="A18" s="2378" t="s">
        <v>808</v>
      </c>
      <c r="B18" s="2379" t="s">
        <v>2712</v>
      </c>
      <c r="C18" s="2380">
        <f>SUMIF(修正!C18:C39,E3,修正!E18:E39)</f>
        <v>1</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9.25" thickBot="1">
      <c r="A19" s="2248" t="s">
        <v>809</v>
      </c>
      <c r="B19" s="2249" t="s">
        <v>2713</v>
      </c>
      <c r="C19" s="863">
        <f>ROUND(IF(H19="按公示增长率计算",SUMPRODUCT((地价!A3:A31=YEAR(G19)&amp;"-"&amp;ROUNDUP(MONTH(G19)/3,0))*(地价!X2:AB2=E2)*(地价!X3:AB31)),IF(H19="地价指数",M20/M19,(1+I19)^O19)),4)</f>
        <v>1.3472</v>
      </c>
      <c r="D19" s="2253" t="s">
        <v>2714</v>
      </c>
      <c r="E19" s="864">
        <v>41640</v>
      </c>
      <c r="F19" s="2253" t="s">
        <v>2715</v>
      </c>
      <c r="G19" s="865">
        <f>'数据-取费表'!B2</f>
        <v>44076</v>
      </c>
      <c r="H19" s="2254" t="s">
        <v>3090</v>
      </c>
      <c r="I19" s="866" t="str">
        <f>IF(H19="季度增幅（自定义）",SUMIF(N21:N24,E2,O21:O24),"")</f>
        <v/>
      </c>
      <c r="J19" s="2251"/>
      <c r="K19" s="1287"/>
      <c r="L19" s="2255" t="s">
        <v>2716</v>
      </c>
      <c r="M19" s="1498">
        <f>ROUND(SUMIF(地价!B2:F2,E2,地价!B31:F31),0)</f>
        <v>258</v>
      </c>
      <c r="N19" s="2256" t="s">
        <v>2717</v>
      </c>
      <c r="O19" s="867">
        <f>ROUNDDOWN(DATEDIF(E19,G19,"M")/3,0)</f>
        <v>26</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7.75" thickBot="1">
      <c r="A20" s="2258" t="s">
        <v>810</v>
      </c>
      <c r="B20" s="2259" t="s">
        <v>2718</v>
      </c>
      <c r="C20" s="868">
        <f ca="1">ROUND(POWER(1+G20,J20-I20)*(POWER(1+G20,I20)-1)/(POWER(1+G20,J20)-1),4)</f>
        <v>0.85850000000000004</v>
      </c>
      <c r="D20" s="2260" t="s">
        <v>2719</v>
      </c>
      <c r="E20" s="1507">
        <f ca="1">存贷款利率!D4/100</f>
        <v>4.3499999999999997E-2</v>
      </c>
      <c r="F20" s="2260" t="s">
        <v>2711</v>
      </c>
      <c r="G20" s="873">
        <f ca="1">SUMIF(M26:P26,E2,M28:P28)</f>
        <v>5.1999999999999998E-2</v>
      </c>
      <c r="H20" s="2260" t="s">
        <v>2720</v>
      </c>
      <c r="I20" s="874">
        <f>SUMIF('数据-取费表'!C6:C15,E2,'数据-取费表'!F6:F15)/COUNTIF('数据-取费表'!C6:C15,E2)</f>
        <v>30.83</v>
      </c>
      <c r="J20" s="875">
        <f>IF(E2="住宅",70,IF(E2="商业",40,50))</f>
        <v>50</v>
      </c>
      <c r="K20" s="1287"/>
      <c r="L20" s="2261" t="s">
        <v>2721</v>
      </c>
      <c r="M20" s="1499">
        <f>ROUND(SUMPRODUCT((地价!A4:A31=YEAR(G19)&amp;"-"&amp;ROUNDUP(MONTH(G19)/3,0))*(地价!B2:F2=E2)*(地价!B4:F31)),0)</f>
        <v>347</v>
      </c>
      <c r="N20" s="2262" t="s">
        <v>2722</v>
      </c>
      <c r="O20" s="2263" t="s">
        <v>2723</v>
      </c>
      <c r="P20" s="2264" t="s">
        <v>2724</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5">
      <c r="A21" s="2265" t="s">
        <v>811</v>
      </c>
      <c r="B21" s="2266" t="s">
        <v>3091</v>
      </c>
      <c r="C21" s="876">
        <f>IF(B21="容积率修正",IF(G3&lt;=10,D22,J22),C23)</f>
        <v>0.84250000000000003</v>
      </c>
      <c r="D21" s="2267"/>
      <c r="E21" s="2267"/>
      <c r="F21" s="2267"/>
      <c r="G21" s="2267"/>
      <c r="H21" s="2267"/>
      <c r="I21" s="2267"/>
      <c r="J21" s="2268"/>
      <c r="K21" s="1287"/>
      <c r="L21" s="3021"/>
      <c r="M21" s="3021"/>
      <c r="N21" s="2269" t="s">
        <v>2725</v>
      </c>
      <c r="O21" s="1335"/>
      <c r="P21" s="1336">
        <f>SUMPRODUCT((地价!A3:A31=YEAR(G19)&amp;"-"&amp;ROUNDUP(MONTH(G19)/3,0))*(地价!AD2:AH2=N21)*(地价!AD3:AH31))</f>
        <v>1.2E-2</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25">
      <c r="A22" s="2143" t="s">
        <v>2726</v>
      </c>
      <c r="B22" s="2270" t="s">
        <v>2727</v>
      </c>
      <c r="C22" s="1538" t="s">
        <v>2728</v>
      </c>
      <c r="D22" s="1538">
        <f>IF(E22=G22,F22,IF(G3&lt;=10,ROUND(F22+(H22-F22)*(G3-E22)/(G22-E22),4),"——"))</f>
        <v>0.84250000000000003</v>
      </c>
      <c r="E22" s="855">
        <f>ROUNDDOWN(G3,1)</f>
        <v>8.9</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855">
        <f>ROUNDUP(G3,1)</f>
        <v>9</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538" t="s">
        <v>155</v>
      </c>
      <c r="J22" s="877" t="str">
        <f>IF(G3&gt;10,D113,"——")</f>
        <v>——</v>
      </c>
      <c r="K22" s="1287"/>
      <c r="L22" s="3021"/>
      <c r="M22" s="3021"/>
      <c r="N22" s="2269" t="s">
        <v>2729</v>
      </c>
      <c r="O22" s="1335"/>
      <c r="P22" s="1336">
        <f>SUMPRODUCT((地价!A3:A31=YEAR(G19)&amp;"-"&amp;ROUNDUP(MONTH(G19)/3,0))*(地价!AD2:AH2=N22)*(地价!AD3:AH31))</f>
        <v>1.2E-2</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27.75" thickBot="1">
      <c r="A23" s="2143" t="s">
        <v>2730</v>
      </c>
      <c r="B23" s="2271" t="s">
        <v>2731</v>
      </c>
      <c r="C23" s="950">
        <f>ROUND(IF(G3&gt;1,IF(I3&lt;7,SUMPRODUCT((B93:B98=I3)*(C92:N92=G2)*(C93:N98)),SUMIF(C92:N92,G2,C100:N100)),IF(I3&lt;7,SUMPRODUCT((B102:B107=I3)*(C92:N92=G2)*(C102:N107)),SUMIF(C92:N92,G2,C109:N109))),4)</f>
        <v>0</v>
      </c>
      <c r="D23" s="2239"/>
      <c r="E23" s="2239"/>
      <c r="F23" s="2272"/>
      <c r="G23" s="2273"/>
      <c r="H23" s="2274"/>
      <c r="I23" s="2275"/>
      <c r="J23" s="2276"/>
      <c r="K23" s="1280"/>
      <c r="L23" s="2185"/>
      <c r="M23" s="2185"/>
      <c r="N23" s="2269" t="s">
        <v>2732</v>
      </c>
      <c r="O23" s="1335"/>
      <c r="P23" s="1336">
        <f>SUMPRODUCT((地价!A3:A31=YEAR(G19)&amp;"-"&amp;ROUNDUP(MONTH(G19)/3,0))*(地价!AD2:AH2=N23)*(地价!AD3:AH31))</f>
        <v>1.9699999999999999E-2</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75" thickBot="1">
      <c r="A24" s="2258" t="s">
        <v>812</v>
      </c>
      <c r="B24" s="2249" t="s">
        <v>2733</v>
      </c>
      <c r="C24" s="863">
        <f>SUMIF(A45:A88,E2,B45:B88)</f>
        <v>1</v>
      </c>
      <c r="D24" s="2250"/>
      <c r="E24" s="2277"/>
      <c r="F24" s="2277"/>
      <c r="G24" s="2277"/>
      <c r="H24" s="2277"/>
      <c r="I24" s="2277"/>
      <c r="J24" s="2278"/>
      <c r="K24" s="1287"/>
      <c r="L24" s="3021"/>
      <c r="M24" s="3021"/>
      <c r="N24" s="2279" t="s">
        <v>2734</v>
      </c>
      <c r="O24" s="1337"/>
      <c r="P24" s="1338">
        <f>SUMPRODUCT((地价!A3:A31=YEAR(G19)&amp;"-"&amp;ROUNDUP(MONTH(G19)/3,0))*(地价!AD2:AH2=N24)*(地价!AD3:AH31))</f>
        <v>1.2699999999999999E-2</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75" thickBot="1">
      <c r="A25" s="2258" t="s">
        <v>813</v>
      </c>
      <c r="B25" s="2280" t="s">
        <v>2735</v>
      </c>
      <c r="C25" s="869"/>
      <c r="D25" s="2214"/>
      <c r="E25" s="2214"/>
      <c r="F25" s="2281"/>
      <c r="G25" s="2214"/>
      <c r="H25" s="2214"/>
      <c r="I25" s="2214"/>
      <c r="J25" s="2215"/>
      <c r="K25" s="1280"/>
      <c r="L25" s="2185"/>
      <c r="M25" s="2185"/>
      <c r="N25" s="3016" t="s">
        <v>2736</v>
      </c>
      <c r="O25" s="3017"/>
      <c r="P25" s="3018">
        <f>SUMPRODUCT((地价!A3:A31=YEAR(G19)&amp;"-"&amp;ROUNDUP(MONTH(G19)/3,0))*(地价!AD2:AH2=N25)*(地价!AD3:AH31))</f>
        <v>1.7899999999999999E-2</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5">
      <c r="A26" s="2282"/>
      <c r="B26" s="2270" t="s">
        <v>2737</v>
      </c>
      <c r="C26" s="2544">
        <f ca="1">IF(B21="容积率修正",E29+SUM(E33:E39),SUM(V2:V16)+SUM(E33:E39))</f>
        <v>18683</v>
      </c>
      <c r="D26" s="2283"/>
      <c r="E26" s="2239"/>
      <c r="F26" s="2284"/>
      <c r="G26" s="2239"/>
      <c r="H26" s="2239"/>
      <c r="I26" s="2239"/>
      <c r="J26" s="2285"/>
      <c r="K26" s="1280"/>
      <c r="L26" s="3019" t="s">
        <v>2636</v>
      </c>
      <c r="M26" s="2212" t="s">
        <v>2701</v>
      </c>
      <c r="N26" s="2212" t="s">
        <v>2702</v>
      </c>
      <c r="O26" s="2212" t="s">
        <v>2703</v>
      </c>
      <c r="P26" s="3020" t="s">
        <v>2704</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75" thickBot="1">
      <c r="A27" s="2282"/>
      <c r="B27" s="2286" t="s">
        <v>2738</v>
      </c>
      <c r="C27" s="870">
        <f ca="1">E30+SUM(I33:I39)</f>
        <v>0</v>
      </c>
      <c r="D27" s="2287"/>
      <c r="E27" s="2288"/>
      <c r="F27" s="2289"/>
      <c r="G27" s="2288"/>
      <c r="H27" s="2288"/>
      <c r="I27" s="2288"/>
      <c r="J27" s="2290"/>
      <c r="K27" s="1280"/>
      <c r="L27" s="2245" t="s">
        <v>2708</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75" thickBot="1">
      <c r="A28" s="2291"/>
      <c r="B28" s="2292" t="s">
        <v>2739</v>
      </c>
      <c r="C28" s="2293" t="s">
        <v>2740</v>
      </c>
      <c r="D28" s="2293" t="s">
        <v>2741</v>
      </c>
      <c r="E28" s="2294" t="s">
        <v>2742</v>
      </c>
      <c r="F28" s="2295"/>
      <c r="G28" s="2227"/>
      <c r="H28" s="2227"/>
      <c r="I28" s="2227"/>
      <c r="J28" s="2228"/>
      <c r="K28" s="1280"/>
      <c r="L28" s="2246" t="s">
        <v>2711</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c r="A29" s="2296"/>
      <c r="B29" s="2297" t="s">
        <v>2743</v>
      </c>
      <c r="C29" s="180">
        <f ca="1">ROUND(C5*C18*C19*C20*C21*C24,0)</f>
        <v>22573</v>
      </c>
      <c r="D29" s="2298">
        <f>'数据-基础表'!I13</f>
        <v>8276.64</v>
      </c>
      <c r="E29" s="879">
        <f ca="1">ROUND(C29*D29/10000,0)</f>
        <v>18683</v>
      </c>
      <c r="F29" s="2299" t="s">
        <v>2744</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5.5" thickBot="1">
      <c r="A30" s="2302"/>
      <c r="B30" s="2303" t="s">
        <v>2745</v>
      </c>
      <c r="C30" s="193">
        <f ca="1">ROUND(IF(E2="工业",C29*M39,C29*M38),0)</f>
        <v>5643</v>
      </c>
      <c r="D30" s="2304"/>
      <c r="E30" s="879">
        <f ca="1">ROUND(C30*D30/10000,0)</f>
        <v>0</v>
      </c>
      <c r="F30" s="2305" t="s">
        <v>2746</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4.25">
      <c r="A31" s="2308"/>
      <c r="B31" s="2309" t="s">
        <v>2747</v>
      </c>
      <c r="C31" s="2310" t="s">
        <v>2748</v>
      </c>
      <c r="D31" s="2227"/>
      <c r="E31" s="2310"/>
      <c r="F31" s="2310"/>
      <c r="G31" s="2225" t="s">
        <v>2749</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24">
      <c r="A32" s="2296"/>
      <c r="B32" s="2312"/>
      <c r="C32" s="458" t="s">
        <v>2740</v>
      </c>
      <c r="D32" s="455" t="s">
        <v>2741</v>
      </c>
      <c r="E32" s="455" t="s">
        <v>2742</v>
      </c>
      <c r="F32" s="348" t="s">
        <v>2750</v>
      </c>
      <c r="G32" s="2313" t="s">
        <v>2740</v>
      </c>
      <c r="H32" s="2313" t="s">
        <v>2741</v>
      </c>
      <c r="I32" s="2313" t="s">
        <v>2742</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c r="A33" s="3347"/>
      <c r="B33" s="2314" t="s">
        <v>2751</v>
      </c>
      <c r="C33" s="180">
        <f ca="1">ROUND(D5*C19*C20*C24*F33,0)</f>
        <v>21435</v>
      </c>
      <c r="D33" s="2298"/>
      <c r="E33" s="176">
        <f ca="1">ROUND(C33*D33/10000,0)</f>
        <v>0</v>
      </c>
      <c r="F33" s="176">
        <f>SUMIF(修正!A45:A56,G2,修正!B45:B56)</f>
        <v>0.8</v>
      </c>
      <c r="G33" s="176">
        <f t="shared" ref="G33" ca="1" si="6">ROUND(IF(E2="工业",C33*$M$39,C33*$M$38),0)</f>
        <v>5359</v>
      </c>
      <c r="H33" s="176">
        <f>D33</f>
        <v>0</v>
      </c>
      <c r="I33" s="176">
        <f ca="1">ROUND(G33*H33/10000,0)</f>
        <v>0</v>
      </c>
      <c r="J33" s="3352" t="s">
        <v>3059</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4.25">
      <c r="A34" s="3348"/>
      <c r="B34" s="2231" t="s">
        <v>2752</v>
      </c>
      <c r="C34" s="180">
        <f ca="1">ROUND(D5*C19*C20*C24*F34,0)</f>
        <v>13397</v>
      </c>
      <c r="D34" s="2298"/>
      <c r="E34" s="176">
        <f t="shared" ref="E34:E39" ca="1" si="7">ROUND(C34*D34/10000,0)</f>
        <v>0</v>
      </c>
      <c r="F34" s="176">
        <f>SUMIF(修正!A45:A56,G2,修正!C45:C56)</f>
        <v>0.5</v>
      </c>
      <c r="G34" s="176">
        <f ca="1">ROUND(IF(E2="工业",C34*$M$39,C34*$M$38),0)</f>
        <v>3349</v>
      </c>
      <c r="H34" s="176">
        <f t="shared" ref="H34:H39" si="8">D34</f>
        <v>0</v>
      </c>
      <c r="I34" s="176">
        <f t="shared" ref="I34:I39" ca="1" si="9">ROUND(G34*H34/10000,0)</f>
        <v>0</v>
      </c>
      <c r="J34" s="3348"/>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c r="A35" s="3348"/>
      <c r="B35" s="2231" t="s">
        <v>2753</v>
      </c>
      <c r="C35" s="180">
        <f ca="1">ROUND(D5*C19*C20*C24*F35,0)</f>
        <v>9646</v>
      </c>
      <c r="D35" s="2298"/>
      <c r="E35" s="176">
        <f t="shared" ca="1" si="7"/>
        <v>0</v>
      </c>
      <c r="F35" s="176">
        <f>SUMIF(修正!A45:A56,G2,修正!D45:D56)</f>
        <v>0.36</v>
      </c>
      <c r="G35" s="176">
        <f ca="1">ROUND(IF(E2="工业",C35*$M$39,C35*$M$38),0)</f>
        <v>2412</v>
      </c>
      <c r="H35" s="176">
        <f t="shared" si="8"/>
        <v>0</v>
      </c>
      <c r="I35" s="176">
        <f t="shared" ca="1" si="9"/>
        <v>0</v>
      </c>
      <c r="J35" s="3348"/>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3.5" thickBot="1">
      <c r="A36" s="3349"/>
      <c r="B36" s="2231" t="s">
        <v>2754</v>
      </c>
      <c r="C36" s="180">
        <f ca="1">ROUND(D5*C19*C20*C24*F36,0)</f>
        <v>8038</v>
      </c>
      <c r="D36" s="2298"/>
      <c r="E36" s="176">
        <f t="shared" ca="1" si="7"/>
        <v>0</v>
      </c>
      <c r="F36" s="176">
        <f>SUMIF(修正!A45:A56,G2,修正!E45:E56)</f>
        <v>0.3</v>
      </c>
      <c r="G36" s="176">
        <f ca="1">ROUND(IF(E2="工业",C36*$M$39,C36*$M$38),0)</f>
        <v>2010</v>
      </c>
      <c r="H36" s="176">
        <f t="shared" si="8"/>
        <v>0</v>
      </c>
      <c r="I36" s="176">
        <f t="shared" ca="1" si="9"/>
        <v>0</v>
      </c>
      <c r="J36" s="3349"/>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c r="A37" s="2316"/>
      <c r="B37" s="2231" t="s">
        <v>2755</v>
      </c>
      <c r="C37" s="176">
        <f ca="1">ROUND(D5*C19*C20*C24*F37,0)</f>
        <v>8038</v>
      </c>
      <c r="D37" s="2298"/>
      <c r="E37" s="176">
        <f t="shared" ca="1" si="7"/>
        <v>0</v>
      </c>
      <c r="F37" s="180">
        <f>SUMIF(修正!A45:A56,G2,修正!F45:F56)</f>
        <v>0.3</v>
      </c>
      <c r="G37" s="176">
        <f ca="1">ROUND(IF(E2="工业",C37*$M$39,C37*$M$38),0)</f>
        <v>2010</v>
      </c>
      <c r="H37" s="176">
        <f t="shared" si="8"/>
        <v>0</v>
      </c>
      <c r="I37" s="176">
        <f t="shared" ca="1" si="9"/>
        <v>0</v>
      </c>
      <c r="J37" s="2315"/>
      <c r="K37" s="1280"/>
      <c r="L37" s="2317" t="s">
        <v>2756</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c r="A38" s="2316"/>
      <c r="B38" s="2231" t="s">
        <v>2757</v>
      </c>
      <c r="C38" s="176">
        <f ca="1">ROUND(D5*C19*C41*C24*F38,0)</f>
        <v>0</v>
      </c>
      <c r="D38" s="2298"/>
      <c r="E38" s="176">
        <f t="shared" ca="1" si="7"/>
        <v>0</v>
      </c>
      <c r="F38" s="180">
        <f>SUMIF(修正!A45:A56,G2,修正!G45:G56)</f>
        <v>0.3</v>
      </c>
      <c r="G38" s="176">
        <f ca="1">ROUND(IF(E2="工业",C38*$M$39,C38*$M$38),0)</f>
        <v>0</v>
      </c>
      <c r="H38" s="176">
        <f t="shared" si="8"/>
        <v>0</v>
      </c>
      <c r="I38" s="176">
        <f t="shared" ca="1" si="9"/>
        <v>0</v>
      </c>
      <c r="J38" s="2315"/>
      <c r="K38" s="1280"/>
      <c r="L38" s="1607" t="s">
        <v>2758</v>
      </c>
      <c r="M38" s="2319">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2"/>
      <c r="B39" s="2320" t="s">
        <v>2759</v>
      </c>
      <c r="C39" s="193">
        <f ca="1">ROUND(D5*C19*C41*C24*F39,0)</f>
        <v>0</v>
      </c>
      <c r="D39" s="2304"/>
      <c r="E39" s="193">
        <f t="shared" ca="1" si="7"/>
        <v>0</v>
      </c>
      <c r="F39" s="871">
        <f>SUMIF(修正!A45:A56,G2,修正!H45:H56)</f>
        <v>0.25</v>
      </c>
      <c r="G39" s="193">
        <f ca="1">ROUND(IF(E2="工业",C39*$M$39,C39*$M$38),0)</f>
        <v>0</v>
      </c>
      <c r="H39" s="193">
        <f t="shared" si="8"/>
        <v>0</v>
      </c>
      <c r="I39" s="193">
        <f t="shared" ca="1" si="9"/>
        <v>0</v>
      </c>
      <c r="J39" s="2321"/>
      <c r="K39" s="1280"/>
      <c r="L39" s="2322" t="s">
        <v>2704</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2" t="s">
        <v>2864</v>
      </c>
      <c r="C41" s="348">
        <f ca="1">ROUND(POWER(1+E41,H41-G41)*(POWER(1+E41,G41)-1)/(POWER(1+E41,H41)-1),4)</f>
        <v>0</v>
      </c>
      <c r="D41" s="176" t="s">
        <v>2711</v>
      </c>
      <c r="E41" s="2371">
        <f ca="1">G20</f>
        <v>5.1999999999999998E-2</v>
      </c>
      <c r="F41" s="176" t="s">
        <v>2720</v>
      </c>
      <c r="G41" s="189"/>
      <c r="H41" s="176">
        <v>50</v>
      </c>
      <c r="Z41" s="1281"/>
      <c r="AA41" s="1281"/>
      <c r="AB41" s="1281"/>
      <c r="AC41" s="1281"/>
      <c r="AD41" s="1281"/>
      <c r="AE41" s="1281"/>
      <c r="AF41" s="1281"/>
      <c r="AG41" s="1281"/>
      <c r="AH41" s="1281"/>
      <c r="AI41" s="1281"/>
      <c r="AJ41" s="1281"/>
    </row>
    <row r="42" spans="1:37" s="1280" customFormat="1">
      <c r="A42" s="1281"/>
      <c r="B42" s="2324"/>
      <c r="Z42" s="1281"/>
      <c r="AA42" s="1281"/>
      <c r="AB42" s="1281"/>
      <c r="AC42" s="1281"/>
      <c r="AD42" s="1281"/>
      <c r="AE42" s="1281"/>
      <c r="AF42" s="1281"/>
      <c r="AG42" s="1281"/>
      <c r="AH42" s="1281"/>
      <c r="AI42" s="1281"/>
      <c r="AJ42" s="1281"/>
    </row>
    <row r="43" spans="1:37" s="1280" customFormat="1">
      <c r="A43" s="1281"/>
      <c r="B43" s="2324"/>
      <c r="Z43" s="1281"/>
      <c r="AA43" s="1281"/>
      <c r="AB43" s="1281"/>
      <c r="AC43" s="1281"/>
      <c r="AD43" s="1281"/>
      <c r="AE43" s="1281"/>
      <c r="AF43" s="1281"/>
      <c r="AG43" s="1281"/>
      <c r="AH43" s="1281"/>
      <c r="AI43" s="1281"/>
      <c r="AJ43" s="1281"/>
    </row>
    <row r="44" spans="1:37" s="1280" customFormat="1">
      <c r="A44" s="1281"/>
      <c r="B44" s="2324"/>
      <c r="Z44" s="1281"/>
      <c r="AA44" s="1281"/>
      <c r="AB44" s="1281"/>
      <c r="AC44" s="1281"/>
      <c r="AD44" s="1281"/>
      <c r="AE44" s="1281"/>
      <c r="AF44" s="1281"/>
      <c r="AG44" s="1281"/>
      <c r="AH44" s="1281"/>
      <c r="AI44" s="1281"/>
      <c r="AJ44" s="1281"/>
    </row>
    <row r="45" spans="1:37" s="1280" customFormat="1" ht="15.75" thickBot="1">
      <c r="A45" s="2325" t="s">
        <v>2760</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5">
      <c r="A46" s="2327" t="s">
        <v>2761</v>
      </c>
      <c r="B46" s="2328">
        <f>1+E48</f>
        <v>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4.75">
      <c r="A47" s="2331" t="s">
        <v>2762</v>
      </c>
      <c r="B47" s="1537" t="s">
        <v>2763</v>
      </c>
      <c r="C47" s="1537" t="s">
        <v>2764</v>
      </c>
      <c r="D47" s="1537" t="s">
        <v>2765</v>
      </c>
      <c r="E47" s="758" t="s">
        <v>2766</v>
      </c>
      <c r="F47" s="2332" t="s">
        <v>2767</v>
      </c>
      <c r="G47" s="1537" t="s">
        <v>754</v>
      </c>
      <c r="H47" s="2333" t="s">
        <v>2768</v>
      </c>
      <c r="I47" s="1537" t="s">
        <v>2769</v>
      </c>
      <c r="J47" s="560" t="s">
        <v>2419</v>
      </c>
      <c r="K47" s="560" t="s">
        <v>2420</v>
      </c>
      <c r="L47" s="560" t="s">
        <v>2421</v>
      </c>
      <c r="M47" s="560" t="s">
        <v>2422</v>
      </c>
      <c r="N47" s="560" t="s">
        <v>2423</v>
      </c>
      <c r="AA47" s="1281"/>
      <c r="AB47" s="1281"/>
      <c r="AC47" s="1281"/>
      <c r="AD47" s="1281"/>
      <c r="AE47" s="1281"/>
      <c r="AF47" s="1281"/>
      <c r="AG47" s="1281"/>
      <c r="AH47" s="1281"/>
      <c r="AI47" s="1281"/>
      <c r="AJ47" s="1281"/>
      <c r="AK47" s="1281"/>
    </row>
    <row r="48" spans="1:37" s="1280" customFormat="1" ht="38.25">
      <c r="A48" s="2331" t="s">
        <v>2770</v>
      </c>
      <c r="B48" s="2334" t="str">
        <f>估价对象房地状况!C4</f>
        <v>估价对象位于XX商圈，周边商业氛围成熟，人流量大，商业繁华度好</v>
      </c>
      <c r="C48" s="2236"/>
      <c r="D48" s="1196">
        <f t="shared" ref="D48:D56" si="10">SUMIF($J$47:$N$47,C48,J48:N48)</f>
        <v>0</v>
      </c>
      <c r="E48" s="760">
        <f>ROUND(SUM(D48:D56),4)</f>
        <v>0</v>
      </c>
      <c r="F48" s="2002"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31" t="s">
        <v>2771</v>
      </c>
      <c r="B49" s="2335" t="str">
        <f>估价对象房地状况!C18</f>
        <v>估价对象周边道路状况、公共交通通达情况、停车便捷程度，综合评价交通便捷度较好</v>
      </c>
      <c r="C49" s="2236"/>
      <c r="D49" s="1196">
        <f t="shared" si="10"/>
        <v>0</v>
      </c>
      <c r="E49" s="761"/>
      <c r="F49" s="2002"/>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31" t="s">
        <v>2772</v>
      </c>
      <c r="B50" s="2335">
        <f>估价对象房地状况!C19</f>
        <v>0</v>
      </c>
      <c r="C50" s="2236"/>
      <c r="D50" s="1196">
        <f t="shared" si="10"/>
        <v>0</v>
      </c>
      <c r="E50" s="761"/>
      <c r="F50" s="2002"/>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31" t="s">
        <v>2773</v>
      </c>
      <c r="B51" s="2336" t="s">
        <v>2774</v>
      </c>
      <c r="C51" s="2236"/>
      <c r="D51" s="1196">
        <f t="shared" si="10"/>
        <v>0</v>
      </c>
      <c r="E51" s="761"/>
      <c r="F51" s="2002"/>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31" t="s">
        <v>2775</v>
      </c>
      <c r="B52" s="2335">
        <f>估价对象房地状况!C24</f>
        <v>0</v>
      </c>
      <c r="C52" s="2236"/>
      <c r="D52" s="1196">
        <f t="shared" si="10"/>
        <v>0</v>
      </c>
      <c r="E52" s="761"/>
      <c r="F52" s="2002"/>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31" t="s">
        <v>2776</v>
      </c>
      <c r="B53" s="2337" t="s">
        <v>2777</v>
      </c>
      <c r="C53" s="2236"/>
      <c r="D53" s="1196">
        <f t="shared" si="10"/>
        <v>0</v>
      </c>
      <c r="E53" s="761"/>
      <c r="F53" s="2002"/>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8" t="s">
        <v>2778</v>
      </c>
      <c r="B54" s="1496" t="str">
        <f>估价对象房地状况!C21</f>
        <v>估价对象所在区域公共配套设施齐备情况</v>
      </c>
      <c r="C54" s="2236"/>
      <c r="D54" s="1196">
        <f t="shared" si="10"/>
        <v>0</v>
      </c>
      <c r="E54" s="761"/>
      <c r="F54" s="2002"/>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8" t="s">
        <v>2779</v>
      </c>
      <c r="B55" s="2335" t="str">
        <f>估价对象房地状况!C22</f>
        <v>估价对象所在区域基础设施水平</v>
      </c>
      <c r="C55" s="2236"/>
      <c r="D55" s="1196">
        <f t="shared" si="10"/>
        <v>0</v>
      </c>
      <c r="E55" s="761"/>
      <c r="F55" s="2002"/>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9" t="s">
        <v>2780</v>
      </c>
      <c r="B56" s="2340" t="str">
        <f>估价对象房地状况!C20</f>
        <v>区域自然环境：；人文环境；综合评价环境状况一般</v>
      </c>
      <c r="C56" s="2236"/>
      <c r="D56" s="1196">
        <f t="shared" si="10"/>
        <v>0</v>
      </c>
      <c r="E56" s="764"/>
      <c r="F56" s="2002"/>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7" t="s">
        <v>2781</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1" t="s">
        <v>2762</v>
      </c>
      <c r="B58" s="1537"/>
      <c r="C58" s="1537" t="s">
        <v>2764</v>
      </c>
      <c r="D58" s="1537" t="s">
        <v>2765</v>
      </c>
      <c r="E58" s="758" t="s">
        <v>2766</v>
      </c>
      <c r="F58" s="2332" t="s">
        <v>2782</v>
      </c>
      <c r="G58" s="1537" t="s">
        <v>754</v>
      </c>
      <c r="H58" s="2333" t="s">
        <v>2768</v>
      </c>
      <c r="I58" s="1537" t="s">
        <v>2769</v>
      </c>
      <c r="J58" s="560" t="s">
        <v>2419</v>
      </c>
      <c r="K58" s="560" t="s">
        <v>2420</v>
      </c>
      <c r="L58" s="560" t="s">
        <v>2421</v>
      </c>
      <c r="M58" s="560" t="s">
        <v>2422</v>
      </c>
      <c r="N58" s="560" t="s">
        <v>2423</v>
      </c>
      <c r="AA58" s="1281"/>
      <c r="AB58" s="1281"/>
      <c r="AC58" s="1281"/>
      <c r="AD58" s="1281"/>
      <c r="AE58" s="1281"/>
      <c r="AF58" s="1281"/>
      <c r="AG58" s="1281"/>
      <c r="AH58" s="1281"/>
      <c r="AI58" s="1281"/>
      <c r="AJ58" s="1281"/>
      <c r="AK58" s="1281"/>
    </row>
    <row r="59" spans="1:37" s="1280" customFormat="1" ht="38.25">
      <c r="A59" s="2331" t="s">
        <v>2783</v>
      </c>
      <c r="B59" s="2334" t="str">
        <f>估价对象房地状况!C17</f>
        <v>估价对象位于XX商圈，周边办公楼项目较多，入驻率高，办公集聚程度较好</v>
      </c>
      <c r="C59" s="2236"/>
      <c r="D59" s="1196">
        <f t="shared" ref="D59:D67" si="15">SUMIF($J$58:$N$58,C59,J59:N59)</f>
        <v>0</v>
      </c>
      <c r="E59" s="760">
        <f>ROUND(SUM(D59:D67),4)</f>
        <v>0</v>
      </c>
      <c r="F59" s="2002">
        <f>IF(E2="办公",SUMIF(L1:L12,G2,N1:N12),"——")</f>
        <v>7.0999999999999994E-2</v>
      </c>
      <c r="G59" s="1194"/>
      <c r="H59" s="1198">
        <f t="shared" ref="H59:H67" si="16">IFERROR(ROUNDDOWN($F$59*I59/2,4),"——")</f>
        <v>8.5000000000000006E-3</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31" t="s">
        <v>2771</v>
      </c>
      <c r="B60" s="2335" t="str">
        <f>估价对象房地状况!C18</f>
        <v>估价对象周边道路状况、公共交通通达情况、停车便捷程度，综合评价交通便捷度较好</v>
      </c>
      <c r="C60" s="2236"/>
      <c r="D60" s="1196">
        <f t="shared" si="15"/>
        <v>0</v>
      </c>
      <c r="E60" s="761"/>
      <c r="F60" s="2002"/>
      <c r="G60" s="1194"/>
      <c r="H60" s="1198">
        <f t="shared" si="16"/>
        <v>1.06E-2</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31" t="s">
        <v>2772</v>
      </c>
      <c r="B61" s="2335">
        <f>估价对象房地状况!C19</f>
        <v>0</v>
      </c>
      <c r="C61" s="2236"/>
      <c r="D61" s="1196">
        <f t="shared" si="15"/>
        <v>0</v>
      </c>
      <c r="E61" s="761"/>
      <c r="F61" s="2002"/>
      <c r="G61" s="1194"/>
      <c r="H61" s="1198">
        <f t="shared" si="16"/>
        <v>2.8E-3</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31" t="s">
        <v>2773</v>
      </c>
      <c r="B62" s="2336" t="s">
        <v>2774</v>
      </c>
      <c r="C62" s="2236"/>
      <c r="D62" s="1196">
        <f t="shared" si="15"/>
        <v>0</v>
      </c>
      <c r="E62" s="761"/>
      <c r="F62" s="2002"/>
      <c r="G62" s="1194"/>
      <c r="H62" s="1198">
        <f t="shared" si="16"/>
        <v>1.4E-3</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31" t="s">
        <v>2775</v>
      </c>
      <c r="B63" s="2335">
        <f>估价对象房地状况!C24</f>
        <v>0</v>
      </c>
      <c r="C63" s="2236"/>
      <c r="D63" s="1196">
        <f t="shared" si="15"/>
        <v>0</v>
      </c>
      <c r="E63" s="761"/>
      <c r="F63" s="2002"/>
      <c r="G63" s="1194"/>
      <c r="H63" s="1198">
        <f t="shared" si="16"/>
        <v>1.6999999999999999E-3</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31" t="s">
        <v>2776</v>
      </c>
      <c r="B64" s="2337" t="s">
        <v>2777</v>
      </c>
      <c r="C64" s="2236"/>
      <c r="D64" s="1196">
        <f t="shared" si="15"/>
        <v>0</v>
      </c>
      <c r="E64" s="761"/>
      <c r="F64" s="2002"/>
      <c r="G64" s="1194"/>
      <c r="H64" s="1198">
        <f t="shared" si="16"/>
        <v>1.6999999999999999E-3</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31" t="s">
        <v>2778</v>
      </c>
      <c r="B65" s="1496" t="str">
        <f>估价对象房地状况!C21</f>
        <v>估价对象所在区域公共配套设施齐备情况</v>
      </c>
      <c r="C65" s="2236"/>
      <c r="D65" s="1196">
        <f t="shared" si="15"/>
        <v>0</v>
      </c>
      <c r="E65" s="761"/>
      <c r="F65" s="2002"/>
      <c r="G65" s="1194"/>
      <c r="H65" s="1198">
        <f t="shared" si="16"/>
        <v>2.0999999999999999E-3</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31" t="s">
        <v>2779</v>
      </c>
      <c r="B66" s="1496" t="str">
        <f>估价对象房地状况!C22</f>
        <v>估价对象所在区域基础设施水平</v>
      </c>
      <c r="C66" s="2236"/>
      <c r="D66" s="1196">
        <f t="shared" si="15"/>
        <v>0</v>
      </c>
      <c r="E66" s="761"/>
      <c r="F66" s="2002"/>
      <c r="G66" s="1194"/>
      <c r="H66" s="1198">
        <f t="shared" si="16"/>
        <v>4.1999999999999997E-3</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9" t="s">
        <v>2780</v>
      </c>
      <c r="B67" s="2341" t="str">
        <f>估价对象房地状况!C20</f>
        <v>区域自然环境：；人文环境；综合评价环境状况一般</v>
      </c>
      <c r="C67" s="2236"/>
      <c r="D67" s="1196">
        <f t="shared" si="15"/>
        <v>0</v>
      </c>
      <c r="E67" s="764"/>
      <c r="F67" s="2002"/>
      <c r="G67" s="1194"/>
      <c r="H67" s="1198">
        <f t="shared" si="16"/>
        <v>2.0999999999999999E-3</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7" t="s">
        <v>2784</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1" t="s">
        <v>2762</v>
      </c>
      <c r="B69" s="1537"/>
      <c r="C69" s="1537" t="s">
        <v>2764</v>
      </c>
      <c r="D69" s="1537" t="s">
        <v>2765</v>
      </c>
      <c r="E69" s="758" t="s">
        <v>2766</v>
      </c>
      <c r="F69" s="2332" t="s">
        <v>2782</v>
      </c>
      <c r="G69" s="1537" t="s">
        <v>754</v>
      </c>
      <c r="H69" s="2333" t="s">
        <v>2768</v>
      </c>
      <c r="I69" s="1537" t="s">
        <v>2769</v>
      </c>
      <c r="J69" s="560" t="s">
        <v>2419</v>
      </c>
      <c r="K69" s="560" t="s">
        <v>2420</v>
      </c>
      <c r="L69" s="560" t="s">
        <v>2421</v>
      </c>
      <c r="M69" s="560" t="s">
        <v>2422</v>
      </c>
      <c r="N69" s="560" t="s">
        <v>2423</v>
      </c>
      <c r="AA69" s="1281"/>
      <c r="AB69" s="1281"/>
      <c r="AC69" s="1281"/>
      <c r="AD69" s="1281"/>
      <c r="AE69" s="1281"/>
      <c r="AF69" s="1281"/>
      <c r="AG69" s="1281"/>
      <c r="AH69" s="1281"/>
      <c r="AI69" s="1281"/>
      <c r="AJ69" s="1281"/>
      <c r="AK69" s="1281"/>
    </row>
    <row r="70" spans="1:37" s="1280" customFormat="1" ht="51">
      <c r="A70" s="2331" t="s">
        <v>2785</v>
      </c>
      <c r="B70" s="2334" t="str">
        <f>估价对象房地状况!C15</f>
        <v>估价对象周边居住用地比例、居住小区规模和社区发展完善程度，综合评价居住社区成熟度一般</v>
      </c>
      <c r="C70" s="2236"/>
      <c r="D70" s="1196">
        <f t="shared" ref="D70:D78" si="20">SUMIF($J$69:$N$69,C70,J70:N70)</f>
        <v>0</v>
      </c>
      <c r="E70" s="760">
        <f>ROUND(SUM(D70:D78),4)</f>
        <v>0</v>
      </c>
      <c r="F70" s="2002"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31" t="s">
        <v>2771</v>
      </c>
      <c r="B71" s="2335" t="str">
        <f>估价对象房地状况!C18</f>
        <v>估价对象周边道路状况、公共交通通达情况、停车便捷程度，综合评价交通便捷度较好</v>
      </c>
      <c r="C71" s="2236"/>
      <c r="D71" s="1196">
        <f t="shared" si="20"/>
        <v>0</v>
      </c>
      <c r="E71" s="765"/>
      <c r="F71" s="2002"/>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31" t="s">
        <v>2772</v>
      </c>
      <c r="B72" s="2335">
        <f>估价对象房地状况!C19</f>
        <v>0</v>
      </c>
      <c r="C72" s="2236"/>
      <c r="D72" s="1196">
        <f t="shared" si="20"/>
        <v>0</v>
      </c>
      <c r="E72" s="765"/>
      <c r="F72" s="2002"/>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31" t="s">
        <v>2786</v>
      </c>
      <c r="B73" s="2335">
        <f>估价对象房地状况!C24</f>
        <v>0</v>
      </c>
      <c r="C73" s="2236"/>
      <c r="D73" s="1196">
        <f t="shared" si="20"/>
        <v>0</v>
      </c>
      <c r="E73" s="765"/>
      <c r="F73" s="2002"/>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31" t="s">
        <v>2778</v>
      </c>
      <c r="B74" s="1496" t="str">
        <f>估价对象房地状况!C21</f>
        <v>估价对象所在区域公共配套设施齐备情况</v>
      </c>
      <c r="C74" s="2236"/>
      <c r="D74" s="1196">
        <f t="shared" si="20"/>
        <v>0</v>
      </c>
      <c r="E74" s="765"/>
      <c r="F74" s="2002"/>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31" t="s">
        <v>2779</v>
      </c>
      <c r="B75" s="1496" t="str">
        <f>估价对象房地状况!C22</f>
        <v>估价对象所在区域基础设施水平</v>
      </c>
      <c r="C75" s="2236"/>
      <c r="D75" s="1196">
        <f t="shared" si="20"/>
        <v>0</v>
      </c>
      <c r="E75" s="765"/>
      <c r="F75" s="2002"/>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5" customFormat="1" ht="24">
      <c r="A76" s="2331" t="s">
        <v>2776</v>
      </c>
      <c r="B76" s="2337" t="s">
        <v>2777</v>
      </c>
      <c r="C76" s="2236"/>
      <c r="D76" s="1196">
        <f t="shared" si="20"/>
        <v>0</v>
      </c>
      <c r="E76" s="765"/>
      <c r="F76" s="2002"/>
      <c r="G76" s="1194"/>
      <c r="H76" s="1198" t="str">
        <f t="shared" si="21"/>
        <v>——</v>
      </c>
      <c r="I76" s="759">
        <v>0.05</v>
      </c>
      <c r="J76" s="1195">
        <f t="shared" si="22"/>
        <v>0</v>
      </c>
      <c r="K76" s="1195">
        <f t="shared" si="23"/>
        <v>0</v>
      </c>
      <c r="L76" s="1195">
        <v>0</v>
      </c>
      <c r="M76" s="1195">
        <f t="shared" si="24"/>
        <v>0</v>
      </c>
      <c r="N76" s="1195">
        <f t="shared" si="24"/>
        <v>0</v>
      </c>
      <c r="AA76" s="2342"/>
      <c r="AB76" s="1281"/>
      <c r="AC76" s="1281"/>
      <c r="AD76" s="1281"/>
      <c r="AE76" s="1281"/>
      <c r="AF76" s="1281"/>
      <c r="AG76" s="1281"/>
      <c r="AH76" s="2342"/>
      <c r="AI76" s="2342"/>
      <c r="AJ76" s="2342"/>
      <c r="AK76" s="2342"/>
    </row>
    <row r="77" spans="1:37" ht="38.25">
      <c r="A77" s="2331" t="s">
        <v>2780</v>
      </c>
      <c r="B77" s="2334" t="str">
        <f>估价对象房地状况!C20</f>
        <v>区域自然环境：；人文环境；综合评价环境状况一般</v>
      </c>
      <c r="C77" s="2236"/>
      <c r="D77" s="1196">
        <f t="shared" si="20"/>
        <v>0</v>
      </c>
      <c r="E77" s="765"/>
      <c r="F77" s="2002"/>
      <c r="G77" s="1194"/>
      <c r="H77" s="1198" t="str">
        <f t="shared" si="21"/>
        <v>——</v>
      </c>
      <c r="I77" s="759">
        <v>0.15</v>
      </c>
      <c r="J77" s="1195">
        <f t="shared" si="22"/>
        <v>0</v>
      </c>
      <c r="K77" s="1195">
        <f t="shared" si="23"/>
        <v>0</v>
      </c>
      <c r="L77" s="1195">
        <v>0</v>
      </c>
      <c r="M77" s="1195">
        <f t="shared" si="24"/>
        <v>0</v>
      </c>
      <c r="N77" s="1195">
        <f t="shared" si="24"/>
        <v>0</v>
      </c>
      <c r="Z77" s="2186"/>
      <c r="AA77" s="2252"/>
      <c r="AG77" s="1282"/>
      <c r="AK77" s="2252"/>
    </row>
    <row r="78" spans="1:37" ht="24.75" thickBot="1">
      <c r="A78" s="2339" t="s">
        <v>2787</v>
      </c>
      <c r="B78" s="2343"/>
      <c r="C78" s="2236"/>
      <c r="D78" s="1196">
        <f t="shared" si="20"/>
        <v>0</v>
      </c>
      <c r="E78" s="766"/>
      <c r="F78" s="2002"/>
      <c r="G78" s="1194"/>
      <c r="H78" s="1198" t="str">
        <f t="shared" si="21"/>
        <v>——</v>
      </c>
      <c r="I78" s="763">
        <v>0.04</v>
      </c>
      <c r="J78" s="1195">
        <f t="shared" si="22"/>
        <v>0</v>
      </c>
      <c r="K78" s="1195">
        <f t="shared" si="23"/>
        <v>0</v>
      </c>
      <c r="L78" s="1195">
        <v>0</v>
      </c>
      <c r="M78" s="1195">
        <f t="shared" si="24"/>
        <v>0</v>
      </c>
      <c r="N78" s="1195">
        <f t="shared" si="24"/>
        <v>0</v>
      </c>
      <c r="Z78" s="2186"/>
      <c r="AA78" s="2252"/>
      <c r="AG78" s="1282"/>
      <c r="AK78" s="2252"/>
    </row>
    <row r="79" spans="1:37" ht="15">
      <c r="A79" s="2327" t="s">
        <v>2788</v>
      </c>
      <c r="B79" s="2328">
        <f>1+E81</f>
        <v>1</v>
      </c>
      <c r="C79" s="753"/>
      <c r="D79" s="753"/>
      <c r="E79" s="754"/>
      <c r="F79" s="2330"/>
      <c r="G79" s="6"/>
      <c r="H79" s="6"/>
      <c r="I79" s="6"/>
      <c r="J79" s="7"/>
      <c r="K79" s="7"/>
      <c r="L79" s="7"/>
      <c r="M79" s="7"/>
      <c r="N79" s="7"/>
      <c r="Z79" s="2186"/>
      <c r="AA79" s="2252"/>
      <c r="AG79" s="1282"/>
      <c r="AK79" s="2252"/>
    </row>
    <row r="80" spans="1:37" ht="24.75">
      <c r="A80" s="2331" t="s">
        <v>2762</v>
      </c>
      <c r="B80" s="1537"/>
      <c r="C80" s="1537" t="s">
        <v>2764</v>
      </c>
      <c r="D80" s="1537" t="s">
        <v>2765</v>
      </c>
      <c r="E80" s="758" t="s">
        <v>2766</v>
      </c>
      <c r="F80" s="2332" t="s">
        <v>2782</v>
      </c>
      <c r="G80" s="1537" t="s">
        <v>754</v>
      </c>
      <c r="H80" s="2333" t="s">
        <v>2768</v>
      </c>
      <c r="I80" s="1537" t="s">
        <v>2769</v>
      </c>
      <c r="J80" s="560" t="s">
        <v>2419</v>
      </c>
      <c r="K80" s="560" t="s">
        <v>2420</v>
      </c>
      <c r="L80" s="560" t="s">
        <v>2421</v>
      </c>
      <c r="M80" s="560" t="s">
        <v>2422</v>
      </c>
      <c r="N80" s="560" t="s">
        <v>2423</v>
      </c>
      <c r="Z80" s="2186"/>
      <c r="AA80" s="2252"/>
      <c r="AG80" s="1282"/>
      <c r="AK80" s="2252"/>
    </row>
    <row r="81" spans="1:37" ht="38.25">
      <c r="A81" s="2331" t="s">
        <v>2789</v>
      </c>
      <c r="B81" s="2335" t="str">
        <f>估价对象房地状况!G15</f>
        <v>估价对象位于XX开发区，园区建设成熟度XX，产业集聚程度XX</v>
      </c>
      <c r="C81" s="2236"/>
      <c r="D81" s="1196">
        <f t="shared" ref="D81:D88" si="25">SUMIF($J$80:$N$80,C81,J81:N81)</f>
        <v>0</v>
      </c>
      <c r="E81" s="760">
        <f>ROUND(SUM(D81:D88),4)</f>
        <v>0</v>
      </c>
      <c r="F81" s="2002"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6"/>
      <c r="AA81" s="2252"/>
      <c r="AG81" s="1282"/>
      <c r="AK81" s="2252"/>
    </row>
    <row r="82" spans="1:37" ht="51">
      <c r="A82" s="2331" t="s">
        <v>2771</v>
      </c>
      <c r="B82" s="2335" t="str">
        <f>估价对象房地状况!G16</f>
        <v>估价对象周边道路状况、公共交通通达情况、停车便捷程度，综合评价交通便捷度较好</v>
      </c>
      <c r="C82" s="2236"/>
      <c r="D82" s="1196">
        <f t="shared" si="25"/>
        <v>0</v>
      </c>
      <c r="E82" s="765"/>
      <c r="F82" s="2002"/>
      <c r="G82" s="1194"/>
      <c r="H82" s="1198" t="str">
        <f t="shared" si="26"/>
        <v>——</v>
      </c>
      <c r="I82" s="759">
        <v>0.33</v>
      </c>
      <c r="J82" s="1195">
        <f t="shared" si="27"/>
        <v>0</v>
      </c>
      <c r="K82" s="1195">
        <f t="shared" si="28"/>
        <v>0</v>
      </c>
      <c r="L82" s="1195">
        <v>0</v>
      </c>
      <c r="M82" s="1195">
        <f t="shared" si="29"/>
        <v>0</v>
      </c>
      <c r="N82" s="1195">
        <f t="shared" si="29"/>
        <v>0</v>
      </c>
      <c r="Z82" s="2186"/>
      <c r="AA82" s="2252"/>
      <c r="AG82" s="1282"/>
      <c r="AK82" s="2252"/>
    </row>
    <row r="83" spans="1:37" ht="24">
      <c r="A83" s="2331" t="s">
        <v>2772</v>
      </c>
      <c r="B83" s="2335">
        <f>估价对象房地状况!G17</f>
        <v>0</v>
      </c>
      <c r="C83" s="2236"/>
      <c r="D83" s="1196">
        <f t="shared" si="25"/>
        <v>0</v>
      </c>
      <c r="E83" s="765"/>
      <c r="F83" s="2002"/>
      <c r="G83" s="1194"/>
      <c r="H83" s="1198" t="str">
        <f t="shared" si="26"/>
        <v>——</v>
      </c>
      <c r="I83" s="759">
        <v>0.05</v>
      </c>
      <c r="J83" s="1195">
        <f t="shared" si="27"/>
        <v>0</v>
      </c>
      <c r="K83" s="1195">
        <f t="shared" si="28"/>
        <v>0</v>
      </c>
      <c r="L83" s="1195">
        <v>0</v>
      </c>
      <c r="M83" s="1195">
        <f t="shared" si="29"/>
        <v>0</v>
      </c>
      <c r="N83" s="1195">
        <f t="shared" si="29"/>
        <v>0</v>
      </c>
      <c r="Z83" s="2186"/>
      <c r="AA83" s="2252"/>
      <c r="AG83" s="1282"/>
      <c r="AK83" s="2252"/>
    </row>
    <row r="84" spans="1:37" ht="14.25">
      <c r="A84" s="2331" t="s">
        <v>2786</v>
      </c>
      <c r="B84" s="2335">
        <f>估价对象房地状况!G22</f>
        <v>0</v>
      </c>
      <c r="C84" s="2236"/>
      <c r="D84" s="1196">
        <f t="shared" si="25"/>
        <v>0</v>
      </c>
      <c r="E84" s="765"/>
      <c r="F84" s="2002"/>
      <c r="G84" s="1194"/>
      <c r="H84" s="1198" t="str">
        <f t="shared" si="26"/>
        <v>——</v>
      </c>
      <c r="I84" s="759">
        <v>0.04</v>
      </c>
      <c r="J84" s="1195">
        <f t="shared" si="27"/>
        <v>0</v>
      </c>
      <c r="K84" s="1195">
        <f t="shared" si="28"/>
        <v>0</v>
      </c>
      <c r="L84" s="1195">
        <v>0</v>
      </c>
      <c r="M84" s="1195">
        <f t="shared" si="29"/>
        <v>0</v>
      </c>
      <c r="N84" s="1195">
        <f t="shared" si="29"/>
        <v>0</v>
      </c>
      <c r="Z84" s="2186"/>
      <c r="AA84" s="2252"/>
      <c r="AG84" s="1282"/>
      <c r="AK84" s="2252"/>
    </row>
    <row r="85" spans="1:37" ht="25.5">
      <c r="A85" s="2331" t="s">
        <v>2778</v>
      </c>
      <c r="B85" s="1496" t="str">
        <f>估价对象房地状况!G19</f>
        <v>估价对象所在区域公共配套设施齐备情况</v>
      </c>
      <c r="C85" s="2236"/>
      <c r="D85" s="1196">
        <f t="shared" si="25"/>
        <v>0</v>
      </c>
      <c r="E85" s="765"/>
      <c r="F85" s="2002"/>
      <c r="G85" s="1194"/>
      <c r="H85" s="1198" t="str">
        <f t="shared" si="26"/>
        <v>——</v>
      </c>
      <c r="I85" s="759">
        <v>0.06</v>
      </c>
      <c r="J85" s="1195">
        <f t="shared" si="27"/>
        <v>0</v>
      </c>
      <c r="K85" s="1195">
        <f t="shared" si="28"/>
        <v>0</v>
      </c>
      <c r="L85" s="1195">
        <v>0</v>
      </c>
      <c r="M85" s="1195">
        <f t="shared" si="29"/>
        <v>0</v>
      </c>
      <c r="N85" s="1195">
        <f t="shared" si="29"/>
        <v>0</v>
      </c>
      <c r="Z85" s="2186"/>
      <c r="AA85" s="2252"/>
      <c r="AG85" s="1282"/>
      <c r="AK85" s="2252"/>
    </row>
    <row r="86" spans="1:37" ht="25.5">
      <c r="A86" s="2331" t="s">
        <v>2779</v>
      </c>
      <c r="B86" s="1496" t="str">
        <f>估价对象房地状况!G20</f>
        <v>估价对象所在区域基础设施水平</v>
      </c>
      <c r="C86" s="2236"/>
      <c r="D86" s="1196">
        <f t="shared" si="25"/>
        <v>0</v>
      </c>
      <c r="E86" s="765"/>
      <c r="F86" s="2002"/>
      <c r="G86" s="1194"/>
      <c r="H86" s="1198" t="str">
        <f t="shared" si="26"/>
        <v>——</v>
      </c>
      <c r="I86" s="759">
        <v>0.15</v>
      </c>
      <c r="J86" s="1195">
        <f t="shared" si="27"/>
        <v>0</v>
      </c>
      <c r="K86" s="1195">
        <f t="shared" si="28"/>
        <v>0</v>
      </c>
      <c r="L86" s="1195">
        <v>0</v>
      </c>
      <c r="M86" s="1195">
        <f t="shared" si="29"/>
        <v>0</v>
      </c>
      <c r="N86" s="1195">
        <f t="shared" si="29"/>
        <v>0</v>
      </c>
      <c r="Z86" s="2186"/>
      <c r="AA86" s="2252"/>
      <c r="AG86" s="1282"/>
      <c r="AK86" s="2252"/>
    </row>
    <row r="87" spans="1:37" ht="24">
      <c r="A87" s="2331" t="s">
        <v>2776</v>
      </c>
      <c r="B87" s="2337" t="s">
        <v>2790</v>
      </c>
      <c r="C87" s="2236"/>
      <c r="D87" s="1196">
        <f t="shared" si="25"/>
        <v>0</v>
      </c>
      <c r="E87" s="765"/>
      <c r="F87" s="2002"/>
      <c r="G87" s="1194"/>
      <c r="H87" s="1198" t="str">
        <f t="shared" si="26"/>
        <v>——</v>
      </c>
      <c r="I87" s="759">
        <v>0.05</v>
      </c>
      <c r="J87" s="1195">
        <f t="shared" si="27"/>
        <v>0</v>
      </c>
      <c r="K87" s="1195">
        <f t="shared" si="28"/>
        <v>0</v>
      </c>
      <c r="L87" s="1195">
        <v>0</v>
      </c>
      <c r="M87" s="1195">
        <f t="shared" si="29"/>
        <v>0</v>
      </c>
      <c r="N87" s="1195">
        <f t="shared" si="29"/>
        <v>0</v>
      </c>
      <c r="Z87" s="2186"/>
      <c r="AA87" s="2252"/>
      <c r="AG87" s="1282"/>
      <c r="AK87" s="2252"/>
    </row>
    <row r="88" spans="1:37" ht="39" thickBot="1">
      <c r="A88" s="2339" t="s">
        <v>2791</v>
      </c>
      <c r="B88" s="2344" t="str">
        <f>估价对象房地状况!G18</f>
        <v>该园区内是否有污染型企业，绿化情况，卫生条件，整体环境状况判断</v>
      </c>
      <c r="C88" s="2236"/>
      <c r="D88" s="1196">
        <f t="shared" si="25"/>
        <v>0</v>
      </c>
      <c r="E88" s="766"/>
      <c r="F88" s="2002"/>
      <c r="G88" s="1194"/>
      <c r="H88" s="1198" t="str">
        <f t="shared" si="26"/>
        <v>——</v>
      </c>
      <c r="I88" s="763">
        <v>0.06</v>
      </c>
      <c r="J88" s="1195">
        <f t="shared" si="27"/>
        <v>0</v>
      </c>
      <c r="K88" s="1195">
        <f t="shared" si="28"/>
        <v>0</v>
      </c>
      <c r="L88" s="1195">
        <v>0</v>
      </c>
      <c r="M88" s="1195">
        <f t="shared" si="29"/>
        <v>0</v>
      </c>
      <c r="N88" s="1195">
        <f t="shared" si="29"/>
        <v>0</v>
      </c>
      <c r="Z88" s="2186"/>
      <c r="AA88" s="2252"/>
      <c r="AG88" s="1282"/>
      <c r="AK88" s="2252"/>
    </row>
    <row r="90" spans="1:37">
      <c r="A90" s="3339" t="s">
        <v>2792</v>
      </c>
      <c r="B90" s="3339"/>
      <c r="C90" s="3339"/>
      <c r="D90" s="3339"/>
      <c r="E90" s="3339"/>
      <c r="F90" s="3339"/>
      <c r="G90" s="3339"/>
      <c r="H90" s="3339"/>
      <c r="I90" s="3339"/>
      <c r="J90" s="3339"/>
      <c r="K90" s="2345"/>
      <c r="L90" s="2345"/>
      <c r="M90" s="2345"/>
      <c r="N90" s="2345"/>
    </row>
    <row r="91" spans="1:37">
      <c r="A91" s="3341" t="s">
        <v>2793</v>
      </c>
      <c r="B91" s="3341" t="s">
        <v>2794</v>
      </c>
      <c r="C91" s="2299" t="s">
        <v>2795</v>
      </c>
      <c r="D91" s="2300"/>
      <c r="E91" s="2300"/>
      <c r="F91" s="2300"/>
      <c r="G91" s="2300"/>
      <c r="H91" s="2300"/>
      <c r="I91" s="2300"/>
      <c r="J91" s="2346"/>
      <c r="K91" s="2347"/>
      <c r="L91" s="2347"/>
      <c r="M91" s="2347"/>
      <c r="N91" s="2347"/>
    </row>
    <row r="92" spans="1:37">
      <c r="A92" s="3341"/>
      <c r="B92" s="3341"/>
      <c r="C92" s="879" t="s">
        <v>2663</v>
      </c>
      <c r="D92" s="879" t="s">
        <v>2664</v>
      </c>
      <c r="E92" s="879" t="s">
        <v>2665</v>
      </c>
      <c r="F92" s="879" t="s">
        <v>2666</v>
      </c>
      <c r="G92" s="879" t="s">
        <v>2667</v>
      </c>
      <c r="H92" s="879" t="s">
        <v>2668</v>
      </c>
      <c r="I92" s="879" t="s">
        <v>2669</v>
      </c>
      <c r="J92" s="879" t="s">
        <v>2670</v>
      </c>
      <c r="K92" s="879" t="s">
        <v>2671</v>
      </c>
      <c r="L92" s="879" t="s">
        <v>2672</v>
      </c>
      <c r="M92" s="879" t="s">
        <v>2673</v>
      </c>
      <c r="N92" s="879" t="s">
        <v>2674</v>
      </c>
    </row>
    <row r="93" spans="1:37">
      <c r="A93" s="3342" t="s">
        <v>2796</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c r="A94" s="3343"/>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c r="A95" s="3343"/>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c r="A96" s="3343"/>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c r="A97" s="3343"/>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c r="A98" s="3343"/>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c r="A99" s="3343"/>
      <c r="B99" s="2348" t="s">
        <v>2679</v>
      </c>
      <c r="C99" s="2350">
        <f>$I$3</f>
        <v>0</v>
      </c>
      <c r="D99" s="2350">
        <f t="shared" ref="D99:M99" si="30">$I$3</f>
        <v>0</v>
      </c>
      <c r="E99" s="2350">
        <f t="shared" si="30"/>
        <v>0</v>
      </c>
      <c r="F99" s="2350">
        <f t="shared" si="30"/>
        <v>0</v>
      </c>
      <c r="G99" s="2350">
        <f t="shared" si="30"/>
        <v>0</v>
      </c>
      <c r="H99" s="2350">
        <f t="shared" si="30"/>
        <v>0</v>
      </c>
      <c r="I99" s="2350">
        <f t="shared" si="30"/>
        <v>0</v>
      </c>
      <c r="J99" s="2350">
        <f t="shared" si="30"/>
        <v>0</v>
      </c>
      <c r="K99" s="2350">
        <f t="shared" si="30"/>
        <v>0</v>
      </c>
      <c r="L99" s="2350">
        <f t="shared" si="30"/>
        <v>0</v>
      </c>
      <c r="M99" s="2350">
        <f t="shared" si="30"/>
        <v>0</v>
      </c>
      <c r="N99" s="2350">
        <f>$I$3</f>
        <v>0</v>
      </c>
    </row>
    <row r="100" spans="1:14">
      <c r="A100" s="3344"/>
      <c r="B100" s="2348">
        <v>7</v>
      </c>
      <c r="C100" s="2351">
        <f>(-0.163*(C99^2)-0.59*C99+7617)*(10^(-4))</f>
        <v>0.76170000000000004</v>
      </c>
      <c r="D100" s="2351">
        <f>(-0.163*(D99^2)-0.59*D99+7617)*(10^(-4))</f>
        <v>0.76170000000000004</v>
      </c>
      <c r="E100" s="2351">
        <f>(-0.161*(E99^2)-7.509*E99+6533)*(10^(-4))</f>
        <v>0.65329999999999999</v>
      </c>
      <c r="F100" s="2351">
        <f>(-0.161*(F99^2)-7.509*F99+6533)*(10^(-4))</f>
        <v>0.65329999999999999</v>
      </c>
      <c r="G100" s="2351">
        <f>(-0.161*(G99^2)-7.509*G99+6533)*(10^(-4))</f>
        <v>0.65329999999999999</v>
      </c>
      <c r="H100" s="2351">
        <f>(-0.161*(H99^2)-7.509*H99+6533)*(10^(-4))</f>
        <v>0.65329999999999999</v>
      </c>
      <c r="I100" s="2351">
        <f>(-0.161*(I99^2)-7.509*I99+6533)*(10^(-4))</f>
        <v>0.65329999999999999</v>
      </c>
      <c r="J100" s="2351">
        <f>(-0.214*(J99^2)-21.991*J99+4665)*(10^(-4))</f>
        <v>0.46650000000000003</v>
      </c>
      <c r="K100" s="2351">
        <f>(-0.214*(K99^2)-21.991*K99+4665)*(10^(-4))</f>
        <v>0.46650000000000003</v>
      </c>
      <c r="L100" s="2351">
        <f>(-0.214*(L99^2)-21.991*L99+4665)*(10^(-4))</f>
        <v>0.46650000000000003</v>
      </c>
      <c r="M100" s="2351">
        <f>(-0.214*(M99^2)-21.991*M99+4665)*(10^(-4))</f>
        <v>0.46650000000000003</v>
      </c>
      <c r="N100" s="2351">
        <f>(-0.214*(N99^2)-21.991*N99+4665)*(10^(-4))</f>
        <v>0.46650000000000003</v>
      </c>
    </row>
    <row r="101" spans="1:14">
      <c r="A101" s="3342" t="s">
        <v>2797</v>
      </c>
      <c r="B101" s="2352" t="s">
        <v>2798</v>
      </c>
      <c r="C101" s="2353">
        <f>$G$3</f>
        <v>8.92</v>
      </c>
      <c r="D101" s="2353">
        <f t="shared" ref="D101:N101" si="31">$G$3</f>
        <v>8.92</v>
      </c>
      <c r="E101" s="2353">
        <f t="shared" si="31"/>
        <v>8.92</v>
      </c>
      <c r="F101" s="2353">
        <f t="shared" si="31"/>
        <v>8.92</v>
      </c>
      <c r="G101" s="2353">
        <f t="shared" si="31"/>
        <v>8.92</v>
      </c>
      <c r="H101" s="2353">
        <f t="shared" si="31"/>
        <v>8.92</v>
      </c>
      <c r="I101" s="2353">
        <f t="shared" si="31"/>
        <v>8.92</v>
      </c>
      <c r="J101" s="2353">
        <f t="shared" si="31"/>
        <v>8.92</v>
      </c>
      <c r="K101" s="2353">
        <f t="shared" si="31"/>
        <v>8.92</v>
      </c>
      <c r="L101" s="2353">
        <f t="shared" si="31"/>
        <v>8.92</v>
      </c>
      <c r="M101" s="2353">
        <f t="shared" si="31"/>
        <v>8.92</v>
      </c>
      <c r="N101" s="2353">
        <f t="shared" si="31"/>
        <v>8.92</v>
      </c>
    </row>
    <row r="102" spans="1:14">
      <c r="A102" s="3343"/>
      <c r="B102" s="2348">
        <v>1</v>
      </c>
      <c r="C102" s="2349">
        <f>1.9362/C101</f>
        <v>0.21706278026905829</v>
      </c>
      <c r="D102" s="2349">
        <f>1.9362/D101</f>
        <v>0.21706278026905829</v>
      </c>
      <c r="E102" s="2349">
        <f>1.8629/E101</f>
        <v>0.20884529147982062</v>
      </c>
      <c r="F102" s="2349">
        <f>1.8629/F101</f>
        <v>0.20884529147982062</v>
      </c>
      <c r="G102" s="2349">
        <f>1.8629/G101</f>
        <v>0.20884529147982062</v>
      </c>
      <c r="H102" s="2349">
        <f>1.8629/H101</f>
        <v>0.20884529147982062</v>
      </c>
      <c r="I102" s="2349">
        <f>1.8629/I101</f>
        <v>0.20884529147982062</v>
      </c>
      <c r="J102" s="2349">
        <f>1.942/J101</f>
        <v>0.21771300448430492</v>
      </c>
      <c r="K102" s="2349">
        <f>1.942/K101</f>
        <v>0.21771300448430492</v>
      </c>
      <c r="L102" s="2349">
        <f>1.942/L101</f>
        <v>0.21771300448430492</v>
      </c>
      <c r="M102" s="2349">
        <f>1.942/M101</f>
        <v>0.21771300448430492</v>
      </c>
      <c r="N102" s="2349">
        <f>1.942/N101</f>
        <v>0.21771300448430492</v>
      </c>
    </row>
    <row r="103" spans="1:14">
      <c r="A103" s="3343"/>
      <c r="B103" s="2348">
        <v>2</v>
      </c>
      <c r="C103" s="2349">
        <f>1.4198/C101</f>
        <v>0.15917040358744394</v>
      </c>
      <c r="D103" s="2349">
        <f>1.4198/D101</f>
        <v>0.15917040358744394</v>
      </c>
      <c r="E103" s="2349">
        <f>1.3372/E101</f>
        <v>0.14991031390134529</v>
      </c>
      <c r="F103" s="2349">
        <f>1.3372/F101</f>
        <v>0.14991031390134529</v>
      </c>
      <c r="G103" s="2349">
        <f>1.3372/G101</f>
        <v>0.14991031390134529</v>
      </c>
      <c r="H103" s="2349">
        <f>1.3372/H101</f>
        <v>0.14991031390134529</v>
      </c>
      <c r="I103" s="2349">
        <f>1.3372/I101</f>
        <v>0.14991031390134529</v>
      </c>
      <c r="J103" s="2349">
        <f>1.2799/J101</f>
        <v>0.14348654708520181</v>
      </c>
      <c r="K103" s="2349">
        <f>1.2799/K101</f>
        <v>0.14348654708520181</v>
      </c>
      <c r="L103" s="2349">
        <f>1.2799/L101</f>
        <v>0.14348654708520181</v>
      </c>
      <c r="M103" s="2349">
        <f>1.2799/M101</f>
        <v>0.14348654708520181</v>
      </c>
      <c r="N103" s="2349">
        <f>1.2799/N101</f>
        <v>0.14348654708520181</v>
      </c>
    </row>
    <row r="104" spans="1:14">
      <c r="A104" s="3343"/>
      <c r="B104" s="2348">
        <v>3</v>
      </c>
      <c r="C104" s="2349">
        <f>1.1594/C101</f>
        <v>0.12997757847533634</v>
      </c>
      <c r="D104" s="2349">
        <f>1.1594/D101</f>
        <v>0.12997757847533634</v>
      </c>
      <c r="E104" s="2349">
        <f>1.0788/E101</f>
        <v>0.12094170403587444</v>
      </c>
      <c r="F104" s="2349">
        <f>1.0788/F101</f>
        <v>0.12094170403587444</v>
      </c>
      <c r="G104" s="2349">
        <f>1.0788/G101</f>
        <v>0.12094170403587444</v>
      </c>
      <c r="H104" s="2349">
        <f>1.0788/H101</f>
        <v>0.12094170403587444</v>
      </c>
      <c r="I104" s="2349">
        <f>1.0788/I101</f>
        <v>0.12094170403587444</v>
      </c>
      <c r="J104" s="2349">
        <f>1.0072/J101</f>
        <v>0.11291479820627803</v>
      </c>
      <c r="K104" s="2349">
        <f>1.0072/K101</f>
        <v>0.11291479820627803</v>
      </c>
      <c r="L104" s="2349">
        <f>1.0072/L101</f>
        <v>0.11291479820627803</v>
      </c>
      <c r="M104" s="2349">
        <f>1.0072/M101</f>
        <v>0.11291479820627803</v>
      </c>
      <c r="N104" s="2349">
        <f>1.0072/N101</f>
        <v>0.11291479820627803</v>
      </c>
    </row>
    <row r="105" spans="1:14">
      <c r="A105" s="3343"/>
      <c r="B105" s="2348">
        <v>4</v>
      </c>
      <c r="C105" s="2349">
        <f>0.9622/C101</f>
        <v>0.10786995515695068</v>
      </c>
      <c r="D105" s="2349">
        <f>0.9622/D101</f>
        <v>0.10786995515695068</v>
      </c>
      <c r="E105" s="2349">
        <f>0.8656/E101</f>
        <v>9.7040358744394623E-2</v>
      </c>
      <c r="F105" s="2349">
        <f>0.8656/F101</f>
        <v>9.7040358744394623E-2</v>
      </c>
      <c r="G105" s="2349">
        <f>0.8656/G101</f>
        <v>9.7040358744394623E-2</v>
      </c>
      <c r="H105" s="2349">
        <f>0.8656/H101</f>
        <v>9.7040358744394623E-2</v>
      </c>
      <c r="I105" s="2349">
        <f>0.8656/I101</f>
        <v>9.7040358744394623E-2</v>
      </c>
      <c r="J105" s="2349">
        <f>0.7525/J101</f>
        <v>8.4360986547085196E-2</v>
      </c>
      <c r="K105" s="2349">
        <f>0.7525/K101</f>
        <v>8.4360986547085196E-2</v>
      </c>
      <c r="L105" s="2349">
        <f>0.7525/L101</f>
        <v>8.4360986547085196E-2</v>
      </c>
      <c r="M105" s="2349">
        <f>0.7525/M101</f>
        <v>8.4360986547085196E-2</v>
      </c>
      <c r="N105" s="2349">
        <f>0.7525/N101</f>
        <v>8.4360986547085196E-2</v>
      </c>
    </row>
    <row r="106" spans="1:14">
      <c r="A106" s="3343"/>
      <c r="B106" s="2348">
        <v>5</v>
      </c>
      <c r="C106" s="2349">
        <f>0.8417/C101</f>
        <v>9.4360986547085204E-2</v>
      </c>
      <c r="D106" s="2349">
        <f>0.8417/D101</f>
        <v>9.4360986547085204E-2</v>
      </c>
      <c r="E106" s="2349">
        <f>0.7371/E101</f>
        <v>8.2634529147982055E-2</v>
      </c>
      <c r="F106" s="2349">
        <f>0.7371/F101</f>
        <v>8.2634529147982055E-2</v>
      </c>
      <c r="G106" s="2349">
        <f>0.7371/G101</f>
        <v>8.2634529147982055E-2</v>
      </c>
      <c r="H106" s="2349">
        <f>0.7371/H101</f>
        <v>8.2634529147982055E-2</v>
      </c>
      <c r="I106" s="2349">
        <f>0.7371/I101</f>
        <v>8.2634529147982055E-2</v>
      </c>
      <c r="J106" s="2349">
        <f>0.5659/J101</f>
        <v>6.344170403587443E-2</v>
      </c>
      <c r="K106" s="2349">
        <f>0.5659/K101</f>
        <v>6.344170403587443E-2</v>
      </c>
      <c r="L106" s="2349">
        <f>0.5659/L101</f>
        <v>6.344170403587443E-2</v>
      </c>
      <c r="M106" s="2349">
        <f>0.5659/M101</f>
        <v>6.344170403587443E-2</v>
      </c>
      <c r="N106" s="2349">
        <f>0.5659/N101</f>
        <v>6.344170403587443E-2</v>
      </c>
    </row>
    <row r="107" spans="1:14">
      <c r="A107" s="3343"/>
      <c r="B107" s="2348">
        <v>6</v>
      </c>
      <c r="C107" s="2349">
        <f>0.7608/C101</f>
        <v>8.5291479820627805E-2</v>
      </c>
      <c r="D107" s="2349">
        <f>0.7608/D101</f>
        <v>8.5291479820627805E-2</v>
      </c>
      <c r="E107" s="2349">
        <f>0.6482/E101</f>
        <v>7.2668161434977577E-2</v>
      </c>
      <c r="F107" s="2349">
        <f>0.6482/F101</f>
        <v>7.2668161434977577E-2</v>
      </c>
      <c r="G107" s="2349">
        <f>0.6482/G101</f>
        <v>7.2668161434977577E-2</v>
      </c>
      <c r="H107" s="2349">
        <f>0.6482/H101</f>
        <v>7.2668161434977577E-2</v>
      </c>
      <c r="I107" s="2349">
        <f>0.6482/I101</f>
        <v>7.2668161434977577E-2</v>
      </c>
      <c r="J107" s="2349">
        <f>0.4525/J101</f>
        <v>5.0728699551569507E-2</v>
      </c>
      <c r="K107" s="2349">
        <f>0.4525/K101</f>
        <v>5.0728699551569507E-2</v>
      </c>
      <c r="L107" s="2349">
        <f>0.4525/L101</f>
        <v>5.0728699551569507E-2</v>
      </c>
      <c r="M107" s="2349">
        <f>0.4525/M101</f>
        <v>5.0728699551569507E-2</v>
      </c>
      <c r="N107" s="2349">
        <f>0.4525/N101</f>
        <v>5.0728699551569507E-2</v>
      </c>
    </row>
    <row r="108" spans="1:14">
      <c r="A108" s="3343"/>
      <c r="B108" s="3345" t="s">
        <v>2799</v>
      </c>
      <c r="C108" s="2350">
        <f>C99</f>
        <v>0</v>
      </c>
      <c r="D108" s="2350">
        <f t="shared" ref="D108:N108" si="32">D99</f>
        <v>0</v>
      </c>
      <c r="E108" s="2350">
        <f t="shared" si="32"/>
        <v>0</v>
      </c>
      <c r="F108" s="2350">
        <f t="shared" si="32"/>
        <v>0</v>
      </c>
      <c r="G108" s="2350">
        <f t="shared" si="32"/>
        <v>0</v>
      </c>
      <c r="H108" s="2350">
        <f t="shared" si="32"/>
        <v>0</v>
      </c>
      <c r="I108" s="2350">
        <f t="shared" si="32"/>
        <v>0</v>
      </c>
      <c r="J108" s="2350">
        <f t="shared" si="32"/>
        <v>0</v>
      </c>
      <c r="K108" s="2350">
        <f t="shared" si="32"/>
        <v>0</v>
      </c>
      <c r="L108" s="2350">
        <f t="shared" si="32"/>
        <v>0</v>
      </c>
      <c r="M108" s="2350">
        <f t="shared" si="32"/>
        <v>0</v>
      </c>
      <c r="N108" s="2350">
        <f t="shared" si="32"/>
        <v>0</v>
      </c>
    </row>
    <row r="109" spans="1:14">
      <c r="A109" s="3344"/>
      <c r="B109" s="3346"/>
      <c r="C109" s="2351">
        <f>(-0.163*(C108^2)-0.59*C108+7617)*(10^(-4))/C101</f>
        <v>8.5392376681614354E-2</v>
      </c>
      <c r="D109" s="2351">
        <f>(-0.163*(D108^2)-0.59*D108+7617)*(10^(-4))/D101</f>
        <v>8.5392376681614354E-2</v>
      </c>
      <c r="E109" s="2351">
        <f>(-0.161*(E108^2)-7.509*E108+6533)*(10^(-4))/E101</f>
        <v>7.3239910313901341E-2</v>
      </c>
      <c r="F109" s="2351">
        <f>(-0.161*(F108^2)-7.509*F108+6533)*(10^(-4))/F101</f>
        <v>7.3239910313901341E-2</v>
      </c>
      <c r="G109" s="2351">
        <f>(-0.161*(G108^2)-7.509*G108+6533)*(10^(-4))/G101</f>
        <v>7.3239910313901341E-2</v>
      </c>
      <c r="H109" s="2351">
        <f>(-0.161*(H108^2)-7.509*H108+6533)*(10^(-4))/H101</f>
        <v>7.3239910313901341E-2</v>
      </c>
      <c r="I109" s="2351">
        <f>(-0.161*(I108^2)-7.509*I108+6533)*(10^(-4))/I101</f>
        <v>7.3239910313901341E-2</v>
      </c>
      <c r="J109" s="2351">
        <f>(-0.214*(J108^2)-21.991*J108+4665)*(10^(-4))/J101</f>
        <v>5.2298206278026907E-2</v>
      </c>
      <c r="K109" s="2351">
        <f>(-0.214*(K108^2)-21.991*K108+4665)*(10^(-4))/K101</f>
        <v>5.2298206278026907E-2</v>
      </c>
      <c r="L109" s="2351">
        <f>(-0.214*(L108^2)-21.991*L108+4665)*(10^(-4))/L101</f>
        <v>5.2298206278026907E-2</v>
      </c>
      <c r="M109" s="2351">
        <f>(-0.214*(M108^2)-21.991*M108+4665)*(10^(-4))/M101</f>
        <v>5.2298206278026907E-2</v>
      </c>
      <c r="N109" s="2351">
        <f>(-0.214*(N108^2)-21.991*N108+4665)*(10^(-4))/N101</f>
        <v>5.2298206278026907E-2</v>
      </c>
    </row>
    <row r="110" spans="1:14">
      <c r="A110" s="3340" t="s">
        <v>2800</v>
      </c>
      <c r="B110" s="3340"/>
      <c r="C110" s="3340"/>
      <c r="D110" s="3340"/>
      <c r="E110" s="3340"/>
      <c r="F110" s="3340"/>
      <c r="G110" s="3340"/>
      <c r="H110" s="3340"/>
      <c r="I110" s="3340"/>
      <c r="J110" s="3340"/>
      <c r="K110" s="2354"/>
      <c r="L110" s="2354"/>
      <c r="M110" s="2354"/>
      <c r="N110" s="2354"/>
    </row>
    <row r="112" spans="1:14" ht="13.5" thickBot="1"/>
    <row r="113" spans="1:13" ht="25.5" thickBot="1">
      <c r="A113" s="842" t="s">
        <v>2801</v>
      </c>
      <c r="B113" s="1197">
        <f>G3</f>
        <v>8.92</v>
      </c>
      <c r="C113" s="843" t="s">
        <v>2802</v>
      </c>
      <c r="D113" s="844">
        <f>SUMPRODUCT((A115:A118=F113)*(B114:M114=H113)*B115:M118)</f>
        <v>0.84199999999999997</v>
      </c>
      <c r="E113" s="2190" t="s">
        <v>2636</v>
      </c>
      <c r="F113" s="2356" t="str">
        <f>E2</f>
        <v>办公</v>
      </c>
      <c r="G113" s="2190" t="s">
        <v>2637</v>
      </c>
      <c r="H113" s="2356" t="str">
        <f>G2</f>
        <v>二级</v>
      </c>
      <c r="I113" s="2190"/>
      <c r="J113" s="2357"/>
      <c r="K113" s="2357"/>
      <c r="L113" s="2357"/>
      <c r="M113" s="2357"/>
    </row>
    <row r="114" spans="1:13">
      <c r="A114" s="847"/>
      <c r="B114" s="2358" t="s">
        <v>2803</v>
      </c>
      <c r="C114" s="2358" t="s">
        <v>2804</v>
      </c>
      <c r="D114" s="2358" t="s">
        <v>2805</v>
      </c>
      <c r="E114" s="2359" t="s">
        <v>2806</v>
      </c>
      <c r="F114" s="2359" t="s">
        <v>2807</v>
      </c>
      <c r="G114" s="2359" t="s">
        <v>2808</v>
      </c>
      <c r="H114" s="2360" t="s">
        <v>2809</v>
      </c>
      <c r="I114" s="2360" t="s">
        <v>2810</v>
      </c>
      <c r="J114" s="2361" t="s">
        <v>2811</v>
      </c>
      <c r="K114" s="2361" t="s">
        <v>2812</v>
      </c>
      <c r="L114" s="2361" t="s">
        <v>2813</v>
      </c>
      <c r="M114" s="2362" t="s">
        <v>2814</v>
      </c>
    </row>
    <row r="115" spans="1:13">
      <c r="A115" s="848" t="s">
        <v>2701</v>
      </c>
      <c r="B115" s="849">
        <f>ROUND(0.9335-0.0094*B113,4)</f>
        <v>0.84970000000000001</v>
      </c>
      <c r="C115" s="849">
        <f>B115</f>
        <v>0.84970000000000001</v>
      </c>
      <c r="D115" s="849">
        <f>ROUND(0.8331-0.0109*B113,4)</f>
        <v>0.7359</v>
      </c>
      <c r="E115" s="849">
        <f>D115</f>
        <v>0.7359</v>
      </c>
      <c r="F115" s="849">
        <f>E115</f>
        <v>0.7359</v>
      </c>
      <c r="G115" s="849">
        <f>F115</f>
        <v>0.7359</v>
      </c>
      <c r="H115" s="849">
        <f>G115</f>
        <v>0.7359</v>
      </c>
      <c r="I115" s="849">
        <f>ROUND(0.689-0.0155*B113,4)</f>
        <v>0.55069999999999997</v>
      </c>
      <c r="J115" s="849">
        <f t="shared" ref="J115:M118" si="33">I115</f>
        <v>0.55069999999999997</v>
      </c>
      <c r="K115" s="849">
        <f t="shared" si="33"/>
        <v>0.55069999999999997</v>
      </c>
      <c r="L115" s="849">
        <f t="shared" si="33"/>
        <v>0.55069999999999997</v>
      </c>
      <c r="M115" s="850">
        <f t="shared" si="33"/>
        <v>0.55069999999999997</v>
      </c>
    </row>
    <row r="116" spans="1:13">
      <c r="A116" s="848" t="s">
        <v>2702</v>
      </c>
      <c r="B116" s="849">
        <f>ROUND(0.949-0.012*B113,4)</f>
        <v>0.84199999999999997</v>
      </c>
      <c r="C116" s="849">
        <f>B116</f>
        <v>0.84199999999999997</v>
      </c>
      <c r="D116" s="849">
        <f>ROUND(0.8567-0.013*B113,4)</f>
        <v>0.74070000000000003</v>
      </c>
      <c r="E116" s="849">
        <f t="shared" ref="E116:H117" si="34">D116</f>
        <v>0.74070000000000003</v>
      </c>
      <c r="F116" s="849">
        <f t="shared" si="34"/>
        <v>0.74070000000000003</v>
      </c>
      <c r="G116" s="849">
        <f t="shared" si="34"/>
        <v>0.74070000000000003</v>
      </c>
      <c r="H116" s="849">
        <f t="shared" si="34"/>
        <v>0.74070000000000003</v>
      </c>
      <c r="I116" s="849">
        <f>ROUND(0.7694-0.014*B113,4)</f>
        <v>0.64449999999999996</v>
      </c>
      <c r="J116" s="849">
        <f t="shared" si="33"/>
        <v>0.64449999999999996</v>
      </c>
      <c r="K116" s="849">
        <f t="shared" si="33"/>
        <v>0.64449999999999996</v>
      </c>
      <c r="L116" s="849">
        <f t="shared" si="33"/>
        <v>0.64449999999999996</v>
      </c>
      <c r="M116" s="850">
        <f t="shared" si="33"/>
        <v>0.64449999999999996</v>
      </c>
    </row>
    <row r="117" spans="1:13">
      <c r="A117" s="848" t="s">
        <v>2703</v>
      </c>
      <c r="B117" s="849">
        <f>ROUND(0.8808-0.006*B113,4)</f>
        <v>0.82730000000000004</v>
      </c>
      <c r="C117" s="849">
        <f>B117</f>
        <v>0.82730000000000004</v>
      </c>
      <c r="D117" s="849">
        <f>ROUND(0.8748-0.008*B113,4)</f>
        <v>0.8034</v>
      </c>
      <c r="E117" s="849">
        <f t="shared" si="34"/>
        <v>0.8034</v>
      </c>
      <c r="F117" s="849">
        <f t="shared" si="34"/>
        <v>0.8034</v>
      </c>
      <c r="G117" s="849">
        <f t="shared" si="34"/>
        <v>0.8034</v>
      </c>
      <c r="H117" s="849">
        <f t="shared" si="34"/>
        <v>0.8034</v>
      </c>
      <c r="I117" s="849">
        <f>ROUND(0.7412-0.0095*B113,4)</f>
        <v>0.65649999999999997</v>
      </c>
      <c r="J117" s="849">
        <f t="shared" si="33"/>
        <v>0.65649999999999997</v>
      </c>
      <c r="K117" s="849">
        <f t="shared" si="33"/>
        <v>0.65649999999999997</v>
      </c>
      <c r="L117" s="849">
        <f t="shared" si="33"/>
        <v>0.65649999999999997</v>
      </c>
      <c r="M117" s="850">
        <f t="shared" si="33"/>
        <v>0.65649999999999997</v>
      </c>
    </row>
    <row r="118" spans="1:13" ht="13.5" thickBot="1">
      <c r="A118" s="670" t="s">
        <v>2704</v>
      </c>
      <c r="B118" s="851">
        <f>ROUND(0.7275-0.01*B113,4)</f>
        <v>0.63829999999999998</v>
      </c>
      <c r="C118" s="851">
        <f>B118</f>
        <v>0.63829999999999998</v>
      </c>
      <c r="D118" s="851">
        <f>ROUND(0.7043-0.012*B113,4)</f>
        <v>0.59730000000000005</v>
      </c>
      <c r="E118" s="851">
        <f>D118</f>
        <v>0.59730000000000005</v>
      </c>
      <c r="F118" s="851">
        <f>E118</f>
        <v>0.59730000000000005</v>
      </c>
      <c r="G118" s="851">
        <f>ROUND(0.6299-0.0122*B113,4)</f>
        <v>0.52110000000000001</v>
      </c>
      <c r="H118" s="851">
        <f>G118</f>
        <v>0.52110000000000001</v>
      </c>
      <c r="I118" s="851">
        <f>ROUND(0.5667-0.0136*B113,4)</f>
        <v>0.44540000000000002</v>
      </c>
      <c r="J118" s="851">
        <f t="shared" si="33"/>
        <v>0.44540000000000002</v>
      </c>
      <c r="K118" s="851">
        <f t="shared" si="33"/>
        <v>0.44540000000000002</v>
      </c>
      <c r="L118" s="851">
        <f t="shared" si="33"/>
        <v>0.44540000000000002</v>
      </c>
      <c r="M118" s="852">
        <f t="shared" si="33"/>
        <v>0.44540000000000002</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2866</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63" t="s">
        <v>183</v>
      </c>
      <c r="B18" s="821" t="s">
        <v>560</v>
      </c>
      <c r="C18" s="822" t="s">
        <v>561</v>
      </c>
      <c r="D18" s="823"/>
      <c r="E18" s="821">
        <v>1</v>
      </c>
      <c r="F18" s="824" t="s">
        <v>562</v>
      </c>
      <c r="G18" s="825"/>
      <c r="H18" s="817"/>
      <c r="I18" s="817"/>
    </row>
    <row r="19" spans="1:9" s="826" customFormat="1" ht="19.5" customHeight="1">
      <c r="A19" s="3363"/>
      <c r="B19" s="3363" t="s">
        <v>563</v>
      </c>
      <c r="C19" s="822" t="s">
        <v>564</v>
      </c>
      <c r="D19" s="823"/>
      <c r="E19" s="821">
        <v>0.9</v>
      </c>
      <c r="F19" s="824" t="s">
        <v>565</v>
      </c>
      <c r="G19" s="825"/>
      <c r="H19" s="817"/>
      <c r="I19" s="817"/>
    </row>
    <row r="20" spans="1:9" s="826" customFormat="1" ht="19.5" customHeight="1">
      <c r="A20" s="3363"/>
      <c r="B20" s="3363"/>
      <c r="C20" s="822" t="s">
        <v>566</v>
      </c>
      <c r="D20" s="823"/>
      <c r="E20" s="821">
        <v>1.1000000000000001</v>
      </c>
      <c r="F20" s="824" t="s">
        <v>567</v>
      </c>
      <c r="G20" s="825"/>
      <c r="H20" s="817"/>
      <c r="I20" s="817"/>
    </row>
    <row r="21" spans="1:9" s="826" customFormat="1" ht="19.5" customHeight="1">
      <c r="A21" s="3363"/>
      <c r="B21" s="3363"/>
      <c r="C21" s="822" t="s">
        <v>568</v>
      </c>
      <c r="D21" s="823"/>
      <c r="E21" s="821">
        <v>0.8</v>
      </c>
      <c r="F21" s="824" t="s">
        <v>569</v>
      </c>
      <c r="G21" s="825"/>
      <c r="H21" s="817"/>
      <c r="I21" s="817"/>
    </row>
    <row r="22" spans="1:9" s="826" customFormat="1" ht="19.5" customHeight="1">
      <c r="A22" s="3363"/>
      <c r="B22" s="3363"/>
      <c r="C22" s="822" t="s">
        <v>570</v>
      </c>
      <c r="D22" s="823"/>
      <c r="E22" s="821">
        <v>0.5</v>
      </c>
      <c r="F22" s="824"/>
      <c r="G22" s="825"/>
      <c r="H22" s="817"/>
      <c r="I22" s="817"/>
    </row>
    <row r="23" spans="1:9" s="826" customFormat="1" ht="19.5" customHeight="1">
      <c r="A23" s="3363" t="s">
        <v>184</v>
      </c>
      <c r="B23" s="821" t="s">
        <v>560</v>
      </c>
      <c r="C23" s="822" t="s">
        <v>571</v>
      </c>
      <c r="D23" s="823"/>
      <c r="E23" s="821">
        <v>1</v>
      </c>
      <c r="F23" s="824" t="s">
        <v>572</v>
      </c>
      <c r="G23" s="825"/>
      <c r="H23" s="817"/>
      <c r="I23" s="817"/>
    </row>
    <row r="24" spans="1:9" s="826" customFormat="1" ht="19.5" customHeight="1">
      <c r="A24" s="3363"/>
      <c r="B24" s="3363" t="s">
        <v>563</v>
      </c>
      <c r="C24" s="822" t="s">
        <v>573</v>
      </c>
      <c r="D24" s="823"/>
      <c r="E24" s="821">
        <v>0.5</v>
      </c>
      <c r="F24" s="824"/>
      <c r="G24" s="825"/>
      <c r="H24" s="817"/>
      <c r="I24" s="817"/>
    </row>
    <row r="25" spans="1:9" s="826" customFormat="1" ht="19.5" customHeight="1">
      <c r="A25" s="3363"/>
      <c r="B25" s="3363"/>
      <c r="C25" s="822" t="s">
        <v>574</v>
      </c>
      <c r="D25" s="823"/>
      <c r="E25" s="821">
        <v>1.1000000000000001</v>
      </c>
      <c r="F25" s="824"/>
      <c r="G25" s="825"/>
      <c r="H25" s="817"/>
      <c r="I25" s="817"/>
    </row>
    <row r="26" spans="1:9" s="826" customFormat="1" ht="19.5" customHeight="1">
      <c r="A26" s="3363"/>
      <c r="B26" s="3363"/>
      <c r="C26" s="822" t="s">
        <v>575</v>
      </c>
      <c r="D26" s="823"/>
      <c r="E26" s="821">
        <v>1.1000000000000001</v>
      </c>
      <c r="F26" s="824"/>
      <c r="G26" s="825"/>
      <c r="H26" s="817"/>
      <c r="I26" s="817"/>
    </row>
    <row r="27" spans="1:9" s="826" customFormat="1" ht="19.5" customHeight="1">
      <c r="A27" s="3363"/>
      <c r="B27" s="3363"/>
      <c r="C27" s="822" t="s">
        <v>576</v>
      </c>
      <c r="D27" s="823"/>
      <c r="E27" s="821">
        <v>0.9</v>
      </c>
      <c r="F27" s="824" t="s">
        <v>577</v>
      </c>
      <c r="G27" s="825"/>
      <c r="H27" s="817"/>
      <c r="I27" s="817"/>
    </row>
    <row r="28" spans="1:9" s="826" customFormat="1" ht="19.5" customHeight="1">
      <c r="A28" s="3363"/>
      <c r="B28" s="3363"/>
      <c r="C28" s="822" t="s">
        <v>578</v>
      </c>
      <c r="D28" s="823"/>
      <c r="E28" s="821">
        <v>0.9</v>
      </c>
      <c r="F28" s="824" t="s">
        <v>579</v>
      </c>
      <c r="G28" s="825"/>
      <c r="H28" s="817"/>
      <c r="I28" s="817"/>
    </row>
    <row r="29" spans="1:9" s="826" customFormat="1" ht="19.5" customHeight="1">
      <c r="A29" s="3363"/>
      <c r="B29" s="3363"/>
      <c r="C29" s="822" t="s">
        <v>580</v>
      </c>
      <c r="D29" s="823"/>
      <c r="E29" s="821">
        <v>0.9</v>
      </c>
      <c r="F29" s="824" t="s">
        <v>581</v>
      </c>
      <c r="G29" s="825"/>
      <c r="H29" s="817"/>
      <c r="I29" s="817"/>
    </row>
    <row r="30" spans="1:9" s="826" customFormat="1" ht="19.5" customHeight="1">
      <c r="A30" s="3363"/>
      <c r="B30" s="3363"/>
      <c r="C30" s="822" t="s">
        <v>582</v>
      </c>
      <c r="D30" s="823"/>
      <c r="E30" s="821">
        <v>0.9</v>
      </c>
      <c r="F30" s="824" t="s">
        <v>583</v>
      </c>
      <c r="G30" s="825"/>
      <c r="H30" s="817"/>
      <c r="I30" s="817"/>
    </row>
    <row r="31" spans="1:9" s="826" customFormat="1" ht="19.5" customHeight="1">
      <c r="A31" s="3363"/>
      <c r="B31" s="3363"/>
      <c r="C31" s="822" t="s">
        <v>584</v>
      </c>
      <c r="D31" s="823"/>
      <c r="E31" s="821">
        <v>0.8</v>
      </c>
      <c r="F31" s="824" t="s">
        <v>585</v>
      </c>
      <c r="G31" s="825"/>
      <c r="H31" s="817"/>
      <c r="I31" s="817"/>
    </row>
    <row r="32" spans="1:9" s="826" customFormat="1" ht="19.5" customHeight="1">
      <c r="A32" s="3363"/>
      <c r="B32" s="3363"/>
      <c r="C32" s="822" t="s">
        <v>586</v>
      </c>
      <c r="D32" s="823"/>
      <c r="E32" s="821">
        <v>0.8</v>
      </c>
      <c r="F32" s="824" t="s">
        <v>587</v>
      </c>
      <c r="G32" s="825"/>
      <c r="H32" s="817"/>
      <c r="I32" s="817"/>
    </row>
    <row r="33" spans="1:9" s="826" customFormat="1" ht="19.5" customHeight="1">
      <c r="A33" s="3363" t="s">
        <v>185</v>
      </c>
      <c r="B33" s="821" t="s">
        <v>560</v>
      </c>
      <c r="C33" s="822" t="s">
        <v>588</v>
      </c>
      <c r="D33" s="823"/>
      <c r="E33" s="821">
        <v>1</v>
      </c>
      <c r="F33" s="824" t="s">
        <v>589</v>
      </c>
      <c r="G33" s="825"/>
      <c r="H33" s="817"/>
      <c r="I33" s="817"/>
    </row>
    <row r="34" spans="1:9" s="826" customFormat="1" ht="19.5" customHeight="1">
      <c r="A34" s="3363"/>
      <c r="B34" s="821" t="s">
        <v>563</v>
      </c>
      <c r="C34" s="822" t="s">
        <v>590</v>
      </c>
      <c r="D34" s="823"/>
      <c r="E34" s="821">
        <v>1.5</v>
      </c>
      <c r="F34" s="824" t="s">
        <v>591</v>
      </c>
      <c r="G34" s="825"/>
      <c r="H34" s="817"/>
      <c r="I34" s="817"/>
    </row>
    <row r="35" spans="1:9" s="826" customFormat="1" ht="19.5" customHeight="1">
      <c r="A35" s="3363" t="s">
        <v>186</v>
      </c>
      <c r="B35" s="821" t="s">
        <v>560</v>
      </c>
      <c r="C35" s="822" t="s">
        <v>592</v>
      </c>
      <c r="D35" s="823"/>
      <c r="E35" s="821">
        <v>1</v>
      </c>
      <c r="F35" s="824" t="s">
        <v>593</v>
      </c>
      <c r="G35" s="825"/>
      <c r="H35" s="817"/>
      <c r="I35" s="817"/>
    </row>
    <row r="36" spans="1:9" s="826" customFormat="1" ht="19.5" customHeight="1">
      <c r="A36" s="3363"/>
      <c r="B36" s="3363" t="s">
        <v>563</v>
      </c>
      <c r="C36" s="822" t="s">
        <v>594</v>
      </c>
      <c r="D36" s="823"/>
      <c r="E36" s="821">
        <v>1</v>
      </c>
      <c r="F36" s="824" t="s">
        <v>595</v>
      </c>
      <c r="G36" s="825"/>
      <c r="H36" s="817"/>
      <c r="I36" s="817"/>
    </row>
    <row r="37" spans="1:9" s="826" customFormat="1" ht="19.5" customHeight="1">
      <c r="A37" s="3363"/>
      <c r="B37" s="3363"/>
      <c r="C37" s="822" t="s">
        <v>596</v>
      </c>
      <c r="D37" s="823"/>
      <c r="E37" s="821">
        <v>1.5</v>
      </c>
      <c r="F37" s="824" t="s">
        <v>597</v>
      </c>
      <c r="G37" s="825"/>
      <c r="H37" s="817"/>
      <c r="I37" s="817"/>
    </row>
    <row r="38" spans="1:9" s="826" customFormat="1" ht="19.5" customHeight="1">
      <c r="A38" s="3363"/>
      <c r="B38" s="3363"/>
      <c r="C38" s="822" t="s">
        <v>598</v>
      </c>
      <c r="D38" s="823"/>
      <c r="E38" s="821">
        <v>1</v>
      </c>
      <c r="F38" s="824" t="s">
        <v>599</v>
      </c>
      <c r="G38" s="825"/>
      <c r="H38" s="817"/>
      <c r="I38" s="817"/>
    </row>
    <row r="39" spans="1:9" s="826" customFormat="1" ht="19.5" customHeight="1">
      <c r="A39" s="3363"/>
      <c r="B39" s="3363"/>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63" t="s">
        <v>614</v>
      </c>
      <c r="C61" s="757" t="s">
        <v>615</v>
      </c>
      <c r="D61" s="757" t="s">
        <v>616</v>
      </c>
      <c r="E61" s="834">
        <v>0.5</v>
      </c>
      <c r="F61" s="821">
        <v>80</v>
      </c>
    </row>
    <row r="62" spans="1:8" s="817" customFormat="1" ht="24">
      <c r="A62" s="821">
        <v>2</v>
      </c>
      <c r="B62" s="3363"/>
      <c r="C62" s="757" t="s">
        <v>617</v>
      </c>
      <c r="D62" s="757" t="s">
        <v>618</v>
      </c>
      <c r="E62" s="834">
        <v>0.5</v>
      </c>
      <c r="F62" s="821">
        <v>80</v>
      </c>
    </row>
    <row r="63" spans="1:8" s="817" customFormat="1" ht="36">
      <c r="A63" s="821">
        <v>3</v>
      </c>
      <c r="B63" s="3363"/>
      <c r="C63" s="757" t="s">
        <v>619</v>
      </c>
      <c r="D63" s="757" t="s">
        <v>620</v>
      </c>
      <c r="E63" s="834">
        <v>0.5</v>
      </c>
      <c r="F63" s="821">
        <v>80</v>
      </c>
    </row>
    <row r="64" spans="1:8" s="817" customFormat="1" ht="36">
      <c r="A64" s="821">
        <v>4</v>
      </c>
      <c r="B64" s="3363"/>
      <c r="C64" s="757" t="s">
        <v>621</v>
      </c>
      <c r="D64" s="757" t="s">
        <v>622</v>
      </c>
      <c r="E64" s="834">
        <v>0.4</v>
      </c>
      <c r="F64" s="821">
        <v>60</v>
      </c>
    </row>
    <row r="65" spans="1:6" s="817" customFormat="1" ht="36">
      <c r="A65" s="821">
        <v>5</v>
      </c>
      <c r="B65" s="3363"/>
      <c r="C65" s="757" t="s">
        <v>623</v>
      </c>
      <c r="D65" s="757" t="s">
        <v>624</v>
      </c>
      <c r="E65" s="834">
        <v>0.2</v>
      </c>
      <c r="F65" s="821">
        <v>30</v>
      </c>
    </row>
    <row r="66" spans="1:6" s="817" customFormat="1" ht="36">
      <c r="A66" s="821">
        <v>6</v>
      </c>
      <c r="B66" s="3363"/>
      <c r="C66" s="757" t="s">
        <v>625</v>
      </c>
      <c r="D66" s="757" t="s">
        <v>626</v>
      </c>
      <c r="E66" s="834">
        <v>0.3</v>
      </c>
      <c r="F66" s="821">
        <v>50</v>
      </c>
    </row>
    <row r="67" spans="1:6" s="817" customFormat="1" ht="36">
      <c r="A67" s="821">
        <v>7</v>
      </c>
      <c r="B67" s="3363"/>
      <c r="C67" s="757" t="s">
        <v>627</v>
      </c>
      <c r="D67" s="757" t="s">
        <v>628</v>
      </c>
      <c r="E67" s="834">
        <v>0.2</v>
      </c>
      <c r="F67" s="821">
        <v>30</v>
      </c>
    </row>
    <row r="68" spans="1:6" s="817" customFormat="1" ht="36">
      <c r="A68" s="821">
        <v>8</v>
      </c>
      <c r="B68" s="3363"/>
      <c r="C68" s="757" t="s">
        <v>629</v>
      </c>
      <c r="D68" s="757" t="s">
        <v>630</v>
      </c>
      <c r="E68" s="834">
        <v>0.2</v>
      </c>
      <c r="F68" s="821">
        <v>30</v>
      </c>
    </row>
    <row r="69" spans="1:6" s="817" customFormat="1" ht="36">
      <c r="A69" s="821">
        <v>9</v>
      </c>
      <c r="B69" s="3363"/>
      <c r="C69" s="757" t="s">
        <v>631</v>
      </c>
      <c r="D69" s="757" t="s">
        <v>632</v>
      </c>
      <c r="E69" s="834">
        <v>0.2</v>
      </c>
      <c r="F69" s="821">
        <v>30</v>
      </c>
    </row>
    <row r="70" spans="1:6" s="817" customFormat="1" ht="48">
      <c r="A70" s="821">
        <v>10</v>
      </c>
      <c r="B70" s="3363"/>
      <c r="C70" s="757" t="s">
        <v>633</v>
      </c>
      <c r="D70" s="757" t="s">
        <v>634</v>
      </c>
      <c r="E70" s="834">
        <v>0.2</v>
      </c>
      <c r="F70" s="821">
        <v>30</v>
      </c>
    </row>
    <row r="71" spans="1:6" s="817" customFormat="1" ht="48">
      <c r="A71" s="821">
        <v>11</v>
      </c>
      <c r="B71" s="3363"/>
      <c r="C71" s="757" t="s">
        <v>635</v>
      </c>
      <c r="D71" s="757" t="s">
        <v>636</v>
      </c>
      <c r="E71" s="834">
        <v>0.2</v>
      </c>
      <c r="F71" s="821">
        <v>30</v>
      </c>
    </row>
    <row r="72" spans="1:6" s="817" customFormat="1" ht="36">
      <c r="A72" s="821">
        <v>12</v>
      </c>
      <c r="B72" s="3363"/>
      <c r="C72" s="757" t="s">
        <v>637</v>
      </c>
      <c r="D72" s="757" t="s">
        <v>638</v>
      </c>
      <c r="E72" s="834">
        <v>0.5</v>
      </c>
      <c r="F72" s="821">
        <v>80</v>
      </c>
    </row>
    <row r="73" spans="1:6" s="817" customFormat="1" ht="24">
      <c r="A73" s="821">
        <v>13</v>
      </c>
      <c r="B73" s="3363"/>
      <c r="C73" s="757" t="s">
        <v>639</v>
      </c>
      <c r="D73" s="757" t="s">
        <v>640</v>
      </c>
      <c r="E73" s="834">
        <v>0.4</v>
      </c>
      <c r="F73" s="821">
        <v>60</v>
      </c>
    </row>
    <row r="74" spans="1:6" s="817" customFormat="1" ht="24">
      <c r="A74" s="821">
        <v>14</v>
      </c>
      <c r="B74" s="3363"/>
      <c r="C74" s="757" t="s">
        <v>641</v>
      </c>
      <c r="D74" s="757" t="s">
        <v>642</v>
      </c>
      <c r="E74" s="834">
        <v>0.2</v>
      </c>
      <c r="F74" s="821">
        <v>30</v>
      </c>
    </row>
    <row r="75" spans="1:6" s="817" customFormat="1" ht="24">
      <c r="A75" s="821">
        <v>15</v>
      </c>
      <c r="B75" s="3363"/>
      <c r="C75" s="757" t="s">
        <v>643</v>
      </c>
      <c r="D75" s="757" t="s">
        <v>644</v>
      </c>
      <c r="E75" s="834">
        <v>0.2</v>
      </c>
      <c r="F75" s="821">
        <v>30</v>
      </c>
    </row>
    <row r="76" spans="1:6" s="817" customFormat="1" ht="24">
      <c r="A76" s="821">
        <v>16</v>
      </c>
      <c r="B76" s="3363" t="s">
        <v>645</v>
      </c>
      <c r="C76" s="757" t="s">
        <v>646</v>
      </c>
      <c r="D76" s="757" t="s">
        <v>647</v>
      </c>
      <c r="E76" s="834">
        <v>0.5</v>
      </c>
      <c r="F76" s="821">
        <v>80</v>
      </c>
    </row>
    <row r="77" spans="1:6" s="817" customFormat="1" ht="24">
      <c r="A77" s="821">
        <v>17</v>
      </c>
      <c r="B77" s="3363"/>
      <c r="C77" s="757" t="s">
        <v>648</v>
      </c>
      <c r="D77" s="757" t="s">
        <v>649</v>
      </c>
      <c r="E77" s="834">
        <v>0.5</v>
      </c>
      <c r="F77" s="821">
        <v>80</v>
      </c>
    </row>
    <row r="78" spans="1:6" s="817" customFormat="1" ht="24">
      <c r="A78" s="821">
        <v>18</v>
      </c>
      <c r="B78" s="3363"/>
      <c r="C78" s="757" t="s">
        <v>650</v>
      </c>
      <c r="D78" s="757" t="s">
        <v>651</v>
      </c>
      <c r="E78" s="834">
        <v>0.2</v>
      </c>
      <c r="F78" s="821">
        <v>30</v>
      </c>
    </row>
    <row r="79" spans="1:6" s="817" customFormat="1" ht="24">
      <c r="A79" s="821">
        <v>19</v>
      </c>
      <c r="B79" s="3363"/>
      <c r="C79" s="757" t="s">
        <v>652</v>
      </c>
      <c r="D79" s="757" t="s">
        <v>653</v>
      </c>
      <c r="E79" s="834">
        <v>0.5</v>
      </c>
      <c r="F79" s="821">
        <v>80</v>
      </c>
    </row>
    <row r="80" spans="1:6" s="817" customFormat="1" ht="36">
      <c r="A80" s="821">
        <v>20</v>
      </c>
      <c r="B80" s="3363"/>
      <c r="C80" s="757" t="s">
        <v>654</v>
      </c>
      <c r="D80" s="757" t="s">
        <v>655</v>
      </c>
      <c r="E80" s="834">
        <v>0.2</v>
      </c>
      <c r="F80" s="821">
        <v>30</v>
      </c>
    </row>
    <row r="81" spans="1:6" s="817" customFormat="1" ht="36">
      <c r="A81" s="821">
        <v>21</v>
      </c>
      <c r="B81" s="3363"/>
      <c r="C81" s="757" t="s">
        <v>656</v>
      </c>
      <c r="D81" s="757" t="s">
        <v>657</v>
      </c>
      <c r="E81" s="834">
        <v>0.2</v>
      </c>
      <c r="F81" s="821">
        <v>30</v>
      </c>
    </row>
    <row r="82" spans="1:6" s="817" customFormat="1" ht="48">
      <c r="A82" s="821">
        <v>22</v>
      </c>
      <c r="B82" s="3363"/>
      <c r="C82" s="757" t="s">
        <v>658</v>
      </c>
      <c r="D82" s="757" t="s">
        <v>659</v>
      </c>
      <c r="E82" s="834">
        <v>0.2</v>
      </c>
      <c r="F82" s="821">
        <v>30</v>
      </c>
    </row>
    <row r="83" spans="1:6" s="817" customFormat="1" ht="48">
      <c r="A83" s="821">
        <v>23</v>
      </c>
      <c r="B83" s="3363"/>
      <c r="C83" s="757" t="s">
        <v>660</v>
      </c>
      <c r="D83" s="757" t="s">
        <v>661</v>
      </c>
      <c r="E83" s="834">
        <v>0.2</v>
      </c>
      <c r="F83" s="821">
        <v>30</v>
      </c>
    </row>
    <row r="84" spans="1:6" s="817" customFormat="1" ht="36">
      <c r="A84" s="821">
        <v>24</v>
      </c>
      <c r="B84" s="3363"/>
      <c r="C84" s="757" t="s">
        <v>662</v>
      </c>
      <c r="D84" s="757" t="s">
        <v>663</v>
      </c>
      <c r="E84" s="834">
        <v>0.2</v>
      </c>
      <c r="F84" s="821">
        <v>30</v>
      </c>
    </row>
    <row r="85" spans="1:6" s="817" customFormat="1" ht="36">
      <c r="A85" s="821">
        <v>25</v>
      </c>
      <c r="B85" s="3363"/>
      <c r="C85" s="757" t="s">
        <v>664</v>
      </c>
      <c r="D85" s="757" t="s">
        <v>665</v>
      </c>
      <c r="E85" s="834">
        <v>0.5</v>
      </c>
      <c r="F85" s="821">
        <v>80</v>
      </c>
    </row>
    <row r="86" spans="1:6" s="817" customFormat="1" ht="36">
      <c r="A86" s="821">
        <v>26</v>
      </c>
      <c r="B86" s="3363"/>
      <c r="C86" s="757" t="s">
        <v>666</v>
      </c>
      <c r="D86" s="757" t="s">
        <v>667</v>
      </c>
      <c r="E86" s="834">
        <v>0.2</v>
      </c>
      <c r="F86" s="821">
        <v>30</v>
      </c>
    </row>
    <row r="87" spans="1:6" s="817" customFormat="1" ht="36">
      <c r="A87" s="821">
        <v>27</v>
      </c>
      <c r="B87" s="3363"/>
      <c r="C87" s="757" t="s">
        <v>668</v>
      </c>
      <c r="D87" s="757" t="s">
        <v>669</v>
      </c>
      <c r="E87" s="834">
        <v>0.2</v>
      </c>
      <c r="F87" s="821">
        <v>30</v>
      </c>
    </row>
    <row r="88" spans="1:6" s="817" customFormat="1" ht="36">
      <c r="A88" s="821">
        <v>28</v>
      </c>
      <c r="B88" s="3363"/>
      <c r="C88" s="757" t="s">
        <v>670</v>
      </c>
      <c r="D88" s="757" t="s">
        <v>671</v>
      </c>
      <c r="E88" s="834">
        <v>0.2</v>
      </c>
      <c r="F88" s="821">
        <v>30</v>
      </c>
    </row>
    <row r="89" spans="1:6" s="817" customFormat="1" ht="24">
      <c r="A89" s="821">
        <v>29</v>
      </c>
      <c r="B89" s="3363"/>
      <c r="C89" s="757" t="s">
        <v>672</v>
      </c>
      <c r="D89" s="757" t="s">
        <v>673</v>
      </c>
      <c r="E89" s="834">
        <v>0.2</v>
      </c>
      <c r="F89" s="821">
        <v>30</v>
      </c>
    </row>
    <row r="90" spans="1:6" s="817" customFormat="1" ht="24">
      <c r="A90" s="821">
        <v>30</v>
      </c>
      <c r="B90" s="3363"/>
      <c r="C90" s="757" t="s">
        <v>674</v>
      </c>
      <c r="D90" s="757" t="s">
        <v>675</v>
      </c>
      <c r="E90" s="834">
        <v>0.2</v>
      </c>
      <c r="F90" s="821">
        <v>30</v>
      </c>
    </row>
    <row r="91" spans="1:6" s="817" customFormat="1" ht="36">
      <c r="A91" s="821">
        <v>31</v>
      </c>
      <c r="B91" s="3363"/>
      <c r="C91" s="757" t="s">
        <v>676</v>
      </c>
      <c r="D91" s="757" t="s">
        <v>677</v>
      </c>
      <c r="E91" s="834">
        <v>0.2</v>
      </c>
      <c r="F91" s="821">
        <v>30</v>
      </c>
    </row>
    <row r="92" spans="1:6" s="817" customFormat="1" ht="24">
      <c r="A92" s="821">
        <v>32</v>
      </c>
      <c r="B92" s="3363" t="s">
        <v>678</v>
      </c>
      <c r="C92" s="821" t="s">
        <v>679</v>
      </c>
      <c r="D92" s="757" t="s">
        <v>680</v>
      </c>
      <c r="E92" s="834">
        <v>0.2</v>
      </c>
      <c r="F92" s="821">
        <v>30</v>
      </c>
    </row>
    <row r="93" spans="1:6" s="817" customFormat="1" ht="36">
      <c r="A93" s="821">
        <v>33</v>
      </c>
      <c r="B93" s="3363"/>
      <c r="C93" s="821" t="s">
        <v>681</v>
      </c>
      <c r="D93" s="757" t="s">
        <v>682</v>
      </c>
      <c r="E93" s="834">
        <v>0.2</v>
      </c>
      <c r="F93" s="821">
        <v>30</v>
      </c>
    </row>
    <row r="94" spans="1:6" s="817" customFormat="1" ht="48">
      <c r="A94" s="821">
        <v>34</v>
      </c>
      <c r="B94" s="3363"/>
      <c r="C94" s="821" t="s">
        <v>683</v>
      </c>
      <c r="D94" s="757" t="s">
        <v>684</v>
      </c>
      <c r="E94" s="834">
        <v>0.2</v>
      </c>
      <c r="F94" s="821">
        <v>30</v>
      </c>
    </row>
    <row r="95" spans="1:6" s="817" customFormat="1" ht="36">
      <c r="A95" s="821">
        <v>35</v>
      </c>
      <c r="B95" s="3363"/>
      <c r="C95" s="821" t="s">
        <v>685</v>
      </c>
      <c r="D95" s="757" t="s">
        <v>686</v>
      </c>
      <c r="E95" s="834">
        <v>0.2</v>
      </c>
      <c r="F95" s="821">
        <v>30</v>
      </c>
    </row>
    <row r="96" spans="1:6" s="817" customFormat="1" ht="48">
      <c r="A96" s="821">
        <v>36</v>
      </c>
      <c r="B96" s="3363"/>
      <c r="C96" s="757" t="s">
        <v>687</v>
      </c>
      <c r="D96" s="757" t="s">
        <v>688</v>
      </c>
      <c r="E96" s="834">
        <v>0.2</v>
      </c>
      <c r="F96" s="821">
        <v>30</v>
      </c>
    </row>
    <row r="97" spans="1:6" s="817" customFormat="1" ht="36">
      <c r="A97" s="821">
        <v>37</v>
      </c>
      <c r="B97" s="3363"/>
      <c r="C97" s="821" t="s">
        <v>689</v>
      </c>
      <c r="D97" s="757" t="s">
        <v>690</v>
      </c>
      <c r="E97" s="834">
        <v>0.2</v>
      </c>
      <c r="F97" s="821">
        <v>30</v>
      </c>
    </row>
    <row r="98" spans="1:6" s="817" customFormat="1" ht="36">
      <c r="A98" s="821">
        <v>38</v>
      </c>
      <c r="B98" s="3363"/>
      <c r="C98" s="821" t="s">
        <v>691</v>
      </c>
      <c r="D98" s="757" t="s">
        <v>692</v>
      </c>
      <c r="E98" s="834">
        <v>0.2</v>
      </c>
      <c r="F98" s="821">
        <v>30</v>
      </c>
    </row>
    <row r="99" spans="1:6" s="817" customFormat="1" ht="36">
      <c r="A99" s="821">
        <v>39</v>
      </c>
      <c r="B99" s="3363" t="s">
        <v>693</v>
      </c>
      <c r="C99" s="821" t="s">
        <v>694</v>
      </c>
      <c r="D99" s="757" t="s">
        <v>695</v>
      </c>
      <c r="E99" s="834">
        <v>0.3</v>
      </c>
      <c r="F99" s="821">
        <v>50</v>
      </c>
    </row>
    <row r="100" spans="1:6" s="817" customFormat="1" ht="24">
      <c r="A100" s="821">
        <v>40</v>
      </c>
      <c r="B100" s="3363"/>
      <c r="C100" s="821" t="s">
        <v>696</v>
      </c>
      <c r="D100" s="757" t="s">
        <v>697</v>
      </c>
      <c r="E100" s="834">
        <v>0.2</v>
      </c>
      <c r="F100" s="821">
        <v>30</v>
      </c>
    </row>
    <row r="101" spans="1:6" s="817" customFormat="1" ht="36">
      <c r="A101" s="821">
        <v>41</v>
      </c>
      <c r="B101" s="3363"/>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63" t="s">
        <v>708</v>
      </c>
      <c r="C105" s="821" t="s">
        <v>709</v>
      </c>
      <c r="D105" s="757" t="s">
        <v>710</v>
      </c>
      <c r="E105" s="834">
        <v>0.2</v>
      </c>
      <c r="F105" s="821">
        <v>30</v>
      </c>
    </row>
    <row r="106" spans="1:6" s="817" customFormat="1" ht="36">
      <c r="A106" s="821">
        <v>46</v>
      </c>
      <c r="B106" s="3363"/>
      <c r="C106" s="821" t="s">
        <v>711</v>
      </c>
      <c r="D106" s="757" t="s">
        <v>712</v>
      </c>
      <c r="E106" s="834">
        <v>0.2</v>
      </c>
      <c r="F106" s="821">
        <v>30</v>
      </c>
    </row>
    <row r="107" spans="1:6" s="817" customFormat="1" ht="36">
      <c r="A107" s="821">
        <v>47</v>
      </c>
      <c r="B107" s="3363" t="s">
        <v>713</v>
      </c>
      <c r="C107" s="821" t="s">
        <v>714</v>
      </c>
      <c r="D107" s="757" t="s">
        <v>715</v>
      </c>
      <c r="E107" s="834">
        <v>0.3</v>
      </c>
      <c r="F107" s="821">
        <v>50</v>
      </c>
    </row>
    <row r="108" spans="1:6" s="817" customFormat="1" ht="36">
      <c r="A108" s="821">
        <v>48</v>
      </c>
      <c r="B108" s="3363"/>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63" t="s">
        <v>724</v>
      </c>
      <c r="C111" s="821" t="s">
        <v>725</v>
      </c>
      <c r="D111" s="757" t="s">
        <v>726</v>
      </c>
      <c r="E111" s="834">
        <v>0.2</v>
      </c>
      <c r="F111" s="821">
        <v>30</v>
      </c>
    </row>
    <row r="112" spans="1:6" s="817" customFormat="1" ht="24">
      <c r="A112" s="821">
        <v>52</v>
      </c>
      <c r="B112" s="3363"/>
      <c r="C112" s="821" t="s">
        <v>727</v>
      </c>
      <c r="D112" s="757" t="s">
        <v>728</v>
      </c>
      <c r="E112" s="834">
        <v>0.2</v>
      </c>
      <c r="F112" s="821">
        <v>30</v>
      </c>
    </row>
    <row r="113" spans="1:6" s="817" customFormat="1" ht="24">
      <c r="A113" s="821">
        <v>53</v>
      </c>
      <c r="B113" s="3363"/>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63" t="s">
        <v>737</v>
      </c>
      <c r="C116" s="821" t="s">
        <v>738</v>
      </c>
      <c r="D116" s="757" t="s">
        <v>739</v>
      </c>
      <c r="E116" s="834">
        <v>0.2</v>
      </c>
      <c r="F116" s="821">
        <v>30</v>
      </c>
    </row>
    <row r="117" spans="1:6" ht="36">
      <c r="A117" s="821">
        <v>57</v>
      </c>
      <c r="B117" s="3363"/>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0.84279999999999999</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U518" sqref="U518"/>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5" t="s">
        <v>2823</v>
      </c>
      <c r="B1" s="2365"/>
      <c r="C1" s="2365"/>
      <c r="D1" s="2365"/>
      <c r="E1" s="2365"/>
      <c r="F1" s="3026"/>
      <c r="G1" s="3026"/>
      <c r="H1" s="3026"/>
      <c r="I1" s="3026"/>
      <c r="J1" s="3026"/>
      <c r="K1" s="3026"/>
      <c r="L1" s="3026"/>
      <c r="M1" s="3026"/>
      <c r="N1" s="3026"/>
      <c r="O1" s="3026"/>
      <c r="P1" s="3026"/>
    </row>
    <row r="2" spans="1:16" ht="15.75">
      <c r="A2" s="2363" t="s">
        <v>2815</v>
      </c>
      <c r="B2" s="2830">
        <f ca="1">SUMIF(B6:B13,"&lt;&gt;#ref!",B6:B13)</f>
        <v>18683</v>
      </c>
      <c r="C2" s="2363" t="s">
        <v>2816</v>
      </c>
      <c r="D2" s="2363" t="s">
        <v>2817</v>
      </c>
      <c r="E2" s="2840">
        <f ca="1">SUMIF(E6:E13,"&lt;&gt;#ref!",E6:E13)</f>
        <v>8276.64</v>
      </c>
      <c r="F2" s="3026"/>
      <c r="G2" s="3026"/>
      <c r="H2" s="3026"/>
      <c r="I2" s="3026"/>
      <c r="J2" s="3026"/>
      <c r="K2" s="3026"/>
      <c r="L2" s="3026"/>
      <c r="M2" s="3026"/>
      <c r="N2" s="3026"/>
      <c r="O2" s="3026"/>
      <c r="P2" s="3026"/>
    </row>
    <row r="3" spans="1:16" ht="15.75">
      <c r="A3" s="2363" t="s">
        <v>2818</v>
      </c>
      <c r="B3" s="2830">
        <f ca="1">ROUND(B2*10000/E2,0)</f>
        <v>22573</v>
      </c>
      <c r="C3" s="2363" t="s">
        <v>2824</v>
      </c>
      <c r="D3" s="3026"/>
      <c r="E3" s="3026"/>
      <c r="F3" s="3026"/>
      <c r="G3" s="3026"/>
      <c r="H3" s="3026"/>
      <c r="I3" s="3026"/>
      <c r="J3" s="3026"/>
      <c r="K3" s="3026"/>
      <c r="L3" s="3026"/>
      <c r="M3" s="3026"/>
      <c r="N3" s="3026"/>
      <c r="O3" s="3026"/>
      <c r="P3" s="3026"/>
    </row>
    <row r="4" spans="1:16" ht="15.75">
      <c r="A4" s="3027"/>
      <c r="B4" s="3026"/>
      <c r="C4" s="3026"/>
      <c r="D4" s="3026"/>
      <c r="E4" s="3026"/>
      <c r="F4" s="3026"/>
      <c r="G4" s="3026"/>
      <c r="H4" s="3026"/>
      <c r="I4" s="3026"/>
      <c r="J4" s="3026"/>
      <c r="K4" s="3026"/>
      <c r="L4" s="3026"/>
      <c r="M4" s="3026"/>
      <c r="N4" s="3026"/>
      <c r="O4" s="3026"/>
      <c r="P4" s="3026"/>
    </row>
    <row r="5" spans="1:16" ht="28.5">
      <c r="A5" s="2836" t="s">
        <v>2819</v>
      </c>
      <c r="B5" s="2838" t="s">
        <v>2820</v>
      </c>
      <c r="C5" s="2364"/>
      <c r="D5" s="3026"/>
      <c r="E5" s="2839" t="s">
        <v>2821</v>
      </c>
      <c r="F5" s="3026"/>
      <c r="G5" s="3026"/>
      <c r="H5" s="3026"/>
      <c r="I5" s="3026"/>
      <c r="J5" s="3026"/>
      <c r="K5" s="3026"/>
      <c r="L5" s="3026"/>
      <c r="M5" s="3026"/>
      <c r="N5" s="3026"/>
      <c r="O5" s="3026"/>
      <c r="P5" s="3026"/>
    </row>
    <row r="6" spans="1:16" ht="15.75">
      <c r="A6" s="2837" t="s">
        <v>2822</v>
      </c>
      <c r="B6" s="2830">
        <f ca="1">SUMIF(INDIRECT("'"&amp;A6&amp;"'"&amp;"!A:A"),"总价",INDIRECT("'"&amp;A6&amp;"'"&amp;"!B:B"))</f>
        <v>18683</v>
      </c>
      <c r="C6" s="2363" t="s">
        <v>2816</v>
      </c>
      <c r="D6" s="3026"/>
      <c r="E6" s="2840">
        <f ca="1">SUMIF(INDIRECT("'"&amp;A6&amp;"'"&amp;"!C:C"),"建筑面积",INDIRECT("'"&amp;A6&amp;"'"&amp;"!D:D"))</f>
        <v>8276.64</v>
      </c>
      <c r="F6" s="3026"/>
      <c r="G6" s="3026"/>
      <c r="H6" s="3026"/>
      <c r="I6" s="3026"/>
      <c r="J6" s="3026"/>
      <c r="K6" s="3026"/>
      <c r="L6" s="3026"/>
      <c r="M6" s="3026"/>
      <c r="N6" s="3026"/>
      <c r="O6" s="3026"/>
      <c r="P6" s="3026"/>
    </row>
    <row r="7" spans="1:16" ht="15.75">
      <c r="A7" s="2837"/>
      <c r="B7" s="2830" t="e">
        <f ca="1">SUMIF(INDIRECT("'"&amp;A7&amp;"'"&amp;"!A:A"),"总价",INDIRECT("'"&amp;A7&amp;"'"&amp;"!B:B"))</f>
        <v>#REF!</v>
      </c>
      <c r="C7" s="2363" t="s">
        <v>2816</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5.75">
      <c r="A8" s="2837"/>
      <c r="B8" s="2830" t="e">
        <f t="shared" ref="B8:B13" ca="1" si="1">SUMIF(INDIRECT("'"&amp;A8&amp;"'"&amp;"!A:A"),"总价",INDIRECT("'"&amp;A8&amp;"'"&amp;"!B:B"))</f>
        <v>#REF!</v>
      </c>
      <c r="C8" s="2363" t="s">
        <v>2816</v>
      </c>
      <c r="D8" s="3026"/>
      <c r="E8" s="2840" t="e">
        <f t="shared" ca="1" si="0"/>
        <v>#REF!</v>
      </c>
      <c r="F8" s="3026"/>
      <c r="G8" s="3026"/>
      <c r="H8" s="3026"/>
      <c r="I8" s="3026"/>
      <c r="J8" s="3026"/>
      <c r="K8" s="3026"/>
      <c r="L8" s="3026"/>
      <c r="M8" s="3026"/>
      <c r="N8" s="3026"/>
      <c r="O8" s="3026"/>
      <c r="P8" s="3026"/>
    </row>
    <row r="9" spans="1:16" ht="15.75">
      <c r="A9" s="2837"/>
      <c r="B9" s="2830" t="e">
        <f t="shared" ca="1" si="1"/>
        <v>#REF!</v>
      </c>
      <c r="C9" s="2363" t="s">
        <v>2816</v>
      </c>
      <c r="D9" s="3026"/>
      <c r="E9" s="2840" t="e">
        <f t="shared" ca="1" si="0"/>
        <v>#REF!</v>
      </c>
      <c r="F9" s="3026"/>
      <c r="G9" s="3026"/>
      <c r="H9" s="3026"/>
      <c r="I9" s="3026"/>
      <c r="J9" s="3026"/>
      <c r="K9" s="3026"/>
      <c r="L9" s="3026"/>
      <c r="M9" s="3026"/>
      <c r="N9" s="3026"/>
      <c r="O9" s="3026"/>
      <c r="P9" s="3026"/>
    </row>
    <row r="10" spans="1:16" ht="15.75">
      <c r="A10" s="2837"/>
      <c r="B10" s="2830" t="e">
        <f t="shared" ca="1" si="1"/>
        <v>#REF!</v>
      </c>
      <c r="C10" s="2363" t="s">
        <v>2816</v>
      </c>
      <c r="D10" s="3026"/>
      <c r="E10" s="2840" t="e">
        <f t="shared" ca="1" si="0"/>
        <v>#REF!</v>
      </c>
      <c r="F10" s="3026"/>
      <c r="G10" s="3026"/>
      <c r="H10" s="3026"/>
      <c r="I10" s="3026"/>
      <c r="J10" s="3026"/>
      <c r="K10" s="3026"/>
      <c r="L10" s="3026"/>
      <c r="M10" s="3026"/>
      <c r="N10" s="3026"/>
      <c r="O10" s="3026"/>
      <c r="P10" s="3026"/>
    </row>
    <row r="11" spans="1:16" ht="15.75">
      <c r="A11" s="2837"/>
      <c r="B11" s="2830" t="e">
        <f t="shared" ca="1" si="1"/>
        <v>#REF!</v>
      </c>
      <c r="C11" s="2363" t="s">
        <v>2816</v>
      </c>
      <c r="D11" s="3026"/>
      <c r="E11" s="2840" t="e">
        <f t="shared" ca="1" si="0"/>
        <v>#REF!</v>
      </c>
      <c r="F11" s="3026"/>
      <c r="G11" s="3026"/>
      <c r="H11" s="3026"/>
      <c r="I11" s="3026"/>
      <c r="J11" s="3026"/>
      <c r="K11" s="3026"/>
      <c r="L11" s="3026"/>
      <c r="M11" s="3026"/>
      <c r="N11" s="3026"/>
      <c r="O11" s="3026"/>
      <c r="P11" s="3026"/>
    </row>
    <row r="12" spans="1:16" ht="15.75">
      <c r="A12" s="2837"/>
      <c r="B12" s="2830" t="e">
        <f t="shared" ca="1" si="1"/>
        <v>#REF!</v>
      </c>
      <c r="C12" s="2363" t="s">
        <v>2816</v>
      </c>
      <c r="D12" s="3026"/>
      <c r="E12" s="2840" t="e">
        <f t="shared" ca="1" si="0"/>
        <v>#REF!</v>
      </c>
      <c r="F12" s="3026"/>
      <c r="G12" s="3026"/>
      <c r="H12" s="3026"/>
      <c r="I12" s="3026"/>
      <c r="J12" s="3026"/>
      <c r="K12" s="3026"/>
      <c r="L12" s="3026"/>
      <c r="M12" s="3026"/>
      <c r="N12" s="3026"/>
      <c r="O12" s="3026"/>
      <c r="P12" s="3026"/>
    </row>
    <row r="13" spans="1:16" ht="15.75">
      <c r="A13" s="2837"/>
      <c r="B13" s="2830" t="e">
        <f t="shared" ca="1" si="1"/>
        <v>#REF!</v>
      </c>
      <c r="C13" s="2363" t="s">
        <v>2816</v>
      </c>
      <c r="D13" s="3026"/>
      <c r="E13" s="2840" t="e">
        <f t="shared" ca="1" si="0"/>
        <v>#REF!</v>
      </c>
      <c r="F13" s="3026"/>
      <c r="G13" s="3026"/>
      <c r="H13" s="3026"/>
      <c r="I13" s="3026"/>
      <c r="J13" s="3026"/>
      <c r="K13" s="3026"/>
      <c r="L13" s="3026"/>
      <c r="M13" s="3026"/>
      <c r="N13" s="3026"/>
      <c r="O13" s="3026"/>
      <c r="P13" s="3026"/>
    </row>
    <row r="14" spans="1:16">
      <c r="A14" s="3026"/>
      <c r="B14" s="3026"/>
      <c r="C14" s="3026"/>
      <c r="D14" s="3026"/>
      <c r="E14" s="3026"/>
      <c r="F14" s="3026"/>
      <c r="G14" s="3026"/>
      <c r="H14" s="3026"/>
      <c r="I14" s="3026"/>
      <c r="J14" s="3026"/>
      <c r="K14" s="3026"/>
      <c r="L14" s="3026"/>
      <c r="M14" s="3026"/>
      <c r="N14" s="3026"/>
      <c r="O14" s="3026"/>
      <c r="P14" s="3026"/>
    </row>
    <row r="15" spans="1:16">
      <c r="A15" s="3026"/>
      <c r="B15" s="3026"/>
      <c r="C15" s="3026"/>
      <c r="D15" s="3026"/>
      <c r="E15" s="3026"/>
      <c r="F15" s="3026"/>
      <c r="G15" s="3026"/>
      <c r="H15" s="3026"/>
      <c r="I15" s="3026"/>
      <c r="J15" s="3026"/>
      <c r="K15" s="3026"/>
      <c r="L15" s="3026"/>
      <c r="M15" s="3026"/>
      <c r="N15" s="3026"/>
      <c r="O15" s="3026"/>
      <c r="P15" s="3026"/>
    </row>
    <row r="16" spans="1:16">
      <c r="A16" s="3026"/>
      <c r="B16" s="3026"/>
      <c r="C16" s="3026"/>
      <c r="D16" s="3026"/>
      <c r="E16" s="3026"/>
      <c r="F16" s="3026"/>
      <c r="G16" s="3026"/>
      <c r="H16" s="3026"/>
      <c r="I16" s="3026"/>
      <c r="J16" s="3026"/>
      <c r="K16" s="3026"/>
      <c r="L16" s="3026"/>
      <c r="M16" s="3026"/>
      <c r="N16" s="3026"/>
      <c r="O16" s="3026"/>
      <c r="P16" s="3026"/>
    </row>
    <row r="17" spans="1:16">
      <c r="A17" s="3026"/>
      <c r="B17" s="3026"/>
      <c r="C17" s="3026"/>
      <c r="D17" s="3026"/>
      <c r="E17" s="3026"/>
      <c r="F17" s="3026"/>
      <c r="G17" s="3026"/>
      <c r="H17" s="3026"/>
      <c r="I17" s="3026"/>
      <c r="J17" s="3026"/>
      <c r="K17" s="3026"/>
      <c r="L17" s="3026"/>
      <c r="M17" s="3026"/>
      <c r="N17" s="3026"/>
      <c r="O17" s="3026"/>
      <c r="P17" s="3026"/>
    </row>
    <row r="18" spans="1:16">
      <c r="A18" s="3026"/>
      <c r="B18" s="3026"/>
      <c r="C18" s="3026"/>
      <c r="D18" s="3026"/>
      <c r="E18" s="3026"/>
      <c r="F18" s="3026"/>
      <c r="G18" s="3026"/>
      <c r="H18" s="3026"/>
      <c r="I18" s="3026"/>
      <c r="J18" s="3026"/>
      <c r="K18" s="3026"/>
      <c r="L18" s="3026"/>
      <c r="M18" s="3026"/>
      <c r="N18" s="3026"/>
      <c r="O18" s="3026"/>
      <c r="P18" s="3026"/>
    </row>
    <row r="19" spans="1:16">
      <c r="A19" s="3026"/>
      <c r="B19" s="3026"/>
      <c r="C19" s="3026"/>
      <c r="D19" s="3026"/>
      <c r="E19" s="3026"/>
      <c r="F19" s="3026"/>
      <c r="G19" s="3026"/>
      <c r="H19" s="3026"/>
      <c r="I19" s="3026"/>
      <c r="J19" s="3026"/>
      <c r="K19" s="3026"/>
      <c r="L19" s="3026"/>
      <c r="M19" s="3026"/>
      <c r="N19" s="3026"/>
      <c r="O19" s="3026"/>
      <c r="P19" s="3026"/>
    </row>
    <row r="20" spans="1:16">
      <c r="A20" s="3026"/>
      <c r="B20" s="3026"/>
      <c r="C20" s="3026"/>
      <c r="D20" s="3026"/>
      <c r="E20" s="3026"/>
      <c r="F20" s="3026"/>
      <c r="G20" s="3026"/>
      <c r="H20" s="3026"/>
      <c r="I20" s="3026"/>
      <c r="J20" s="3026"/>
      <c r="K20" s="3026"/>
      <c r="L20" s="3026"/>
      <c r="M20" s="3026"/>
      <c r="N20" s="3026"/>
      <c r="O20" s="3026"/>
      <c r="P20" s="3026"/>
    </row>
    <row r="21" spans="1:16">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G9" sqref="G9"/>
    </sheetView>
  </sheetViews>
  <sheetFormatPr defaultColWidth="9" defaultRowHeight="12.75"/>
  <cols>
    <col min="1" max="1" width="9" style="2412"/>
    <col min="2" max="6" width="9" style="2412" customWidth="1"/>
    <col min="7" max="7" width="9" style="2450"/>
    <col min="8" max="8" width="9" style="2412"/>
    <col min="9" max="12" width="9" style="2412" customWidth="1"/>
    <col min="13" max="13" width="2.25" style="2412" customWidth="1"/>
    <col min="14" max="14" width="9" style="2450" customWidth="1"/>
    <col min="15" max="17" width="9" style="2412" customWidth="1"/>
    <col min="18" max="18" width="2.375" style="2412" customWidth="1"/>
    <col min="19" max="19" width="7.125" style="2450" customWidth="1"/>
    <col min="20" max="22" width="7.125" style="2412" customWidth="1"/>
    <col min="23" max="23" width="24.25" style="2412" customWidth="1"/>
    <col min="24" max="25" width="9" style="2412"/>
    <col min="26" max="27" width="11.625" style="2412" customWidth="1"/>
    <col min="28" max="28" width="9" style="2412"/>
    <col min="29" max="29" width="2" style="2412" customWidth="1"/>
    <col min="30" max="16384" width="9" style="2412"/>
  </cols>
  <sheetData>
    <row r="1" spans="1:34" s="2391" customFormat="1">
      <c r="B1" s="3369" t="s">
        <v>1117</v>
      </c>
      <c r="C1" s="3369"/>
      <c r="D1" s="3369"/>
      <c r="E1" s="3369"/>
      <c r="F1" s="3369"/>
      <c r="G1" s="3365" t="s">
        <v>1118</v>
      </c>
      <c r="H1" s="3365"/>
      <c r="I1" s="3365"/>
      <c r="J1" s="3365"/>
      <c r="K1" s="3365"/>
      <c r="L1" s="3365"/>
      <c r="N1" s="3365" t="s">
        <v>1119</v>
      </c>
      <c r="O1" s="3365"/>
      <c r="P1" s="3365"/>
      <c r="Q1" s="3365"/>
      <c r="S1" s="3365" t="s">
        <v>1120</v>
      </c>
      <c r="T1" s="3365"/>
      <c r="U1" s="3365"/>
      <c r="V1" s="3365"/>
      <c r="X1" s="3364" t="s">
        <v>1121</v>
      </c>
      <c r="Y1" s="3365"/>
      <c r="Z1" s="3365"/>
      <c r="AA1" s="3365"/>
      <c r="AB1" s="3365"/>
      <c r="AD1" s="3364" t="s">
        <v>1122</v>
      </c>
      <c r="AE1" s="3365"/>
      <c r="AF1" s="3365"/>
      <c r="AG1" s="3365"/>
      <c r="AH1" s="3365"/>
    </row>
    <row r="2" spans="1:34" s="2392" customFormat="1" ht="14.25" thickBot="1">
      <c r="B2" s="2393" t="s">
        <v>1123</v>
      </c>
      <c r="C2" s="2393" t="s">
        <v>1124</v>
      </c>
      <c r="D2" s="2394" t="s">
        <v>1125</v>
      </c>
      <c r="E2" s="2394" t="s">
        <v>1126</v>
      </c>
      <c r="F2" s="2393" t="s">
        <v>1127</v>
      </c>
      <c r="G2" s="2395"/>
      <c r="I2" s="2393" t="s">
        <v>1123</v>
      </c>
      <c r="J2" s="2394" t="s">
        <v>1350</v>
      </c>
      <c r="K2" s="2394" t="s">
        <v>751</v>
      </c>
      <c r="L2" s="2393" t="s">
        <v>1127</v>
      </c>
      <c r="N2" s="2393" t="s">
        <v>1123</v>
      </c>
      <c r="O2" s="2394" t="s">
        <v>1350</v>
      </c>
      <c r="P2" s="2394" t="s">
        <v>751</v>
      </c>
      <c r="Q2" s="2393" t="s">
        <v>1127</v>
      </c>
      <c r="S2" s="2393" t="s">
        <v>1123</v>
      </c>
      <c r="T2" s="2394" t="s">
        <v>1350</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25">
      <c r="A3" s="2396" t="s">
        <v>2856</v>
      </c>
      <c r="B3" s="2397"/>
      <c r="C3" s="2397"/>
      <c r="D3" s="2398"/>
      <c r="E3" s="2398"/>
      <c r="F3" s="2397"/>
      <c r="G3" s="2399"/>
      <c r="H3" s="2400"/>
      <c r="I3" s="2401">
        <f>ROUND(AVERAGE($I4:$I31),2)</f>
        <v>1.79</v>
      </c>
      <c r="J3" s="2401">
        <f>ROUND(AVERAGE($J4:$J31),2)</f>
        <v>1.2</v>
      </c>
      <c r="K3" s="2401">
        <f>ROUND(AVERAGE($K4:$K31),2)</f>
        <v>1.97</v>
      </c>
      <c r="L3" s="2401">
        <f>ROUND(AVERAGE($L4:$L31),2)</f>
        <v>1.27</v>
      </c>
      <c r="N3" s="2399"/>
      <c r="S3" s="2399"/>
      <c r="W3" s="2403"/>
      <c r="X3" s="2404">
        <f>ROUND(SUMPRODUCT(PRODUCT(1+N3:N$30)),4)</f>
        <v>1.5652999999999999</v>
      </c>
      <c r="Y3" s="2404">
        <f>ROUND(SUMPRODUCT(PRODUCT(1+O3:O$30)),4)</f>
        <v>1.3472</v>
      </c>
      <c r="Z3" s="2404">
        <f t="shared" ref="Z3:Z28" si="0">Y3</f>
        <v>1.3472</v>
      </c>
      <c r="AA3" s="2404">
        <f>ROUND(SUMPRODUCT(PRODUCT(1+P3:P$30)),4)</f>
        <v>1.6335999999999999</v>
      </c>
      <c r="AB3" s="2404">
        <f>ROUND(SUMPRODUCT(PRODUCT(1+Q3:Q$30)),4)</f>
        <v>1.3880999999999999</v>
      </c>
      <c r="AD3" s="2405">
        <f>ROUND(AVERAGE(I3:I$31)/100,4)</f>
        <v>1.7899999999999999E-2</v>
      </c>
      <c r="AE3" s="2405">
        <f>ROUND(AVERAGE(J3:J$31)/100,4)</f>
        <v>1.2E-2</v>
      </c>
      <c r="AF3" s="2405">
        <f t="shared" ref="AF3:AF29" si="1">AE3</f>
        <v>1.2E-2</v>
      </c>
      <c r="AG3" s="2405">
        <f>ROUND(AVERAGE(K3:K$31)/100,4)</f>
        <v>1.9699999999999999E-2</v>
      </c>
      <c r="AH3" s="2405">
        <f>ROUND(AVERAGE(L3:L$31)/100,4)</f>
        <v>1.2699999999999999E-2</v>
      </c>
    </row>
    <row r="4" spans="1:34" s="2406" customFormat="1" ht="14.25">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c r="A5" s="2414" t="s">
        <v>2874</v>
      </c>
      <c r="B5" s="2415">
        <f t="shared" ref="B5" si="2">B6*(1+N5)</f>
        <v>481.4103506697644</v>
      </c>
      <c r="C5" s="2415">
        <f t="shared" ref="C5" si="3">C6*(1+O5)</f>
        <v>347.29066026648707</v>
      </c>
      <c r="D5" s="2415">
        <f t="shared" ref="D5" si="4">C5</f>
        <v>347.29066026648707</v>
      </c>
      <c r="E5" s="2415">
        <f t="shared" ref="E5" si="5">E6*(1+P5)</f>
        <v>690.85977273901995</v>
      </c>
      <c r="F5" s="2415">
        <f t="shared" ref="F5" si="6">F6*(1+Q5)</f>
        <v>319.13136737000184</v>
      </c>
      <c r="G5" s="2416">
        <v>2020</v>
      </c>
      <c r="H5" s="2417">
        <v>3</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2857</v>
      </c>
      <c r="X5" s="2423">
        <f>ROUND(IF(项目基本情况!B7="出让",SUMPRODUCT(PRODUCT(1+N5:N$31)),SUMPRODUCT(PRODUCT(1+N5:N$30))),4)</f>
        <v>1.5652999999999999</v>
      </c>
      <c r="Y5" s="2423">
        <f>ROUND(IF(项目基本情况!B7="出让",SUMPRODUCT(PRODUCT(1+O5:O$31)),SUMPRODUCT(PRODUCT(1+O5:O$30))),4)</f>
        <v>1.3472</v>
      </c>
      <c r="Z5" s="2423">
        <f t="shared" ref="Z5" si="11">Y5</f>
        <v>1.3472</v>
      </c>
      <c r="AA5" s="2423">
        <f>ROUND(IF(项目基本情况!B7="出让",SUMPRODUCT(PRODUCT(1+P5:P$31)),SUMPRODUCT(PRODUCT(1+P5:P$30))),4)</f>
        <v>1.6335999999999999</v>
      </c>
      <c r="AB5" s="2423">
        <f>ROUND(IF(项目基本情况!B7="出让",SUMPRODUCT(PRODUCT(1+Q5:Q$31)),SUMPRODUCT(PRODUCT(1+Q5:Q$30))),4)</f>
        <v>1.3880999999999999</v>
      </c>
      <c r="AD5" s="2424">
        <f>ROUND(AVERAGE(I5:I$31)/100,4)</f>
        <v>1.7899999999999999E-2</v>
      </c>
      <c r="AE5" s="2424">
        <f>ROUND(AVERAGE(J5:J$31)/100,4)</f>
        <v>1.2E-2</v>
      </c>
      <c r="AF5" s="2424">
        <f t="shared" ref="AF5" si="12">AE5</f>
        <v>1.2E-2</v>
      </c>
      <c r="AG5" s="2424">
        <f>ROUND(AVERAGE(K5:K$31)/100,4)</f>
        <v>1.9699999999999999E-2</v>
      </c>
      <c r="AH5" s="2424">
        <f>ROUND(AVERAGE(L5:L$31)/100,4)</f>
        <v>1.2699999999999999E-2</v>
      </c>
    </row>
    <row r="6" spans="1:34" s="2432" customFormat="1">
      <c r="A6" s="2425" t="s">
        <v>2873</v>
      </c>
      <c r="B6" s="2426">
        <f t="shared" ref="B6" si="13">B7*(1+N6)</f>
        <v>481.4103506697644</v>
      </c>
      <c r="C6" s="2426">
        <f t="shared" ref="C6" si="14">C7*(1+O6)</f>
        <v>347.29066026648707</v>
      </c>
      <c r="D6" s="2426">
        <f t="shared" ref="D6" si="15">C6</f>
        <v>347.29066026648707</v>
      </c>
      <c r="E6" s="2426">
        <f t="shared" ref="E6" si="16">E7*(1+P6)</f>
        <v>690.85977273901995</v>
      </c>
      <c r="F6" s="2426">
        <f t="shared" ref="F6" si="17">F7*(1+Q6)</f>
        <v>319.13136737000184</v>
      </c>
      <c r="G6" s="2416">
        <v>2020</v>
      </c>
      <c r="H6" s="2427">
        <v>2</v>
      </c>
      <c r="I6" s="2389">
        <v>0.31</v>
      </c>
      <c r="J6" s="2389">
        <v>-0.78</v>
      </c>
      <c r="K6" s="2389">
        <v>0.5</v>
      </c>
      <c r="L6" s="2390">
        <v>0.47</v>
      </c>
      <c r="M6" s="2412"/>
      <c r="N6" s="2428">
        <f t="shared" ref="N6" si="18">I6/100</f>
        <v>3.0999999999999999E-3</v>
      </c>
      <c r="O6" s="2413">
        <f t="shared" ref="O6" si="19">J6/100</f>
        <v>-7.8000000000000005E-3</v>
      </c>
      <c r="P6" s="2413">
        <f t="shared" ref="P6" si="20">K6/100</f>
        <v>5.0000000000000001E-3</v>
      </c>
      <c r="Q6" s="2413">
        <f t="shared" ref="Q6" si="21">L6/100</f>
        <v>4.6999999999999993E-3</v>
      </c>
      <c r="R6" s="2429"/>
      <c r="S6" s="2428"/>
      <c r="T6" s="2413"/>
      <c r="U6" s="2413"/>
      <c r="V6" s="2413"/>
      <c r="W6" s="2430"/>
      <c r="X6" s="2430">
        <f>ROUND(IF(项目基本情况!B8="出让",SUMPRODUCT(PRODUCT(1+N6:N$31)),SUMPRODUCT(PRODUCT(1+N6:N$30))),4)</f>
        <v>1.5652999999999999</v>
      </c>
      <c r="Y6" s="2430">
        <f>ROUND(IF(项目基本情况!B8="出让",SUMPRODUCT(PRODUCT(1+O6:O$31)),SUMPRODUCT(PRODUCT(1+O6:O$30))),4)</f>
        <v>1.3472</v>
      </c>
      <c r="Z6" s="2430">
        <f t="shared" ref="Z6" si="22">Y6</f>
        <v>1.3472</v>
      </c>
      <c r="AA6" s="2430">
        <f>ROUND(IF(项目基本情况!B8="出让",SUMPRODUCT(PRODUCT(1+P6:P$31)),SUMPRODUCT(PRODUCT(1+P6:P$30))),4)</f>
        <v>1.6335999999999999</v>
      </c>
      <c r="AB6" s="2430">
        <f>ROUND(IF(项目基本情况!B8="出让",SUMPRODUCT(PRODUCT(1+Q6:Q$31)),SUMPRODUCT(PRODUCT(1+Q6:Q$30))),4)</f>
        <v>1.3880999999999999</v>
      </c>
      <c r="AC6" s="2430"/>
      <c r="AD6" s="2431">
        <f>ROUND(AVERAGE(I6:I$31)/100,4)</f>
        <v>1.8599999999999998E-2</v>
      </c>
      <c r="AE6" s="2431">
        <f>ROUND(AVERAGE(J6:J$31)/100,4)</f>
        <v>1.2500000000000001E-2</v>
      </c>
      <c r="AF6" s="2431">
        <f t="shared" ref="AF6" si="23">AE6</f>
        <v>1.2500000000000001E-2</v>
      </c>
      <c r="AG6" s="2431">
        <f>ROUND(AVERAGE(K6:K$31)/100,4)</f>
        <v>2.0400000000000001E-2</v>
      </c>
      <c r="AH6" s="2431">
        <f>ROUND(AVERAGE(L6:L$31)/100,4)</f>
        <v>1.32E-2</v>
      </c>
    </row>
    <row r="7" spans="1:34" s="2432" customFormat="1">
      <c r="A7" s="2425" t="s">
        <v>2871</v>
      </c>
      <c r="B7" s="2426">
        <f t="shared" ref="B7" si="24">B8*(1+N7)</f>
        <v>479.92259063878413</v>
      </c>
      <c r="C7" s="2426">
        <f t="shared" ref="C7" si="25">C8*(1+O7)</f>
        <v>350.02082268341775</v>
      </c>
      <c r="D7" s="2426">
        <f t="shared" ref="D7" si="26">C7</f>
        <v>350.02082268341775</v>
      </c>
      <c r="E7" s="2426">
        <f t="shared" ref="E7" si="27">E8*(1+P7)</f>
        <v>687.42265944181099</v>
      </c>
      <c r="F7" s="2426">
        <f t="shared" ref="F7" si="28">F8*(1+Q7)</f>
        <v>317.63846657708956</v>
      </c>
      <c r="G7" s="2416">
        <v>2020</v>
      </c>
      <c r="H7" s="2427">
        <v>1</v>
      </c>
      <c r="I7" s="2389">
        <v>0.12</v>
      </c>
      <c r="J7" s="2389">
        <v>-0.4</v>
      </c>
      <c r="K7" s="2389">
        <v>0.21</v>
      </c>
      <c r="L7" s="2390">
        <v>0.27</v>
      </c>
      <c r="M7" s="2412"/>
      <c r="N7" s="2428">
        <f t="shared" ref="N7" si="29">I7/100</f>
        <v>1.1999999999999999E-3</v>
      </c>
      <c r="O7" s="2413">
        <f t="shared" ref="O7" si="30">J7/100</f>
        <v>-4.0000000000000001E-3</v>
      </c>
      <c r="P7" s="2413">
        <f t="shared" ref="P7" si="31">K7/100</f>
        <v>2.0999999999999999E-3</v>
      </c>
      <c r="Q7" s="2413">
        <f t="shared" ref="Q7" si="32">L7/100</f>
        <v>2.7000000000000001E-3</v>
      </c>
      <c r="R7" s="2429"/>
      <c r="S7" s="2428">
        <f>B7/B8-1</f>
        <v>1.2000000000000899E-3</v>
      </c>
      <c r="T7" s="2413">
        <f t="shared" ref="T7" si="33">C7/C8-1</f>
        <v>-4.0000000000000036E-3</v>
      </c>
      <c r="U7" s="2413">
        <f t="shared" ref="U7" si="34">D7/D8-1</f>
        <v>-4.0000000000000036E-3</v>
      </c>
      <c r="V7" s="2413">
        <f t="shared" ref="V7" si="35">E7/E8-1</f>
        <v>2.0999999999999908E-3</v>
      </c>
      <c r="W7" s="2430"/>
      <c r="X7" s="2430">
        <f>ROUND(IF(项目基本情况!B8="出让",SUMPRODUCT(PRODUCT(1+N7:N$31)),SUMPRODUCT(PRODUCT(1+N7:N$30))),4)</f>
        <v>1.5605</v>
      </c>
      <c r="Y7" s="2430">
        <f>ROUND(IF(项目基本情况!B8="出让",SUMPRODUCT(PRODUCT(1+O7:O$31)),SUMPRODUCT(PRODUCT(1+O7:O$30))),4)</f>
        <v>1.3577999999999999</v>
      </c>
      <c r="Z7" s="2430">
        <f t="shared" ref="Z7" si="36">Y7</f>
        <v>1.3577999999999999</v>
      </c>
      <c r="AA7" s="2430">
        <f>ROUND(IF(项目基本情况!B8="出让",SUMPRODUCT(PRODUCT(1+P7:P$31)),SUMPRODUCT(PRODUCT(1+P7:P$30))),4)</f>
        <v>1.6254999999999999</v>
      </c>
      <c r="AB7" s="2430">
        <f>ROUND(IF(项目基本情况!B8="出让",SUMPRODUCT(PRODUCT(1+Q7:Q$31)),SUMPRODUCT(PRODUCT(1+Q7:Q$30))),4)</f>
        <v>1.3815999999999999</v>
      </c>
      <c r="AC7" s="2430"/>
      <c r="AD7" s="2431">
        <f>ROUND(AVERAGE(I7:I$31)/100,4)</f>
        <v>1.9199999999999998E-2</v>
      </c>
      <c r="AE7" s="2431">
        <f>ROUND(AVERAGE(J7:J$31)/100,4)</f>
        <v>1.3299999999999999E-2</v>
      </c>
      <c r="AF7" s="2431">
        <f t="shared" ref="AF7" si="37">AE7</f>
        <v>1.3299999999999999E-2</v>
      </c>
      <c r="AG7" s="2431">
        <f>ROUND(AVERAGE(K7:K$31)/100,4)</f>
        <v>2.1100000000000001E-2</v>
      </c>
      <c r="AH7" s="2431">
        <f>ROUND(AVERAGE(L7:L$31)/100,4)</f>
        <v>1.3599999999999999E-2</v>
      </c>
    </row>
    <row r="8" spans="1:34" s="2432" customFormat="1">
      <c r="A8" s="2425" t="s">
        <v>2870</v>
      </c>
      <c r="B8" s="2426">
        <f t="shared" ref="B8" si="38">B9*(1+N8)</f>
        <v>479.34737379023579</v>
      </c>
      <c r="C8" s="2426">
        <f t="shared" ref="C8" si="39">C9*(1+O8)</f>
        <v>351.4265287986122</v>
      </c>
      <c r="D8" s="2426">
        <f t="shared" ref="D8" si="40">C8</f>
        <v>351.4265287986122</v>
      </c>
      <c r="E8" s="2426">
        <f t="shared" ref="E8" si="41">E9*(1+P8)</f>
        <v>685.98209703803116</v>
      </c>
      <c r="F8" s="2426">
        <f t="shared" ref="F8" si="42">F9*(1+Q8)</f>
        <v>316.78315206651001</v>
      </c>
      <c r="G8" s="2416">
        <v>2019</v>
      </c>
      <c r="H8" s="2427">
        <v>4</v>
      </c>
      <c r="I8" s="2427">
        <v>0.45</v>
      </c>
      <c r="J8" s="2427">
        <v>-0.12</v>
      </c>
      <c r="K8" s="2427">
        <v>0.54</v>
      </c>
      <c r="L8" s="2433">
        <v>0.48</v>
      </c>
      <c r="M8" s="2412"/>
      <c r="N8" s="2428">
        <f t="shared" ref="N8:N13" si="43">I8/100</f>
        <v>4.5000000000000005E-3</v>
      </c>
      <c r="O8" s="2413">
        <f t="shared" ref="O8" si="44">J8/100</f>
        <v>-1.1999999999999999E-3</v>
      </c>
      <c r="P8" s="2413">
        <f t="shared" ref="P8" si="45">K8/100</f>
        <v>5.4000000000000003E-3</v>
      </c>
      <c r="Q8" s="2413">
        <f t="shared" ref="Q8" si="46">L8/100</f>
        <v>4.7999999999999996E-3</v>
      </c>
      <c r="R8" s="2429"/>
      <c r="S8" s="2428"/>
      <c r="T8" s="2413"/>
      <c r="U8" s="2413"/>
      <c r="V8" s="2413"/>
      <c r="W8" s="2430"/>
      <c r="X8" s="2430">
        <f>ROUND(IF(项目基本情况!B8="出让",SUMPRODUCT(PRODUCT(1+N8:N$31)),SUMPRODUCT(PRODUCT(1+N8:N$30))),4)</f>
        <v>1.5586</v>
      </c>
      <c r="Y8" s="2430">
        <f>ROUND(IF(项目基本情况!B8="出让",SUMPRODUCT(PRODUCT(1+O8:O$31)),SUMPRODUCT(PRODUCT(1+O8:O$30))),4)</f>
        <v>1.3633</v>
      </c>
      <c r="Z8" s="2430">
        <f t="shared" ref="Z8" si="47">Y8</f>
        <v>1.3633</v>
      </c>
      <c r="AA8" s="2430">
        <f>ROUND(IF(项目基本情况!B8="出让",SUMPRODUCT(PRODUCT(1+P8:P$31)),SUMPRODUCT(PRODUCT(1+P8:P$30))),4)</f>
        <v>1.6221000000000001</v>
      </c>
      <c r="AB8" s="2430">
        <f>ROUND(IF(项目基本情况!B8="出让",SUMPRODUCT(PRODUCT(1+Q8:Q$31)),SUMPRODUCT(PRODUCT(1+Q8:Q$30))),4)</f>
        <v>1.3777999999999999</v>
      </c>
      <c r="AC8" s="2430"/>
      <c r="AD8" s="2431">
        <f>ROUND(AVERAGE(I8:I$31)/100,4)</f>
        <v>0.02</v>
      </c>
      <c r="AE8" s="2431">
        <f>ROUND(AVERAGE(J8:J$31)/100,4)</f>
        <v>1.4E-2</v>
      </c>
      <c r="AF8" s="2431">
        <f t="shared" ref="AF8" si="48">AE8</f>
        <v>1.4E-2</v>
      </c>
      <c r="AG8" s="2431">
        <f>ROUND(AVERAGE(K8:K$31)/100,4)</f>
        <v>2.1899999999999999E-2</v>
      </c>
      <c r="AH8" s="2431">
        <f>ROUND(AVERAGE(L8:L$31)/100,4)</f>
        <v>1.4E-2</v>
      </c>
    </row>
    <row r="9" spans="1:34" s="2432" customFormat="1" ht="13.5" thickBot="1">
      <c r="A9" s="2425" t="s">
        <v>2869</v>
      </c>
      <c r="B9" s="2426">
        <f t="shared" ref="B9" si="49">B10*(1+N9)</f>
        <v>477.19997390765138</v>
      </c>
      <c r="C9" s="2426">
        <f t="shared" ref="C9" si="50">C10*(1+O9)</f>
        <v>351.84874729536665</v>
      </c>
      <c r="D9" s="2426">
        <f t="shared" ref="D9" si="51">C9</f>
        <v>351.84874729536665</v>
      </c>
      <c r="E9" s="2426">
        <f t="shared" ref="E9" si="52">E10*(1+P9)</f>
        <v>682.29768951465201</v>
      </c>
      <c r="F9" s="2426">
        <f t="shared" ref="F9" si="53">F10*(1+Q9)</f>
        <v>315.26985675409043</v>
      </c>
      <c r="G9" s="2416">
        <v>2019</v>
      </c>
      <c r="H9" s="2427">
        <v>3</v>
      </c>
      <c r="I9" s="2427">
        <v>0.61</v>
      </c>
      <c r="J9" s="2427">
        <v>0.67</v>
      </c>
      <c r="K9" s="2427">
        <v>0.6</v>
      </c>
      <c r="L9" s="2433">
        <v>1.03</v>
      </c>
      <c r="M9" s="2412"/>
      <c r="N9" s="2428">
        <f t="shared" si="43"/>
        <v>6.0999999999999995E-3</v>
      </c>
      <c r="O9" s="2413">
        <f t="shared" ref="O9" si="54">J9/100</f>
        <v>6.7000000000000002E-3</v>
      </c>
      <c r="P9" s="2413">
        <f t="shared" ref="P9" si="55">K9/100</f>
        <v>6.0000000000000001E-3</v>
      </c>
      <c r="Q9" s="2413">
        <f t="shared" ref="Q9" si="56">L9/100</f>
        <v>1.03E-2</v>
      </c>
      <c r="R9" s="2429"/>
      <c r="S9" s="2428"/>
      <c r="T9" s="2413"/>
      <c r="U9" s="2413"/>
      <c r="V9" s="2413"/>
      <c r="W9" s="2430"/>
      <c r="X9" s="2430">
        <f>ROUND(IF(项目基本情况!B8="出让",SUMPRODUCT(PRODUCT(1+N9:N$31)),SUMPRODUCT(PRODUCT(1+N9:N$30))),4)</f>
        <v>1.5516000000000001</v>
      </c>
      <c r="Y9" s="2430">
        <f>ROUND(IF(项目基本情况!B8="出让",SUMPRODUCT(PRODUCT(1+O9:O$31)),SUMPRODUCT(PRODUCT(1+O9:O$30))),4)</f>
        <v>1.3649</v>
      </c>
      <c r="Z9" s="2430">
        <f t="shared" ref="Z9" si="57">Y9</f>
        <v>1.3649</v>
      </c>
      <c r="AA9" s="2430">
        <f>ROUND(IF(项目基本情况!B8="出让",SUMPRODUCT(PRODUCT(1+P9:P$31)),SUMPRODUCT(PRODUCT(1+P9:P$30))),4)</f>
        <v>1.6133999999999999</v>
      </c>
      <c r="AB9" s="2430">
        <f>ROUND(IF(项目基本情况!B8="出让",SUMPRODUCT(PRODUCT(1+Q9:Q$31)),SUMPRODUCT(PRODUCT(1+Q9:Q$30))),4)</f>
        <v>1.3713</v>
      </c>
      <c r="AC9" s="2430"/>
      <c r="AD9" s="2431">
        <f>ROUND(AVERAGE(I9:I$31)/100,4)</f>
        <v>2.07E-2</v>
      </c>
      <c r="AE9" s="2431">
        <f>ROUND(AVERAGE(J9:J$31)/100,4)</f>
        <v>1.47E-2</v>
      </c>
      <c r="AF9" s="2431">
        <f t="shared" ref="AF9" si="58">AE9</f>
        <v>1.47E-2</v>
      </c>
      <c r="AG9" s="2431">
        <f>ROUND(AVERAGE(K9:K$31)/100,4)</f>
        <v>2.2599999999999999E-2</v>
      </c>
      <c r="AH9" s="2431">
        <f>ROUND(AVERAGE(L9:L$31)/100,4)</f>
        <v>1.44E-2</v>
      </c>
    </row>
    <row r="10" spans="1:34" s="2432" customFormat="1">
      <c r="A10" s="2425" t="s">
        <v>2867</v>
      </c>
      <c r="B10" s="2426">
        <f t="shared" ref="B10" si="59">B11*(1+N10)</f>
        <v>474.30670301923408</v>
      </c>
      <c r="C10" s="2426">
        <f t="shared" ref="C10" si="60">C11*(1+O10)</f>
        <v>349.50705005996491</v>
      </c>
      <c r="D10" s="2426">
        <f t="shared" ref="D10" si="61">C10</f>
        <v>349.50705005996491</v>
      </c>
      <c r="E10" s="2426">
        <f t="shared" ref="E10" si="62">E11*(1+P10)</f>
        <v>678.22831959706957</v>
      </c>
      <c r="F10" s="2426">
        <f t="shared" ref="F10" si="63">F11*(1+Q10)</f>
        <v>312.0556832169558</v>
      </c>
      <c r="G10" s="2416">
        <v>2019</v>
      </c>
      <c r="H10" s="2434">
        <v>2</v>
      </c>
      <c r="I10" s="2434">
        <v>1.53</v>
      </c>
      <c r="J10" s="2434">
        <v>1.01</v>
      </c>
      <c r="K10" s="2434">
        <v>1.62</v>
      </c>
      <c r="L10" s="2435">
        <v>1.25</v>
      </c>
      <c r="M10" s="2412"/>
      <c r="N10" s="2428">
        <f t="shared" si="43"/>
        <v>1.5300000000000001E-2</v>
      </c>
      <c r="O10" s="2413">
        <f t="shared" ref="O10" si="64">J10/100</f>
        <v>1.01E-2</v>
      </c>
      <c r="P10" s="2413">
        <f t="shared" ref="P10" si="65">K10/100</f>
        <v>1.6200000000000003E-2</v>
      </c>
      <c r="Q10" s="2413">
        <f t="shared" ref="Q10" si="66">L10/100</f>
        <v>1.2500000000000001E-2</v>
      </c>
      <c r="R10" s="2429"/>
      <c r="S10" s="2428"/>
      <c r="T10" s="2413"/>
      <c r="U10" s="2413"/>
      <c r="V10" s="2413"/>
      <c r="W10" s="2430"/>
      <c r="X10" s="2430">
        <f>ROUND(IF(项目基本情况!B8="出让",SUMPRODUCT(PRODUCT(1+N10:N$31)),SUMPRODUCT(PRODUCT(1+N10:N$30))),4)</f>
        <v>1.5422</v>
      </c>
      <c r="Y10" s="2430">
        <f>ROUND(IF(项目基本情况!B8="出让",SUMPRODUCT(PRODUCT(1+O10:O$31)),SUMPRODUCT(PRODUCT(1+O10:O$30))),4)</f>
        <v>1.3557999999999999</v>
      </c>
      <c r="Z10" s="2430">
        <f t="shared" ref="Z10" si="67">Y10</f>
        <v>1.3557999999999999</v>
      </c>
      <c r="AA10" s="2430">
        <f>ROUND(IF(项目基本情况!B8="出让",SUMPRODUCT(PRODUCT(1+P10:P$31)),SUMPRODUCT(PRODUCT(1+P10:P$30))),4)</f>
        <v>1.6036999999999999</v>
      </c>
      <c r="AB10" s="2430">
        <f>ROUND(IF(项目基本情况!B8="出让",SUMPRODUCT(PRODUCT(1+Q10:Q$31)),SUMPRODUCT(PRODUCT(1+Q10:Q$30))),4)</f>
        <v>1.3573</v>
      </c>
      <c r="AC10" s="2430"/>
      <c r="AD10" s="2431">
        <f>ROUND(AVERAGE(I10:I$31)/100,4)</f>
        <v>2.1299999999999999E-2</v>
      </c>
      <c r="AE10" s="2431">
        <f>ROUND(AVERAGE(J10:J$31)/100,4)</f>
        <v>1.4999999999999999E-2</v>
      </c>
      <c r="AF10" s="2431">
        <f t="shared" ref="AF10" si="68">AE10</f>
        <v>1.4999999999999999E-2</v>
      </c>
      <c r="AG10" s="2431">
        <f>ROUND(AVERAGE(K10:K$31)/100,4)</f>
        <v>2.3300000000000001E-2</v>
      </c>
      <c r="AH10" s="2431">
        <f>ROUND(AVERAGE(L10:L$31)/100,4)</f>
        <v>1.46E-2</v>
      </c>
    </row>
    <row r="11" spans="1:34" s="2432" customFormat="1" ht="13.5" thickBot="1">
      <c r="A11" s="2425" t="s">
        <v>2865</v>
      </c>
      <c r="B11" s="2426">
        <f t="shared" ref="B11" si="69">B12*(1+N11)</f>
        <v>467.15916775261894</v>
      </c>
      <c r="C11" s="2426">
        <f t="shared" ref="C11" si="70">C12*(1+O11)</f>
        <v>346.01232557169084</v>
      </c>
      <c r="D11" s="2426">
        <f t="shared" ref="D11" si="71">C11</f>
        <v>346.01232557169084</v>
      </c>
      <c r="E11" s="2426">
        <f t="shared" ref="E11" si="72">E12*(1+P11)</f>
        <v>667.41617752122568</v>
      </c>
      <c r="F11" s="2426">
        <f t="shared" ref="F11" si="73">F12*(1+Q11)</f>
        <v>308.20314391798104</v>
      </c>
      <c r="G11" s="2416">
        <v>2019</v>
      </c>
      <c r="H11" s="2427">
        <v>1</v>
      </c>
      <c r="I11" s="2427">
        <v>0.6</v>
      </c>
      <c r="J11" s="2427">
        <v>0.37</v>
      </c>
      <c r="K11" s="2427">
        <v>0.63</v>
      </c>
      <c r="L11" s="2433">
        <v>1.1299999999999999</v>
      </c>
      <c r="M11" s="2412"/>
      <c r="N11" s="2428">
        <f t="shared" si="43"/>
        <v>6.0000000000000001E-3</v>
      </c>
      <c r="O11" s="2413">
        <f t="shared" ref="O11" si="74">J11/100</f>
        <v>3.7000000000000002E-3</v>
      </c>
      <c r="P11" s="2413">
        <f t="shared" ref="P11" si="75">K11/100</f>
        <v>6.3E-3</v>
      </c>
      <c r="Q11" s="2413">
        <f t="shared" ref="Q11" si="76">L11/100</f>
        <v>1.1299999999999999E-2</v>
      </c>
      <c r="R11" s="2429"/>
      <c r="S11" s="2428">
        <f>B11/B12-1</f>
        <v>6.0000000000000053E-3</v>
      </c>
      <c r="T11" s="2413">
        <f t="shared" ref="T11" si="77">C11/C12-1</f>
        <v>3.7000000000000366E-3</v>
      </c>
      <c r="U11" s="2413">
        <f t="shared" ref="U11" si="78">D11/D12-1</f>
        <v>3.7000000000000366E-3</v>
      </c>
      <c r="V11" s="2413">
        <f t="shared" ref="V11" si="79">E11/E12-1</f>
        <v>6.2999999999999723E-3</v>
      </c>
      <c r="W11" s="2430"/>
      <c r="X11" s="2430">
        <f>ROUND(IF(项目基本情况!B8="出让",SUMPRODUCT(PRODUCT(1+N11:N$31)),SUMPRODUCT(PRODUCT(1+N11:N$30))),4)</f>
        <v>1.5189999999999999</v>
      </c>
      <c r="Y11" s="2430">
        <f>ROUND(IF(项目基本情况!B8="出让",SUMPRODUCT(PRODUCT(1+O11:O$31)),SUMPRODUCT(PRODUCT(1+O11:O$30))),4)</f>
        <v>1.3423</v>
      </c>
      <c r="Z11" s="2430">
        <f t="shared" ref="Z11" si="80">Y11</f>
        <v>1.3423</v>
      </c>
      <c r="AA11" s="2430">
        <f>ROUND(IF(项目基本情况!B8="出让",SUMPRODUCT(PRODUCT(1+P11:P$31)),SUMPRODUCT(PRODUCT(1+P11:P$30))),4)</f>
        <v>1.5782</v>
      </c>
      <c r="AB11" s="2430">
        <f>ROUND(IF(项目基本情况!B8="出让",SUMPRODUCT(PRODUCT(1+Q11:Q$31)),SUMPRODUCT(PRODUCT(1+Q11:Q$30))),4)</f>
        <v>1.3405</v>
      </c>
      <c r="AC11" s="2430"/>
      <c r="AD11" s="2431">
        <f>ROUND(AVERAGE(I11:I$31)/100,4)</f>
        <v>2.1600000000000001E-2</v>
      </c>
      <c r="AE11" s="2431">
        <f>ROUND(AVERAGE(J11:J$31)/100,4)</f>
        <v>1.5299999999999999E-2</v>
      </c>
      <c r="AF11" s="2431">
        <f t="shared" ref="AF11" si="81">AE11</f>
        <v>1.5299999999999999E-2</v>
      </c>
      <c r="AG11" s="2431">
        <f>ROUND(AVERAGE(K11:K$31)/100,4)</f>
        <v>2.3699999999999999E-2</v>
      </c>
      <c r="AH11" s="2431">
        <f>ROUND(AVERAGE(L11:L$31)/100,4)</f>
        <v>1.47E-2</v>
      </c>
    </row>
    <row r="12" spans="1:34" s="2432" customFormat="1">
      <c r="A12" s="2425" t="s">
        <v>2868</v>
      </c>
      <c r="B12" s="2436">
        <f t="shared" ref="B12" si="82">B13*(1+N12)</f>
        <v>464.37293017158942</v>
      </c>
      <c r="C12" s="2436">
        <f t="shared" ref="C12" si="83">C13*(1+O12)</f>
        <v>344.73679941385956</v>
      </c>
      <c r="D12" s="2436">
        <f t="shared" ref="D12" si="84">C12</f>
        <v>344.73679941385956</v>
      </c>
      <c r="E12" s="2436">
        <f t="shared" ref="E12" si="85">E13*(1+P12)</f>
        <v>663.2377795103107</v>
      </c>
      <c r="F12" s="2437">
        <f t="shared" ref="F12" si="86">F13*(1+Q12)</f>
        <v>304.75936311478398</v>
      </c>
      <c r="G12" s="3367">
        <v>2018</v>
      </c>
      <c r="H12" s="2434">
        <v>4</v>
      </c>
      <c r="I12" s="2434">
        <v>0.96</v>
      </c>
      <c r="J12" s="2434">
        <v>1.03</v>
      </c>
      <c r="K12" s="2434">
        <v>0.92</v>
      </c>
      <c r="L12" s="2435">
        <v>1.29</v>
      </c>
      <c r="M12" s="2412"/>
      <c r="N12" s="2428">
        <f t="shared" si="43"/>
        <v>9.5999999999999992E-3</v>
      </c>
      <c r="O12" s="2413">
        <f t="shared" ref="O12" si="87">J12/100</f>
        <v>1.03E-2</v>
      </c>
      <c r="P12" s="2413">
        <f t="shared" ref="P12" si="88">K12/100</f>
        <v>9.1999999999999998E-3</v>
      </c>
      <c r="Q12" s="2413">
        <f t="shared" ref="Q12" si="89">L12/100</f>
        <v>1.29E-2</v>
      </c>
      <c r="R12" s="2429"/>
      <c r="S12" s="2428"/>
      <c r="T12" s="2413"/>
      <c r="U12" s="2413"/>
      <c r="V12" s="2413"/>
      <c r="W12" s="2430"/>
      <c r="X12" s="2430">
        <f>ROUND(SUMPRODUCT(PRODUCT(1+N12:N$30)),4)</f>
        <v>1.5099</v>
      </c>
      <c r="Y12" s="2430">
        <f>ROUND(SUMPRODUCT(PRODUCT(1+O12:O$30)),4)</f>
        <v>1.3372999999999999</v>
      </c>
      <c r="Z12" s="2430">
        <f t="shared" ref="Z12" si="90">Y12</f>
        <v>1.3372999999999999</v>
      </c>
      <c r="AA12" s="2430">
        <f>ROUND(SUMPRODUCT(PRODUCT(1+P12:P$30)),4)</f>
        <v>1.5683</v>
      </c>
      <c r="AB12" s="2430">
        <f>ROUND(SUMPRODUCT(PRODUCT(1+Q12:Q$30)),4)</f>
        <v>1.3255999999999999</v>
      </c>
      <c r="AC12" s="2430"/>
      <c r="AD12" s="2431">
        <f>ROUND(AVERAGE(I12:I$31)/100,4)</f>
        <v>2.24E-2</v>
      </c>
      <c r="AE12" s="2431">
        <f>ROUND(AVERAGE(J12:J$31)/100,4)</f>
        <v>1.5800000000000002E-2</v>
      </c>
      <c r="AF12" s="2431">
        <f t="shared" ref="AF12" si="91">AE12</f>
        <v>1.5800000000000002E-2</v>
      </c>
      <c r="AG12" s="2431">
        <f>ROUND(AVERAGE(K12:K$31)/100,4)</f>
        <v>2.4500000000000001E-2</v>
      </c>
      <c r="AH12" s="2431">
        <f>ROUND(AVERAGE(L12:L$31)/100,4)</f>
        <v>1.49E-2</v>
      </c>
    </row>
    <row r="13" spans="1:34" s="2432" customFormat="1" ht="14.45" customHeight="1">
      <c r="A13" s="2425" t="s">
        <v>2863</v>
      </c>
      <c r="B13" s="2426">
        <f t="shared" ref="B13" si="92">B14*(1+N13)</f>
        <v>459.95733971036987</v>
      </c>
      <c r="C13" s="2426">
        <f t="shared" ref="C13" si="93">C14*(1+O13)</f>
        <v>341.22221064422405</v>
      </c>
      <c r="D13" s="2426">
        <f t="shared" ref="D13" si="94">C13</f>
        <v>341.22221064422405</v>
      </c>
      <c r="E13" s="2426">
        <f t="shared" ref="E13" si="95">E14*(1+P13)</f>
        <v>657.19161663724799</v>
      </c>
      <c r="F13" s="2426">
        <f t="shared" ref="F13" si="96">F14*(1+Q13)</f>
        <v>300.87803644464805</v>
      </c>
      <c r="G13" s="3367"/>
      <c r="H13" s="2427">
        <v>3</v>
      </c>
      <c r="I13" s="2427">
        <v>1.51</v>
      </c>
      <c r="J13" s="2427">
        <v>1.41</v>
      </c>
      <c r="K13" s="2427">
        <v>1.52</v>
      </c>
      <c r="L13" s="2433">
        <v>1.74</v>
      </c>
      <c r="M13" s="2412"/>
      <c r="N13" s="2428">
        <f t="shared" si="43"/>
        <v>1.5100000000000001E-2</v>
      </c>
      <c r="O13" s="2413">
        <f t="shared" ref="O13" si="97">J13/100</f>
        <v>1.41E-2</v>
      </c>
      <c r="P13" s="2413">
        <f t="shared" ref="P13" si="98">K13/100</f>
        <v>1.52E-2</v>
      </c>
      <c r="Q13" s="2413">
        <f t="shared" ref="Q13" si="99">L13/100</f>
        <v>1.7399999999999999E-2</v>
      </c>
      <c r="R13" s="2429"/>
      <c r="S13" s="2428"/>
      <c r="T13" s="2413"/>
      <c r="U13" s="2413"/>
      <c r="V13" s="2413"/>
      <c r="W13" s="2430"/>
      <c r="X13" s="2430">
        <f>ROUND(SUMPRODUCT(PRODUCT(1+N13:N$30)),4)</f>
        <v>1.4956</v>
      </c>
      <c r="Y13" s="2430">
        <f>ROUND(SUMPRODUCT(PRODUCT(1+O13:O$30)),4)</f>
        <v>1.3237000000000001</v>
      </c>
      <c r="Z13" s="2430">
        <f t="shared" ref="Z13" si="100">Y13</f>
        <v>1.3237000000000001</v>
      </c>
      <c r="AA13" s="2430">
        <f>ROUND(SUMPRODUCT(PRODUCT(1+P13:P$30)),4)</f>
        <v>1.554</v>
      </c>
      <c r="AB13" s="2430">
        <f>ROUND(SUMPRODUCT(PRODUCT(1+Q13:Q$30)),4)</f>
        <v>1.3087</v>
      </c>
      <c r="AC13" s="2430"/>
      <c r="AD13" s="2431">
        <f>ROUND(AVERAGE(I13:I$31)/100,4)</f>
        <v>2.3099999999999999E-2</v>
      </c>
      <c r="AE13" s="2431">
        <f>ROUND(AVERAGE(J13:J$31)/100,4)</f>
        <v>1.61E-2</v>
      </c>
      <c r="AF13" s="2431">
        <f t="shared" ref="AF13" si="101">AE13</f>
        <v>1.61E-2</v>
      </c>
      <c r="AG13" s="2431">
        <f>ROUND(AVERAGE(K13:K$31)/100,4)</f>
        <v>2.53E-2</v>
      </c>
      <c r="AH13" s="2431">
        <f>ROUND(AVERAGE(L13:L$31)/100,4)</f>
        <v>1.4999999999999999E-2</v>
      </c>
    </row>
    <row r="14" spans="1:34" s="2432" customFormat="1" ht="14.45" customHeight="1">
      <c r="A14" s="2425" t="s">
        <v>2862</v>
      </c>
      <c r="B14" s="2426">
        <f t="shared" ref="B14" si="102">B15*(1+N14)</f>
        <v>453.11529869999993</v>
      </c>
      <c r="C14" s="2426">
        <f t="shared" ref="C14" si="103">C15*(1+O14)</f>
        <v>336.47787264000004</v>
      </c>
      <c r="D14" s="2426">
        <f t="shared" ref="D14" si="104">C14</f>
        <v>336.47787264000004</v>
      </c>
      <c r="E14" s="2426">
        <f t="shared" ref="E14" si="105">E15*(1+P14)</f>
        <v>647.35186823999993</v>
      </c>
      <c r="F14" s="2426">
        <f t="shared" ref="F14" si="106">F15*(1+Q14)</f>
        <v>295.73229452000004</v>
      </c>
      <c r="G14" s="3367"/>
      <c r="H14" s="2438">
        <v>2</v>
      </c>
      <c r="I14" s="2438">
        <v>1.49</v>
      </c>
      <c r="J14" s="2438">
        <v>0.96</v>
      </c>
      <c r="K14" s="2438">
        <v>1.58</v>
      </c>
      <c r="L14" s="2439">
        <v>2.44</v>
      </c>
      <c r="M14" s="2412"/>
      <c r="N14" s="2428">
        <f t="shared" ref="N14" si="107">I14/100</f>
        <v>1.49E-2</v>
      </c>
      <c r="O14" s="2413">
        <f t="shared" ref="O14" si="108">J14/100</f>
        <v>9.5999999999999992E-3</v>
      </c>
      <c r="P14" s="2413">
        <f t="shared" ref="P14" si="109">K14/100</f>
        <v>1.5800000000000002E-2</v>
      </c>
      <c r="Q14" s="2413">
        <f t="shared" ref="Q14" si="110">L14/100</f>
        <v>2.4399999999999998E-2</v>
      </c>
      <c r="R14" s="2429"/>
      <c r="S14" s="2428"/>
      <c r="T14" s="2413"/>
      <c r="U14" s="2413"/>
      <c r="V14" s="2413"/>
      <c r="W14" s="2430"/>
      <c r="X14" s="2430">
        <f>ROUND(SUMPRODUCT(PRODUCT(1+N14:N$30)),4)</f>
        <v>1.4733000000000001</v>
      </c>
      <c r="Y14" s="2430">
        <f>ROUND(SUMPRODUCT(PRODUCT(1+O14:O$30)),4)</f>
        <v>1.3052999999999999</v>
      </c>
      <c r="Z14" s="2430">
        <f t="shared" ref="Z14" si="111">Y14</f>
        <v>1.3052999999999999</v>
      </c>
      <c r="AA14" s="2430">
        <f>ROUND(SUMPRODUCT(PRODUCT(1+P14:P$30)),4)</f>
        <v>1.5306999999999999</v>
      </c>
      <c r="AB14" s="2430">
        <f>ROUND(SUMPRODUCT(PRODUCT(1+Q14:Q$30)),4)</f>
        <v>1.2863</v>
      </c>
      <c r="AC14" s="2430"/>
      <c r="AD14" s="2431">
        <f>ROUND(AVERAGE(I14:I$31)/100,4)</f>
        <v>2.35E-2</v>
      </c>
      <c r="AE14" s="2431">
        <f>ROUND(AVERAGE(J14:J$31)/100,4)</f>
        <v>1.6199999999999999E-2</v>
      </c>
      <c r="AF14" s="2431">
        <f t="shared" ref="AF14" si="112">AE14</f>
        <v>1.6199999999999999E-2</v>
      </c>
      <c r="AG14" s="2431">
        <f>ROUND(AVERAGE(K14:K$31)/100,4)</f>
        <v>2.5899999999999999E-2</v>
      </c>
      <c r="AH14" s="2431">
        <f>ROUND(AVERAGE(L14:L$31)/100,4)</f>
        <v>1.49E-2</v>
      </c>
    </row>
    <row r="15" spans="1:34" s="2432" customFormat="1" ht="15" customHeight="1" thickBot="1">
      <c r="A15" s="2425" t="s">
        <v>2855</v>
      </c>
      <c r="B15" s="2426">
        <f t="shared" ref="B15" si="113">B16*(1+N15)</f>
        <v>446.46299999999997</v>
      </c>
      <c r="C15" s="2426">
        <f t="shared" ref="C15" si="114">C16*(1+O15)</f>
        <v>333.27840000000003</v>
      </c>
      <c r="D15" s="2426">
        <f t="shared" ref="D15" si="115">C15</f>
        <v>333.27840000000003</v>
      </c>
      <c r="E15" s="2426">
        <f t="shared" ref="E15" si="116">E16*(1+P15)</f>
        <v>637.28279999999995</v>
      </c>
      <c r="F15" s="2426">
        <f t="shared" ref="F15" si="117">F16*(1+Q15)</f>
        <v>288.68830000000003</v>
      </c>
      <c r="G15" s="3374"/>
      <c r="H15" s="2427">
        <v>1</v>
      </c>
      <c r="I15" s="2427">
        <v>1.7</v>
      </c>
      <c r="J15" s="2427">
        <v>1.92</v>
      </c>
      <c r="K15" s="2427">
        <v>1.64</v>
      </c>
      <c r="L15" s="2433">
        <v>2.0099999999999998</v>
      </c>
      <c r="M15" s="2412"/>
      <c r="N15" s="2428">
        <f t="shared" ref="N15:N20" si="118">I15/100</f>
        <v>1.7000000000000001E-2</v>
      </c>
      <c r="O15" s="2413">
        <f t="shared" ref="O15" si="119">J15/100</f>
        <v>1.9199999999999998E-2</v>
      </c>
      <c r="P15" s="2413">
        <f t="shared" ref="P15" si="120">K15/100</f>
        <v>1.6399999999999998E-2</v>
      </c>
      <c r="Q15" s="2413">
        <f t="shared" ref="Q15" si="121">L15/100</f>
        <v>2.0099999999999996E-2</v>
      </c>
      <c r="R15" s="2429"/>
      <c r="S15" s="2428">
        <f>B15/B16-1</f>
        <v>1.6999999999999904E-2</v>
      </c>
      <c r="T15" s="2413">
        <f t="shared" ref="T15" si="122">C15/C16-1</f>
        <v>1.9200000000000106E-2</v>
      </c>
      <c r="U15" s="2413">
        <f t="shared" ref="U15" si="123">D15/D16-1</f>
        <v>1.9200000000000106E-2</v>
      </c>
      <c r="V15" s="2413">
        <f t="shared" ref="V15" si="124">E15/E16-1</f>
        <v>1.639999999999997E-2</v>
      </c>
      <c r="W15" s="2430"/>
      <c r="X15" s="2430">
        <f>ROUND(SUMPRODUCT(PRODUCT(1+N15:N$30)),4)</f>
        <v>1.4517</v>
      </c>
      <c r="Y15" s="2430">
        <f>ROUND(SUMPRODUCT(PRODUCT(1+O15:O$30)),4)</f>
        <v>1.2928999999999999</v>
      </c>
      <c r="Z15" s="2430">
        <f t="shared" ref="Z15" si="125">Y15</f>
        <v>1.2928999999999999</v>
      </c>
      <c r="AA15" s="2430">
        <f>ROUND(SUMPRODUCT(PRODUCT(1+P15:P$30)),4)</f>
        <v>1.5068999999999999</v>
      </c>
      <c r="AB15" s="2430">
        <f>ROUND(SUMPRODUCT(PRODUCT(1+Q15:Q$30)),4)</f>
        <v>1.2557</v>
      </c>
      <c r="AC15" s="2430"/>
      <c r="AD15" s="2431">
        <f>ROUND(AVERAGE(I15:I$31)/100,4)</f>
        <v>2.4E-2</v>
      </c>
      <c r="AE15" s="2431">
        <f>ROUND(AVERAGE(J15:J$31)/100,4)</f>
        <v>1.66E-2</v>
      </c>
      <c r="AF15" s="2431">
        <f t="shared" ref="AF15" si="126">AE15</f>
        <v>1.66E-2</v>
      </c>
      <c r="AG15" s="2431">
        <f>ROUND(AVERAGE(K15:K$31)/100,4)</f>
        <v>2.6499999999999999E-2</v>
      </c>
      <c r="AH15" s="2431">
        <f>ROUND(AVERAGE(L15:L$31)/100,4)</f>
        <v>1.43E-2</v>
      </c>
    </row>
    <row r="16" spans="1:34">
      <c r="A16" s="2425" t="s">
        <v>2853</v>
      </c>
      <c r="B16" s="2440">
        <v>439</v>
      </c>
      <c r="C16" s="2440">
        <v>327</v>
      </c>
      <c r="D16" s="2440">
        <f>C16</f>
        <v>327</v>
      </c>
      <c r="E16" s="2440">
        <v>627</v>
      </c>
      <c r="F16" s="2441">
        <v>283</v>
      </c>
      <c r="G16" s="3370">
        <v>2017</v>
      </c>
      <c r="H16" s="2434">
        <v>4</v>
      </c>
      <c r="I16" s="2434">
        <v>1.71</v>
      </c>
      <c r="J16" s="2434">
        <v>1.78</v>
      </c>
      <c r="K16" s="2434">
        <v>1.71</v>
      </c>
      <c r="L16" s="2435">
        <v>1.43</v>
      </c>
      <c r="N16" s="2428">
        <f t="shared" si="118"/>
        <v>1.7100000000000001E-2</v>
      </c>
      <c r="O16" s="2413">
        <f t="shared" ref="O16" si="127">J16/100</f>
        <v>1.78E-2</v>
      </c>
      <c r="P16" s="2413">
        <f t="shared" ref="P16" si="128">K16/100</f>
        <v>1.7100000000000001E-2</v>
      </c>
      <c r="Q16" s="2413">
        <f t="shared" ref="Q16" si="129">L16/100</f>
        <v>1.43E-2</v>
      </c>
      <c r="R16" s="2429"/>
      <c r="S16" s="2442"/>
      <c r="T16" s="2443"/>
      <c r="U16" s="2443"/>
      <c r="V16" s="2443"/>
      <c r="X16" s="2412">
        <f>ROUND(SUMPRODUCT(PRODUCT(1+N16:N$30)),4)</f>
        <v>1.4274</v>
      </c>
      <c r="Y16" s="2412">
        <f>ROUND(SUMPRODUCT(PRODUCT(1+O16:O$30)),4)</f>
        <v>1.2685</v>
      </c>
      <c r="Z16" s="2412">
        <f t="shared" si="0"/>
        <v>1.2685</v>
      </c>
      <c r="AA16" s="2412">
        <f>ROUND(SUMPRODUCT(PRODUCT(1+P16:P$30)),4)</f>
        <v>1.4825999999999999</v>
      </c>
      <c r="AB16" s="2412">
        <f>ROUND(SUMPRODUCT(PRODUCT(1+Q16:Q$30)),4)</f>
        <v>1.2309000000000001</v>
      </c>
      <c r="AD16" s="2413">
        <f>ROUND(AVERAGE(I16:I$31)/100,4)</f>
        <v>2.4500000000000001E-2</v>
      </c>
      <c r="AE16" s="2413">
        <f>ROUND(AVERAGE(J16:J$31)/100,4)</f>
        <v>1.6500000000000001E-2</v>
      </c>
      <c r="AF16" s="2413">
        <f t="shared" si="1"/>
        <v>1.6500000000000001E-2</v>
      </c>
      <c r="AG16" s="2413">
        <f>ROUND(AVERAGE(K16:K$31)/100,4)</f>
        <v>2.7099999999999999E-2</v>
      </c>
      <c r="AH16" s="2413">
        <f>ROUND(AVERAGE(L16:L$31)/100,4)</f>
        <v>1.3899999999999999E-2</v>
      </c>
    </row>
    <row r="17" spans="1:34" s="2432" customFormat="1" ht="14.45" customHeight="1">
      <c r="A17" s="2425" t="s">
        <v>2854</v>
      </c>
      <c r="B17" s="2426">
        <f t="shared" ref="B17:B18" si="130">B18*(1+N17)</f>
        <v>431.80730811680002</v>
      </c>
      <c r="C17" s="2426">
        <f t="shared" ref="C17:C18" si="131">C18*(1+O17)</f>
        <v>320.57880516480003</v>
      </c>
      <c r="D17" s="2426">
        <f t="shared" ref="D17:D18" si="132">C17</f>
        <v>320.57880516480003</v>
      </c>
      <c r="E17" s="2426">
        <f t="shared" ref="E17:E18" si="133">E18*(1+P17)</f>
        <v>615.96110553196797</v>
      </c>
      <c r="F17" s="2426">
        <f t="shared" ref="F17:F18" si="134">F18*(1+Q17)</f>
        <v>279.46777300108801</v>
      </c>
      <c r="G17" s="3367"/>
      <c r="H17" s="2427">
        <v>3</v>
      </c>
      <c r="I17" s="2427">
        <v>2.98</v>
      </c>
      <c r="J17" s="2427">
        <v>2.11</v>
      </c>
      <c r="K17" s="2427">
        <v>3.24</v>
      </c>
      <c r="L17" s="2433">
        <v>1.72</v>
      </c>
      <c r="M17" s="2412"/>
      <c r="N17" s="2428">
        <f t="shared" si="118"/>
        <v>2.98E-2</v>
      </c>
      <c r="O17" s="2413">
        <f t="shared" ref="O17" si="135">J17/100</f>
        <v>2.1099999999999997E-2</v>
      </c>
      <c r="P17" s="2413">
        <f t="shared" ref="P17" si="136">K17/100</f>
        <v>3.2400000000000005E-2</v>
      </c>
      <c r="Q17" s="2413">
        <f t="shared" ref="Q17" si="137">L17/100</f>
        <v>1.72E-2</v>
      </c>
      <c r="R17" s="2429"/>
      <c r="S17" s="2428"/>
      <c r="T17" s="2413"/>
      <c r="U17" s="2413"/>
      <c r="V17" s="2413"/>
      <c r="W17" s="2430"/>
      <c r="X17" s="2430">
        <f>ROUND(SUMPRODUCT(PRODUCT(1+N17:N$30)),4)</f>
        <v>1.4034</v>
      </c>
      <c r="Y17" s="2430">
        <f>ROUND(SUMPRODUCT(PRODUCT(1+O17:O$30)),4)</f>
        <v>1.2463</v>
      </c>
      <c r="Z17" s="2430">
        <f t="shared" si="0"/>
        <v>1.2463</v>
      </c>
      <c r="AA17" s="2430">
        <f>ROUND(SUMPRODUCT(PRODUCT(1+P17:P$30)),4)</f>
        <v>1.4577</v>
      </c>
      <c r="AB17" s="2430">
        <f>ROUND(SUMPRODUCT(PRODUCT(1+Q17:Q$30)),4)</f>
        <v>1.2136</v>
      </c>
      <c r="AC17" s="2430"/>
      <c r="AD17" s="2431">
        <f>ROUND(AVERAGE(I17:I$31)/100,4)</f>
        <v>2.4899999999999999E-2</v>
      </c>
      <c r="AE17" s="2431">
        <f>ROUND(AVERAGE(J17:J$31)/100,4)</f>
        <v>1.6400000000000001E-2</v>
      </c>
      <c r="AF17" s="2431">
        <f t="shared" si="1"/>
        <v>1.6400000000000001E-2</v>
      </c>
      <c r="AG17" s="2431">
        <f>ROUND(AVERAGE(K17:K$31)/100,4)</f>
        <v>2.7799999999999998E-2</v>
      </c>
      <c r="AH17" s="2431">
        <f>ROUND(AVERAGE(L17:L$31)/100,4)</f>
        <v>1.3899999999999999E-2</v>
      </c>
    </row>
    <row r="18" spans="1:34" s="2419" customFormat="1" ht="14.45" customHeight="1">
      <c r="A18" s="2425" t="s">
        <v>1351</v>
      </c>
      <c r="B18" s="2426">
        <f t="shared" si="130"/>
        <v>419.31181600000002</v>
      </c>
      <c r="C18" s="2426">
        <f t="shared" si="131"/>
        <v>313.95436800000004</v>
      </c>
      <c r="D18" s="2426">
        <f t="shared" si="132"/>
        <v>313.95436800000004</v>
      </c>
      <c r="E18" s="2426">
        <f t="shared" si="133"/>
        <v>596.63028431999999</v>
      </c>
      <c r="F18" s="2426">
        <f t="shared" si="134"/>
        <v>274.74220703999998</v>
      </c>
      <c r="G18" s="3367"/>
      <c r="H18" s="2438">
        <v>2</v>
      </c>
      <c r="I18" s="2438">
        <v>3.4</v>
      </c>
      <c r="J18" s="2438">
        <v>2</v>
      </c>
      <c r="K18" s="2438">
        <v>3.82</v>
      </c>
      <c r="L18" s="2439">
        <v>1.68</v>
      </c>
      <c r="M18" s="2412"/>
      <c r="N18" s="2428">
        <f t="shared" si="118"/>
        <v>3.4000000000000002E-2</v>
      </c>
      <c r="O18" s="2413">
        <f t="shared" ref="O18" si="138">J18/100</f>
        <v>0.02</v>
      </c>
      <c r="P18" s="2413">
        <f t="shared" ref="P18" si="139">K18/100</f>
        <v>3.8199999999999998E-2</v>
      </c>
      <c r="Q18" s="2413">
        <f t="shared" ref="Q18" si="140">L18/100</f>
        <v>1.6799999999999999E-2</v>
      </c>
      <c r="R18" s="2429"/>
      <c r="S18" s="2442"/>
      <c r="T18" s="2443"/>
      <c r="U18" s="2443"/>
      <c r="V18" s="2443"/>
      <c r="W18" s="2406"/>
      <c r="X18" s="2430">
        <f>ROUND(SUMPRODUCT(PRODUCT(1+N18:N$30)),4)</f>
        <v>1.3628</v>
      </c>
      <c r="Y18" s="2430">
        <f>ROUND(SUMPRODUCT(PRODUCT(1+O18:O$30)),4)</f>
        <v>1.2205999999999999</v>
      </c>
      <c r="Z18" s="2430">
        <f t="shared" si="0"/>
        <v>1.2205999999999999</v>
      </c>
      <c r="AA18" s="2430">
        <f>ROUND(SUMPRODUCT(PRODUCT(1+P18:P$30)),4)</f>
        <v>1.4118999999999999</v>
      </c>
      <c r="AB18" s="2430">
        <f>ROUND(SUMPRODUCT(PRODUCT(1+Q18:Q$30)),4)</f>
        <v>1.1930000000000001</v>
      </c>
      <c r="AC18" s="2406"/>
      <c r="AD18" s="2431">
        <f>ROUND(AVERAGE(I18:I$31)/100,4)</f>
        <v>2.46E-2</v>
      </c>
      <c r="AE18" s="2431">
        <f>ROUND(AVERAGE(J18:J$31)/100,4)</f>
        <v>1.6E-2</v>
      </c>
      <c r="AF18" s="2431">
        <f t="shared" si="1"/>
        <v>1.6E-2</v>
      </c>
      <c r="AG18" s="2431">
        <f>ROUND(AVERAGE(K18:K$31)/100,4)</f>
        <v>2.75E-2</v>
      </c>
      <c r="AH18" s="2431">
        <f>ROUND(AVERAGE(L18:L$31)/100,4)</f>
        <v>1.37E-2</v>
      </c>
    </row>
    <row r="19" spans="1:34" s="2432" customFormat="1" ht="15" customHeight="1" thickBot="1">
      <c r="A19" s="2425" t="s">
        <v>1128</v>
      </c>
      <c r="B19" s="2426">
        <f>B20*(1+N19)</f>
        <v>405.524</v>
      </c>
      <c r="C19" s="2426">
        <f>C20*(1+O19)</f>
        <v>307.79840000000002</v>
      </c>
      <c r="D19" s="2426">
        <f>C19</f>
        <v>307.79840000000002</v>
      </c>
      <c r="E19" s="2426">
        <f>E20*(1+P19)</f>
        <v>574.67759999999998</v>
      </c>
      <c r="F19" s="2426">
        <f>F20*(1+Q19)</f>
        <v>270.20280000000002</v>
      </c>
      <c r="G19" s="3374"/>
      <c r="H19" s="2427">
        <v>1</v>
      </c>
      <c r="I19" s="2427">
        <v>3.45</v>
      </c>
      <c r="J19" s="2427">
        <v>1.92</v>
      </c>
      <c r="K19" s="2427">
        <v>3.92</v>
      </c>
      <c r="L19" s="2433">
        <v>1.58</v>
      </c>
      <c r="M19" s="2412"/>
      <c r="N19" s="2428">
        <f t="shared" si="118"/>
        <v>3.4500000000000003E-2</v>
      </c>
      <c r="O19" s="2413">
        <f t="shared" ref="O19:Q34" si="141">J19/100</f>
        <v>1.9199999999999998E-2</v>
      </c>
      <c r="P19" s="2413">
        <f t="shared" si="141"/>
        <v>3.9199999999999999E-2</v>
      </c>
      <c r="Q19" s="2413">
        <f t="shared" si="141"/>
        <v>1.5800000000000002E-2</v>
      </c>
      <c r="R19" s="2429"/>
      <c r="S19" s="2428">
        <f>B19/B20-1</f>
        <v>3.4499999999999975E-2</v>
      </c>
      <c r="T19" s="2413">
        <f t="shared" ref="T19:V19" si="142">C19/C20-1</f>
        <v>1.9200000000000106E-2</v>
      </c>
      <c r="U19" s="2413">
        <f t="shared" si="142"/>
        <v>1.9200000000000106E-2</v>
      </c>
      <c r="V19" s="2413">
        <f t="shared" si="142"/>
        <v>3.9199999999999902E-2</v>
      </c>
      <c r="W19" s="2430"/>
      <c r="X19" s="2430">
        <f>ROUND(SUMPRODUCT(PRODUCT(1+N19:N$30)),4)</f>
        <v>1.3180000000000001</v>
      </c>
      <c r="Y19" s="2430">
        <f>ROUND(SUMPRODUCT(PRODUCT(1+O19:O$30)),4)</f>
        <v>1.1966000000000001</v>
      </c>
      <c r="Z19" s="2430">
        <f t="shared" si="0"/>
        <v>1.1966000000000001</v>
      </c>
      <c r="AA19" s="2430">
        <f>ROUND(SUMPRODUCT(PRODUCT(1+P19:P$30)),4)</f>
        <v>1.36</v>
      </c>
      <c r="AB19" s="2430">
        <f>ROUND(SUMPRODUCT(PRODUCT(1+Q19:Q$30)),4)</f>
        <v>1.1733</v>
      </c>
      <c r="AC19" s="2430"/>
      <c r="AD19" s="2431">
        <f>ROUND(AVERAGE(I19:I$31)/100,4)</f>
        <v>2.3900000000000001E-2</v>
      </c>
      <c r="AE19" s="2431">
        <f>ROUND(AVERAGE(J19:J$31)/100,4)</f>
        <v>1.5699999999999999E-2</v>
      </c>
      <c r="AF19" s="2431">
        <f t="shared" si="1"/>
        <v>1.5699999999999999E-2</v>
      </c>
      <c r="AG19" s="2431">
        <f>ROUND(AVERAGE(K19:K$31)/100,4)</f>
        <v>2.6599999999999999E-2</v>
      </c>
      <c r="AH19" s="2431">
        <f>ROUND(AVERAGE(L19:L$31)/100,4)</f>
        <v>1.34E-2</v>
      </c>
    </row>
    <row r="20" spans="1:34">
      <c r="A20" s="2425" t="s">
        <v>154</v>
      </c>
      <c r="B20" s="2440">
        <v>392</v>
      </c>
      <c r="C20" s="2440">
        <v>302</v>
      </c>
      <c r="D20" s="2440">
        <f>C20</f>
        <v>302</v>
      </c>
      <c r="E20" s="2440">
        <v>553</v>
      </c>
      <c r="F20" s="2441">
        <v>266</v>
      </c>
      <c r="G20" s="3370">
        <v>2016</v>
      </c>
      <c r="H20" s="2434">
        <v>4</v>
      </c>
      <c r="I20" s="2434">
        <v>4.5599999999999996</v>
      </c>
      <c r="J20" s="2434">
        <v>2.15</v>
      </c>
      <c r="K20" s="2434">
        <v>5.32</v>
      </c>
      <c r="L20" s="2435">
        <v>1.57</v>
      </c>
      <c r="N20" s="2428">
        <f t="shared" si="118"/>
        <v>4.5599999999999995E-2</v>
      </c>
      <c r="O20" s="2413">
        <f t="shared" si="141"/>
        <v>2.1499999999999998E-2</v>
      </c>
      <c r="P20" s="2413">
        <f t="shared" si="141"/>
        <v>5.3200000000000004E-2</v>
      </c>
      <c r="Q20" s="2413">
        <f t="shared" si="141"/>
        <v>1.5700000000000002E-2</v>
      </c>
      <c r="R20" s="2429"/>
      <c r="S20" s="2442"/>
      <c r="T20" s="2443"/>
      <c r="U20" s="2443"/>
      <c r="V20" s="2443"/>
      <c r="X20" s="2412">
        <f>ROUND(SUMPRODUCT(PRODUCT(1+N20:N$30)),4)</f>
        <v>1.274</v>
      </c>
      <c r="Y20" s="2412">
        <f>ROUND(SUMPRODUCT(PRODUCT(1+O20:O$30)),4)</f>
        <v>1.1740999999999999</v>
      </c>
      <c r="Z20" s="2412">
        <f t="shared" si="0"/>
        <v>1.1740999999999999</v>
      </c>
      <c r="AA20" s="2412">
        <f>ROUND(SUMPRODUCT(PRODUCT(1+P20:P$30)),4)</f>
        <v>1.3087</v>
      </c>
      <c r="AB20" s="2412">
        <f>ROUND(SUMPRODUCT(PRODUCT(1+Q20:Q$30)),4)</f>
        <v>1.1551</v>
      </c>
      <c r="AD20" s="2413">
        <f>ROUND(AVERAGE(I20:I$31)/100,4)</f>
        <v>2.3E-2</v>
      </c>
      <c r="AE20" s="2413">
        <f>ROUND(AVERAGE(J20:J$31)/100,4)</f>
        <v>1.55E-2</v>
      </c>
      <c r="AF20" s="2413">
        <f t="shared" si="1"/>
        <v>1.55E-2</v>
      </c>
      <c r="AG20" s="2413">
        <f>ROUND(AVERAGE(K20:K$31)/100,4)</f>
        <v>2.5600000000000001E-2</v>
      </c>
      <c r="AH20" s="2413">
        <f>ROUND(AVERAGE(L20:L$31)/100,4)</f>
        <v>1.32E-2</v>
      </c>
    </row>
    <row r="21" spans="1:34">
      <c r="A21" s="2425" t="s">
        <v>153</v>
      </c>
      <c r="B21" s="2426">
        <f t="shared" ref="B21:C23" si="143">B20/(1+N20)</f>
        <v>374.90436113236416</v>
      </c>
      <c r="C21" s="2426">
        <f t="shared" si="143"/>
        <v>295.64366128242779</v>
      </c>
      <c r="D21" s="2426">
        <f t="shared" ref="D21:D80" si="144">C21</f>
        <v>295.64366128242779</v>
      </c>
      <c r="E21" s="2426">
        <f t="shared" ref="E21:F23" si="145">E20/(1+P20)</f>
        <v>525.06646410938095</v>
      </c>
      <c r="F21" s="2426">
        <f t="shared" si="145"/>
        <v>261.88835286009646</v>
      </c>
      <c r="G21" s="3367"/>
      <c r="H21" s="2427">
        <v>3</v>
      </c>
      <c r="I21" s="2427">
        <v>4.12</v>
      </c>
      <c r="J21" s="2427">
        <v>2</v>
      </c>
      <c r="K21" s="2427">
        <v>4.79</v>
      </c>
      <c r="L21" s="2433">
        <v>1.97</v>
      </c>
      <c r="N21" s="2428">
        <f t="shared" ref="N21:Q55" si="146">I21/100</f>
        <v>4.1200000000000001E-2</v>
      </c>
      <c r="O21" s="2413">
        <f t="shared" si="141"/>
        <v>0.02</v>
      </c>
      <c r="P21" s="2413">
        <f t="shared" si="141"/>
        <v>4.7899999999999998E-2</v>
      </c>
      <c r="Q21" s="2413">
        <f t="shared" si="141"/>
        <v>1.9699999999999999E-2</v>
      </c>
      <c r="R21" s="2429"/>
      <c r="S21" s="2428"/>
      <c r="T21" s="2413"/>
      <c r="U21" s="2413"/>
      <c r="V21" s="2413"/>
      <c r="X21" s="2412">
        <f>ROUND(SUMPRODUCT(PRODUCT(1+N21:N$30)),4)</f>
        <v>1.2184999999999999</v>
      </c>
      <c r="Y21" s="2412">
        <f>ROUND(SUMPRODUCT(PRODUCT(1+O21:O$30)),4)</f>
        <v>1.1494</v>
      </c>
      <c r="Z21" s="2412">
        <f t="shared" si="0"/>
        <v>1.1494</v>
      </c>
      <c r="AA21" s="2412">
        <f>ROUND(SUMPRODUCT(PRODUCT(1+P21:P$30)),4)</f>
        <v>1.2425999999999999</v>
      </c>
      <c r="AB21" s="2412">
        <f>ROUND(SUMPRODUCT(PRODUCT(1+Q21:Q$30)),4)</f>
        <v>1.1372</v>
      </c>
      <c r="AD21" s="2413">
        <f>ROUND(AVERAGE(I21:I$31)/100,4)</f>
        <v>2.0899999999999998E-2</v>
      </c>
      <c r="AE21" s="2413">
        <f>ROUND(AVERAGE(J21:J$31)/100,4)</f>
        <v>1.49E-2</v>
      </c>
      <c r="AF21" s="2413">
        <f t="shared" si="1"/>
        <v>1.49E-2</v>
      </c>
      <c r="AG21" s="2413">
        <f>ROUND(AVERAGE(K21:K$31)/100,4)</f>
        <v>2.3099999999999999E-2</v>
      </c>
      <c r="AH21" s="2413">
        <f>ROUND(AVERAGE(L21:L$31)/100,4)</f>
        <v>1.2999999999999999E-2</v>
      </c>
    </row>
    <row r="22" spans="1:34">
      <c r="A22" s="2425" t="s">
        <v>143</v>
      </c>
      <c r="B22" s="2426">
        <f t="shared" si="143"/>
        <v>360.06949782209392</v>
      </c>
      <c r="C22" s="2426">
        <f t="shared" si="143"/>
        <v>289.84672674747821</v>
      </c>
      <c r="D22" s="2426">
        <f t="shared" si="144"/>
        <v>289.84672674747821</v>
      </c>
      <c r="E22" s="2426">
        <f t="shared" si="145"/>
        <v>501.06543001181495</v>
      </c>
      <c r="F22" s="2426">
        <f t="shared" si="145"/>
        <v>256.82882500744967</v>
      </c>
      <c r="G22" s="3367"/>
      <c r="H22" s="2438">
        <v>2</v>
      </c>
      <c r="I22" s="2438">
        <v>3.85</v>
      </c>
      <c r="J22" s="2438">
        <v>1.95</v>
      </c>
      <c r="K22" s="2438">
        <v>4.4800000000000004</v>
      </c>
      <c r="L22" s="2439">
        <v>1.41</v>
      </c>
      <c r="N22" s="2428">
        <f t="shared" si="146"/>
        <v>3.85E-2</v>
      </c>
      <c r="O22" s="2413">
        <f t="shared" si="141"/>
        <v>1.95E-2</v>
      </c>
      <c r="P22" s="2413">
        <f t="shared" si="141"/>
        <v>4.4800000000000006E-2</v>
      </c>
      <c r="Q22" s="2413">
        <f t="shared" si="141"/>
        <v>1.41E-2</v>
      </c>
      <c r="R22" s="2429"/>
      <c r="S22" s="2428"/>
      <c r="T22" s="2413"/>
      <c r="U22" s="2413"/>
      <c r="V22" s="2413"/>
      <c r="X22" s="2412">
        <f>ROUND(SUMPRODUCT(PRODUCT(1+N22:N$30)),4)</f>
        <v>1.1702999999999999</v>
      </c>
      <c r="Y22" s="2412">
        <f>ROUND(SUMPRODUCT(PRODUCT(1+O22:O$30)),4)</f>
        <v>1.1269</v>
      </c>
      <c r="Z22" s="2412">
        <f t="shared" si="0"/>
        <v>1.1269</v>
      </c>
      <c r="AA22" s="2412">
        <f>ROUND(SUMPRODUCT(PRODUCT(1+P22:P$30)),4)</f>
        <v>1.1858</v>
      </c>
      <c r="AB22" s="2412">
        <f>ROUND(SUMPRODUCT(PRODUCT(1+Q22:Q$30)),4)</f>
        <v>1.1152</v>
      </c>
      <c r="AD22" s="2413">
        <f>ROUND(AVERAGE(I22:I$31)/100,4)</f>
        <v>1.89E-2</v>
      </c>
      <c r="AE22" s="2413">
        <f>ROUND(AVERAGE(J22:J$31)/100,4)</f>
        <v>1.44E-2</v>
      </c>
      <c r="AF22" s="2413">
        <f t="shared" si="1"/>
        <v>1.44E-2</v>
      </c>
      <c r="AG22" s="2413">
        <f>ROUND(AVERAGE(K22:K$31)/100,4)</f>
        <v>2.06E-2</v>
      </c>
      <c r="AH22" s="2413">
        <f>ROUND(AVERAGE(L22:L$31)/100,4)</f>
        <v>1.23E-2</v>
      </c>
    </row>
    <row r="23" spans="1:34" ht="13.5" thickBot="1">
      <c r="A23" s="2425" t="s">
        <v>152</v>
      </c>
      <c r="B23" s="2426">
        <f t="shared" si="143"/>
        <v>346.720748986128</v>
      </c>
      <c r="C23" s="2426">
        <f t="shared" si="143"/>
        <v>284.30282172386285</v>
      </c>
      <c r="D23" s="2426">
        <f t="shared" si="144"/>
        <v>284.30282172386285</v>
      </c>
      <c r="E23" s="2426">
        <f t="shared" si="145"/>
        <v>479.58023546306947</v>
      </c>
      <c r="F23" s="2426">
        <f t="shared" si="145"/>
        <v>253.25788877571213</v>
      </c>
      <c r="G23" s="3368"/>
      <c r="H23" s="2427">
        <v>1</v>
      </c>
      <c r="I23" s="2427">
        <v>4.09</v>
      </c>
      <c r="J23" s="2427">
        <v>2.93</v>
      </c>
      <c r="K23" s="2427">
        <v>4.54</v>
      </c>
      <c r="L23" s="2433">
        <v>1.48</v>
      </c>
      <c r="N23" s="2428">
        <f t="shared" si="146"/>
        <v>4.0899999999999999E-2</v>
      </c>
      <c r="O23" s="2413">
        <f t="shared" si="141"/>
        <v>2.9300000000000003E-2</v>
      </c>
      <c r="P23" s="2413">
        <f t="shared" si="141"/>
        <v>4.5400000000000003E-2</v>
      </c>
      <c r="Q23" s="2413">
        <f t="shared" si="141"/>
        <v>1.4800000000000001E-2</v>
      </c>
      <c r="R23" s="2429"/>
      <c r="S23" s="2444">
        <f>B23/B24-1</f>
        <v>4.1203450408792808E-2</v>
      </c>
      <c r="T23" s="2445">
        <f>C23/C24-1</f>
        <v>2.6363977342465095E-2</v>
      </c>
      <c r="U23" s="2445">
        <f>E23/E24-1</f>
        <v>4.4837114298626357E-2</v>
      </c>
      <c r="V23" s="2445">
        <f>F23/F24-1</f>
        <v>1.7099954922538574E-2</v>
      </c>
      <c r="X23" s="2412">
        <f>ROUND(SUMPRODUCT(PRODUCT(1+N23:N$30)),4)</f>
        <v>1.1269</v>
      </c>
      <c r="Y23" s="2412">
        <f>ROUND(SUMPRODUCT(PRODUCT(1+O23:O$30)),4)</f>
        <v>1.1052999999999999</v>
      </c>
      <c r="Z23" s="2412">
        <f t="shared" si="0"/>
        <v>1.1052999999999999</v>
      </c>
      <c r="AA23" s="2412">
        <f>ROUND(SUMPRODUCT(PRODUCT(1+P23:P$30)),4)</f>
        <v>1.1349</v>
      </c>
      <c r="AB23" s="2412">
        <f>ROUND(SUMPRODUCT(PRODUCT(1+Q23:Q$30)),4)</f>
        <v>1.0996999999999999</v>
      </c>
      <c r="AD23" s="2413">
        <f>ROUND(AVERAGE(I23:I$31)/100,4)</f>
        <v>1.67E-2</v>
      </c>
      <c r="AE23" s="2413">
        <f>ROUND(AVERAGE(J23:J$31)/100,4)</f>
        <v>1.38E-2</v>
      </c>
      <c r="AF23" s="2413">
        <f t="shared" si="1"/>
        <v>1.38E-2</v>
      </c>
      <c r="AG23" s="2413">
        <f>ROUND(AVERAGE(K23:K$31)/100,4)</f>
        <v>1.7899999999999999E-2</v>
      </c>
      <c r="AH23" s="2413">
        <f>ROUND(AVERAGE(L23:L$31)/100,4)</f>
        <v>1.21E-2</v>
      </c>
    </row>
    <row r="24" spans="1:34" ht="13.5" thickBot="1">
      <c r="A24" s="2425" t="s">
        <v>151</v>
      </c>
      <c r="B24" s="2440">
        <v>333</v>
      </c>
      <c r="C24" s="2440">
        <v>277</v>
      </c>
      <c r="D24" s="2440">
        <f t="shared" si="144"/>
        <v>277</v>
      </c>
      <c r="E24" s="2440">
        <v>459</v>
      </c>
      <c r="F24" s="2441">
        <v>249</v>
      </c>
      <c r="G24" s="3366">
        <v>2015</v>
      </c>
      <c r="H24" s="2446">
        <v>4</v>
      </c>
      <c r="I24" s="2446">
        <v>1.63</v>
      </c>
      <c r="J24" s="2446">
        <v>1.1100000000000001</v>
      </c>
      <c r="K24" s="2446">
        <v>1.77</v>
      </c>
      <c r="L24" s="2447">
        <v>1.89</v>
      </c>
      <c r="N24" s="2448">
        <f t="shared" si="146"/>
        <v>1.6299999999999999E-2</v>
      </c>
      <c r="O24" s="2449">
        <f t="shared" si="141"/>
        <v>1.11E-2</v>
      </c>
      <c r="P24" s="2449">
        <f t="shared" si="141"/>
        <v>1.77E-2</v>
      </c>
      <c r="Q24" s="2449">
        <f t="shared" si="141"/>
        <v>1.89E-2</v>
      </c>
      <c r="R24" s="2429"/>
      <c r="X24" s="2412">
        <f>ROUND(SUMPRODUCT(PRODUCT(1+N24:N$30)),4)</f>
        <v>1.0826</v>
      </c>
      <c r="Y24" s="2412">
        <f>ROUND(SUMPRODUCT(PRODUCT(1+O24:O$30)),4)</f>
        <v>1.0738000000000001</v>
      </c>
      <c r="Z24" s="2412">
        <f t="shared" si="0"/>
        <v>1.0738000000000001</v>
      </c>
      <c r="AA24" s="2412">
        <f>ROUND(SUMPRODUCT(PRODUCT(1+P24:P$30)),4)</f>
        <v>1.0855999999999999</v>
      </c>
      <c r="AB24" s="2412">
        <f>ROUND(SUMPRODUCT(PRODUCT(1+Q24:Q$30)),4)</f>
        <v>1.0837000000000001</v>
      </c>
      <c r="AD24" s="2413">
        <f>ROUND(AVERAGE(I24:I$31)/100,4)</f>
        <v>1.37E-2</v>
      </c>
      <c r="AE24" s="2413">
        <f>ROUND(AVERAGE(J24:J$31)/100,4)</f>
        <v>1.1900000000000001E-2</v>
      </c>
      <c r="AF24" s="2413">
        <f t="shared" si="1"/>
        <v>1.1900000000000001E-2</v>
      </c>
      <c r="AG24" s="2413">
        <f>ROUND(AVERAGE(K24:K$31)/100,4)</f>
        <v>1.4500000000000001E-2</v>
      </c>
      <c r="AH24" s="2413">
        <f>ROUND(AVERAGE(L24:L$31)/100,4)</f>
        <v>1.18E-2</v>
      </c>
    </row>
    <row r="25" spans="1:34">
      <c r="A25" s="2425" t="s">
        <v>150</v>
      </c>
      <c r="B25" s="2426">
        <f t="shared" ref="B25:C27" si="147">B24/(1+N24)</f>
        <v>327.65915576109415</v>
      </c>
      <c r="C25" s="2426">
        <f t="shared" si="147"/>
        <v>273.95905449510434</v>
      </c>
      <c r="D25" s="2426">
        <f t="shared" si="144"/>
        <v>273.95905449510434</v>
      </c>
      <c r="E25" s="2426">
        <f t="shared" ref="E25:F27" si="148">E24/(1+P24)</f>
        <v>451.01699911565294</v>
      </c>
      <c r="F25" s="2426">
        <f t="shared" si="148"/>
        <v>244.38119540681129</v>
      </c>
      <c r="G25" s="3367"/>
      <c r="H25" s="2451">
        <v>3</v>
      </c>
      <c r="I25" s="2451">
        <v>1.65</v>
      </c>
      <c r="J25" s="2451">
        <v>0.92</v>
      </c>
      <c r="K25" s="2451">
        <v>1.88</v>
      </c>
      <c r="L25" s="2452">
        <v>1.26</v>
      </c>
      <c r="N25" s="2428">
        <f t="shared" si="146"/>
        <v>1.6500000000000001E-2</v>
      </c>
      <c r="O25" s="2453">
        <f t="shared" si="141"/>
        <v>9.1999999999999998E-3</v>
      </c>
      <c r="P25" s="2453">
        <f t="shared" si="141"/>
        <v>1.8799999999999997E-2</v>
      </c>
      <c r="Q25" s="2453">
        <f t="shared" si="141"/>
        <v>1.26E-2</v>
      </c>
      <c r="R25" s="2429"/>
      <c r="S25" s="2428"/>
      <c r="T25" s="2413"/>
      <c r="U25" s="2413"/>
      <c r="V25" s="2413"/>
      <c r="X25" s="2412">
        <f>ROUND(SUMPRODUCT(PRODUCT(1+N25:N$30)),4)</f>
        <v>1.0651999999999999</v>
      </c>
      <c r="Y25" s="2412">
        <f>ROUND(SUMPRODUCT(PRODUCT(1+O25:O$30)),4)</f>
        <v>1.0621</v>
      </c>
      <c r="Z25" s="2412">
        <f t="shared" si="0"/>
        <v>1.0621</v>
      </c>
      <c r="AA25" s="2412">
        <f>ROUND(SUMPRODUCT(PRODUCT(1+P25:P$30)),4)</f>
        <v>1.0668</v>
      </c>
      <c r="AB25" s="2412">
        <f>ROUND(SUMPRODUCT(PRODUCT(1+Q25:Q$30)),4)</f>
        <v>1.0636000000000001</v>
      </c>
      <c r="AD25" s="2413">
        <f>ROUND(AVERAGE(I25:I$31)/100,4)</f>
        <v>1.3299999999999999E-2</v>
      </c>
      <c r="AE25" s="2413">
        <f>ROUND(AVERAGE(J25:J$31)/100,4)</f>
        <v>1.2E-2</v>
      </c>
      <c r="AF25" s="2413">
        <f t="shared" si="1"/>
        <v>1.2E-2</v>
      </c>
      <c r="AG25" s="2413">
        <f>ROUND(AVERAGE(K25:K$31)/100,4)</f>
        <v>1.4E-2</v>
      </c>
      <c r="AH25" s="2413">
        <f>ROUND(AVERAGE(L25:L$31)/100,4)</f>
        <v>1.0800000000000001E-2</v>
      </c>
    </row>
    <row r="26" spans="1:34">
      <c r="A26" s="2425" t="s">
        <v>149</v>
      </c>
      <c r="B26" s="2426">
        <f t="shared" si="147"/>
        <v>322.34053690220776</v>
      </c>
      <c r="C26" s="2426">
        <f t="shared" si="147"/>
        <v>271.46160770422546</v>
      </c>
      <c r="D26" s="2426">
        <f t="shared" si="144"/>
        <v>271.46160770422546</v>
      </c>
      <c r="E26" s="2426">
        <f t="shared" si="148"/>
        <v>442.69434542172456</v>
      </c>
      <c r="F26" s="2426">
        <f t="shared" si="148"/>
        <v>241.34030753190925</v>
      </c>
      <c r="G26" s="3367"/>
      <c r="H26" s="2438">
        <v>2</v>
      </c>
      <c r="I26" s="2438">
        <v>0.77</v>
      </c>
      <c r="J26" s="2438">
        <v>0.69</v>
      </c>
      <c r="K26" s="2438">
        <v>0.8</v>
      </c>
      <c r="L26" s="2439">
        <v>0.88</v>
      </c>
      <c r="N26" s="2428">
        <f t="shared" si="146"/>
        <v>7.7000000000000002E-3</v>
      </c>
      <c r="O26" s="2453">
        <f t="shared" si="141"/>
        <v>6.8999999999999999E-3</v>
      </c>
      <c r="P26" s="2453">
        <f t="shared" si="141"/>
        <v>8.0000000000000002E-3</v>
      </c>
      <c r="Q26" s="2453">
        <f t="shared" si="141"/>
        <v>8.8000000000000005E-3</v>
      </c>
      <c r="R26" s="2429"/>
      <c r="S26" s="2428"/>
      <c r="T26" s="2413"/>
      <c r="U26" s="2413"/>
      <c r="V26" s="2413"/>
      <c r="X26" s="2412">
        <f>ROUND(SUMPRODUCT(PRODUCT(1+N26:N$30)),4)</f>
        <v>1.048</v>
      </c>
      <c r="Y26" s="2412">
        <f>ROUND(SUMPRODUCT(PRODUCT(1+O26:O$30)),4)</f>
        <v>1.0524</v>
      </c>
      <c r="Z26" s="2412">
        <f t="shared" si="0"/>
        <v>1.0524</v>
      </c>
      <c r="AA26" s="2412">
        <f>ROUND(SUMPRODUCT(PRODUCT(1+P26:P$30)),4)</f>
        <v>1.0470999999999999</v>
      </c>
      <c r="AB26" s="2412">
        <f>ROUND(SUMPRODUCT(PRODUCT(1+Q26:Q$30)),4)</f>
        <v>1.0504</v>
      </c>
      <c r="AD26" s="2413">
        <f>ROUND(AVERAGE(I26:I$31)/100,4)</f>
        <v>1.2800000000000001E-2</v>
      </c>
      <c r="AE26" s="2413">
        <f>ROUND(AVERAGE(J26:J$31)/100,4)</f>
        <v>1.2500000000000001E-2</v>
      </c>
      <c r="AF26" s="2413">
        <f t="shared" si="1"/>
        <v>1.2500000000000001E-2</v>
      </c>
      <c r="AG26" s="2413">
        <f>ROUND(AVERAGE(K26:K$31)/100,4)</f>
        <v>1.32E-2</v>
      </c>
      <c r="AH26" s="2413">
        <f>ROUND(AVERAGE(L26:L$31)/100,4)</f>
        <v>1.0500000000000001E-2</v>
      </c>
    </row>
    <row r="27" spans="1:34">
      <c r="A27" s="2425" t="s">
        <v>148</v>
      </c>
      <c r="B27" s="2426">
        <f t="shared" si="147"/>
        <v>319.87748030386797</v>
      </c>
      <c r="C27" s="2426">
        <f t="shared" si="147"/>
        <v>269.60135833173649</v>
      </c>
      <c r="D27" s="2426">
        <f t="shared" si="144"/>
        <v>269.60135833173649</v>
      </c>
      <c r="E27" s="2426">
        <f t="shared" si="148"/>
        <v>439.18089823583784</v>
      </c>
      <c r="F27" s="2426">
        <f t="shared" si="148"/>
        <v>239.23503918706311</v>
      </c>
      <c r="G27" s="3368"/>
      <c r="H27" s="2427">
        <v>1</v>
      </c>
      <c r="I27" s="2427">
        <v>0.51</v>
      </c>
      <c r="J27" s="2427">
        <v>0.54</v>
      </c>
      <c r="K27" s="2427">
        <v>0.48</v>
      </c>
      <c r="L27" s="2433">
        <v>0.93</v>
      </c>
      <c r="N27" s="2444">
        <f t="shared" si="146"/>
        <v>5.1000000000000004E-3</v>
      </c>
      <c r="O27" s="2445">
        <f t="shared" si="141"/>
        <v>5.4000000000000003E-3</v>
      </c>
      <c r="P27" s="2445">
        <f t="shared" si="141"/>
        <v>4.7999999999999996E-3</v>
      </c>
      <c r="Q27" s="2445">
        <f t="shared" si="141"/>
        <v>9.300000000000001E-3</v>
      </c>
      <c r="R27" s="2429"/>
      <c r="S27" s="2444">
        <f>B27/B28-1</f>
        <v>5.9040261127922822E-3</v>
      </c>
      <c r="T27" s="2445">
        <f>C27/C28-1</f>
        <v>5.9752176557332781E-3</v>
      </c>
      <c r="U27" s="2445">
        <f>E27/E28-1</f>
        <v>4.9906138119859556E-3</v>
      </c>
      <c r="V27" s="2445">
        <f>F27/F28-1</f>
        <v>9.4305450930933787E-3</v>
      </c>
      <c r="X27" s="2412">
        <f>ROUND(SUMPRODUCT(PRODUCT(1+N27:N$30)),4)</f>
        <v>1.0399</v>
      </c>
      <c r="Y27" s="2412">
        <f>ROUND(SUMPRODUCT(PRODUCT(1+O27:O$30)),4)</f>
        <v>1.0451999999999999</v>
      </c>
      <c r="Z27" s="2412">
        <f t="shared" si="0"/>
        <v>1.0451999999999999</v>
      </c>
      <c r="AA27" s="2412">
        <f>ROUND(SUMPRODUCT(PRODUCT(1+P27:P$30)),4)</f>
        <v>1.0387999999999999</v>
      </c>
      <c r="AB27" s="2412">
        <f>ROUND(SUMPRODUCT(PRODUCT(1+Q27:Q$30)),4)</f>
        <v>1.0411999999999999</v>
      </c>
      <c r="AD27" s="2413">
        <f>ROUND(AVERAGE(I27:I$31)/100,4)</f>
        <v>1.38E-2</v>
      </c>
      <c r="AE27" s="2413">
        <f>ROUND(AVERAGE(J27:J$31)/100,4)</f>
        <v>1.3599999999999999E-2</v>
      </c>
      <c r="AF27" s="2413">
        <f t="shared" si="1"/>
        <v>1.3599999999999999E-2</v>
      </c>
      <c r="AG27" s="2413">
        <f>ROUND(AVERAGE(K27:K$31)/100,4)</f>
        <v>1.4200000000000001E-2</v>
      </c>
      <c r="AH27" s="2413">
        <f>ROUND(AVERAGE(L27:L$31)/100,4)</f>
        <v>1.0800000000000001E-2</v>
      </c>
    </row>
    <row r="28" spans="1:34" ht="13.5" thickBot="1">
      <c r="A28" s="2425" t="s">
        <v>147</v>
      </c>
      <c r="B28" s="2454">
        <v>318</v>
      </c>
      <c r="C28" s="2454">
        <v>268</v>
      </c>
      <c r="D28" s="2454">
        <f t="shared" si="144"/>
        <v>268</v>
      </c>
      <c r="E28" s="2454">
        <v>437</v>
      </c>
      <c r="F28" s="2455">
        <v>237</v>
      </c>
      <c r="G28" s="3366">
        <v>2014</v>
      </c>
      <c r="H28" s="2446">
        <v>4</v>
      </c>
      <c r="I28" s="2446">
        <v>0.21</v>
      </c>
      <c r="J28" s="2446">
        <v>0.41</v>
      </c>
      <c r="K28" s="2446">
        <v>0.12</v>
      </c>
      <c r="L28" s="2447">
        <v>0.89</v>
      </c>
      <c r="N28" s="2428">
        <f t="shared" si="146"/>
        <v>2.0999999999999999E-3</v>
      </c>
      <c r="O28" s="2413">
        <f t="shared" si="141"/>
        <v>4.0999999999999995E-3</v>
      </c>
      <c r="P28" s="2413">
        <f t="shared" si="141"/>
        <v>1.1999999999999999E-3</v>
      </c>
      <c r="Q28" s="2413">
        <f t="shared" si="141"/>
        <v>8.8999999999999999E-3</v>
      </c>
      <c r="R28" s="2429"/>
      <c r="S28" s="2442"/>
      <c r="T28" s="2443"/>
      <c r="U28" s="2443"/>
      <c r="V28" s="2443"/>
      <c r="X28" s="2412">
        <f>ROUND(SUMPRODUCT(PRODUCT(1+N28:N$30)),4)</f>
        <v>1.0347</v>
      </c>
      <c r="Y28" s="2412">
        <f>ROUND(SUMPRODUCT(PRODUCT(1+O28:O$30)),4)</f>
        <v>1.0395000000000001</v>
      </c>
      <c r="Z28" s="2412">
        <f t="shared" si="0"/>
        <v>1.0395000000000001</v>
      </c>
      <c r="AA28" s="2412">
        <f>ROUND(SUMPRODUCT(PRODUCT(1+P28:P$30)),4)</f>
        <v>1.0338000000000001</v>
      </c>
      <c r="AB28" s="2412">
        <f>ROUND(SUMPRODUCT(PRODUCT(1+Q28:Q$30)),4)</f>
        <v>1.0316000000000001</v>
      </c>
      <c r="AD28" s="2413">
        <f>ROUND(AVERAGE(I28:I$31)/100,4)</f>
        <v>1.6E-2</v>
      </c>
      <c r="AE28" s="2413">
        <f>ROUND(AVERAGE(J28:J$31)/100,4)</f>
        <v>1.5599999999999999E-2</v>
      </c>
      <c r="AF28" s="2413">
        <f t="shared" si="1"/>
        <v>1.5599999999999999E-2</v>
      </c>
      <c r="AG28" s="2413">
        <f>ROUND(AVERAGE(K28:K$31)/100,4)</f>
        <v>1.66E-2</v>
      </c>
      <c r="AH28" s="2413">
        <f>ROUND(AVERAGE(L28:L$31)/100,4)</f>
        <v>1.12E-2</v>
      </c>
    </row>
    <row r="29" spans="1:34">
      <c r="A29" s="2425" t="s">
        <v>146</v>
      </c>
      <c r="B29" s="2426">
        <f t="shared" ref="B29:C31" si="149">B28/(1+N28)</f>
        <v>317.33359944117353</v>
      </c>
      <c r="C29" s="2426">
        <f t="shared" si="149"/>
        <v>266.90568668459315</v>
      </c>
      <c r="D29" s="2426">
        <f t="shared" si="144"/>
        <v>266.90568668459315</v>
      </c>
      <c r="E29" s="2426">
        <f t="shared" ref="E29:F31" si="150">E28/(1+P28)</f>
        <v>436.47622852576905</v>
      </c>
      <c r="F29" s="2426">
        <f t="shared" si="150"/>
        <v>234.90930716622066</v>
      </c>
      <c r="G29" s="3367"/>
      <c r="H29" s="2456">
        <v>3</v>
      </c>
      <c r="I29" s="2456">
        <v>0.83</v>
      </c>
      <c r="J29" s="2456">
        <v>1.47</v>
      </c>
      <c r="K29" s="2456">
        <v>0.65</v>
      </c>
      <c r="L29" s="2457">
        <v>0.72</v>
      </c>
      <c r="N29" s="2428">
        <f t="shared" si="146"/>
        <v>8.3000000000000001E-3</v>
      </c>
      <c r="O29" s="2413">
        <f t="shared" si="141"/>
        <v>1.47E-2</v>
      </c>
      <c r="P29" s="2413">
        <f t="shared" si="141"/>
        <v>6.5000000000000006E-3</v>
      </c>
      <c r="Q29" s="2413">
        <f t="shared" si="141"/>
        <v>7.1999999999999998E-3</v>
      </c>
      <c r="R29" s="2429"/>
      <c r="S29" s="2428"/>
      <c r="T29" s="2413"/>
      <c r="U29" s="2413"/>
      <c r="V29" s="2413"/>
      <c r="X29" s="2412">
        <f>ROUND(SUMPRODUCT(PRODUCT(1+N29:N$30)),4)</f>
        <v>1.0325</v>
      </c>
      <c r="Y29" s="2412">
        <f>ROUND(SUMPRODUCT(PRODUCT(1+O29:O$30)),4)</f>
        <v>1.0353000000000001</v>
      </c>
      <c r="Z29" s="2412">
        <f t="shared" ref="Z29:Z30" si="151">Y29</f>
        <v>1.0353000000000001</v>
      </c>
      <c r="AA29" s="2412">
        <f>ROUND(SUMPRODUCT(PRODUCT(1+P29:P$30)),4)</f>
        <v>1.0326</v>
      </c>
      <c r="AB29" s="2412">
        <f>ROUND(SUMPRODUCT(PRODUCT(1+Q29:Q$30)),4)</f>
        <v>1.0225</v>
      </c>
      <c r="AD29" s="2413">
        <f>ROUND(AVERAGE(I29:I$31)/100,4)</f>
        <v>2.07E-2</v>
      </c>
      <c r="AE29" s="2413">
        <f>ROUND(AVERAGE(J29:J$31)/100,4)</f>
        <v>1.95E-2</v>
      </c>
      <c r="AF29" s="2413">
        <f t="shared" si="1"/>
        <v>1.95E-2</v>
      </c>
      <c r="AG29" s="2413">
        <f>ROUND(AVERAGE(K29:K$31)/100,4)</f>
        <v>2.1700000000000001E-2</v>
      </c>
      <c r="AH29" s="2413">
        <f>ROUND(AVERAGE(L29:L$31)/100,4)</f>
        <v>1.2E-2</v>
      </c>
    </row>
    <row r="30" spans="1:34" ht="13.5" thickBot="1">
      <c r="A30" s="2425" t="s">
        <v>145</v>
      </c>
      <c r="B30" s="2426">
        <f t="shared" si="149"/>
        <v>314.72141172386546</v>
      </c>
      <c r="C30" s="2426">
        <f t="shared" si="149"/>
        <v>263.03901319069001</v>
      </c>
      <c r="D30" s="2426">
        <f t="shared" si="144"/>
        <v>263.03901319069001</v>
      </c>
      <c r="E30" s="2426">
        <f t="shared" si="150"/>
        <v>433.65745506782821</v>
      </c>
      <c r="F30" s="2426">
        <f t="shared" si="150"/>
        <v>233.23005080045735</v>
      </c>
      <c r="G30" s="3367"/>
      <c r="H30" s="2446">
        <v>2</v>
      </c>
      <c r="I30" s="2446">
        <v>2.4</v>
      </c>
      <c r="J30" s="2446">
        <v>2.0299999999999998</v>
      </c>
      <c r="K30" s="2446">
        <v>2.59</v>
      </c>
      <c r="L30" s="2447">
        <v>1.52</v>
      </c>
      <c r="N30" s="2428">
        <f t="shared" si="146"/>
        <v>2.4E-2</v>
      </c>
      <c r="O30" s="2413">
        <f t="shared" si="141"/>
        <v>2.0299999999999999E-2</v>
      </c>
      <c r="P30" s="2413">
        <f t="shared" si="141"/>
        <v>2.5899999999999999E-2</v>
      </c>
      <c r="Q30" s="2413">
        <f t="shared" si="141"/>
        <v>1.52E-2</v>
      </c>
      <c r="R30" s="2429"/>
      <c r="S30" s="2428"/>
      <c r="T30" s="2413"/>
      <c r="U30" s="2413"/>
      <c r="V30" s="2413"/>
      <c r="X30" s="2412">
        <f>1+N30</f>
        <v>1.024</v>
      </c>
      <c r="Y30" s="2412">
        <f>1+O30</f>
        <v>1.0203</v>
      </c>
      <c r="Z30" s="2412">
        <f t="shared" si="151"/>
        <v>1.0203</v>
      </c>
      <c r="AA30" s="2412">
        <f>1+P30</f>
        <v>1.0259</v>
      </c>
      <c r="AB30" s="2412">
        <f>1+Q30</f>
        <v>1.0152000000000001</v>
      </c>
      <c r="AD30" s="2413">
        <f>ROUND(AVERAGE(I30:I$31)/100,4)</f>
        <v>2.69E-2</v>
      </c>
      <c r="AE30" s="2413">
        <f>ROUND(AVERAGE(J30:J$31)/100,4)</f>
        <v>2.1899999999999999E-2</v>
      </c>
      <c r="AF30" s="2413">
        <f t="shared" ref="AF30" si="152">AE30</f>
        <v>2.1899999999999999E-2</v>
      </c>
      <c r="AG30" s="2413">
        <f>ROUND(AVERAGE(K30:K$31)/100,4)</f>
        <v>2.9399999999999999E-2</v>
      </c>
      <c r="AH30" s="2413">
        <f>ROUND(AVERAGE(L30:L$31)/100,4)</f>
        <v>1.44E-2</v>
      </c>
    </row>
    <row r="31" spans="1:34" s="2462" customFormat="1" ht="13.5" thickBot="1">
      <c r="A31" s="2458" t="s">
        <v>144</v>
      </c>
      <c r="B31" s="2459">
        <f t="shared" si="149"/>
        <v>307.34512863658733</v>
      </c>
      <c r="C31" s="2459">
        <f t="shared" si="149"/>
        <v>257.80556031626975</v>
      </c>
      <c r="D31" s="2459">
        <f t="shared" si="144"/>
        <v>257.80556031626975</v>
      </c>
      <c r="E31" s="2459">
        <f t="shared" si="150"/>
        <v>422.70928459677179</v>
      </c>
      <c r="F31" s="2459">
        <f t="shared" si="150"/>
        <v>229.73803270336617</v>
      </c>
      <c r="G31" s="3368"/>
      <c r="H31" s="2460">
        <v>1</v>
      </c>
      <c r="I31" s="2460">
        <v>2.97</v>
      </c>
      <c r="J31" s="2460">
        <v>2.34</v>
      </c>
      <c r="K31" s="2460">
        <v>3.28</v>
      </c>
      <c r="L31" s="2461">
        <v>1.36</v>
      </c>
      <c r="N31" s="2463">
        <f t="shared" si="146"/>
        <v>2.9700000000000001E-2</v>
      </c>
      <c r="O31" s="2464">
        <f t="shared" si="141"/>
        <v>2.3399999999999997E-2</v>
      </c>
      <c r="P31" s="2464">
        <f t="shared" si="141"/>
        <v>3.2799999999999996E-2</v>
      </c>
      <c r="Q31" s="2464">
        <f t="shared" si="141"/>
        <v>1.3600000000000001E-2</v>
      </c>
      <c r="R31" s="2465"/>
      <c r="S31" s="2466">
        <f>B31/B32-1</f>
        <v>2.7910129219355539E-2</v>
      </c>
      <c r="T31" s="2467">
        <f>C31/C32-1</f>
        <v>2.3037937762975247E-2</v>
      </c>
      <c r="U31" s="2467">
        <f>E31/E32-1</f>
        <v>3.3519033243940788E-2</v>
      </c>
      <c r="V31" s="2467">
        <f>F31/F32-1</f>
        <v>1.2061818076502862E-2</v>
      </c>
      <c r="W31" s="2468" t="s">
        <v>1129</v>
      </c>
      <c r="X31" s="2469">
        <v>1</v>
      </c>
      <c r="Y31" s="2469">
        <v>1</v>
      </c>
      <c r="Z31" s="2469">
        <v>1</v>
      </c>
      <c r="AA31" s="2469">
        <v>1</v>
      </c>
      <c r="AB31" s="2469">
        <v>1</v>
      </c>
      <c r="AD31" s="2464">
        <f>I31/100</f>
        <v>2.9700000000000001E-2</v>
      </c>
      <c r="AE31" s="2464">
        <f>J31/100</f>
        <v>2.3399999999999997E-2</v>
      </c>
      <c r="AF31" s="2464">
        <f>AE31</f>
        <v>2.3399999999999997E-2</v>
      </c>
      <c r="AG31" s="2464">
        <f>K31/100</f>
        <v>3.2799999999999996E-2</v>
      </c>
      <c r="AH31" s="2464">
        <f>L31/100</f>
        <v>1.3600000000000001E-2</v>
      </c>
    </row>
    <row r="32" spans="1:34" ht="13.5" thickBot="1">
      <c r="A32" s="2425" t="s">
        <v>1130</v>
      </c>
      <c r="B32" s="2440">
        <v>299</v>
      </c>
      <c r="C32" s="2440">
        <v>252</v>
      </c>
      <c r="D32" s="2440">
        <f t="shared" si="144"/>
        <v>252</v>
      </c>
      <c r="E32" s="2440">
        <v>409</v>
      </c>
      <c r="F32" s="2441">
        <v>227</v>
      </c>
      <c r="G32" s="3371">
        <v>2013</v>
      </c>
      <c r="H32" s="2470">
        <v>4</v>
      </c>
      <c r="I32" s="2470">
        <v>1.83</v>
      </c>
      <c r="J32" s="2470">
        <v>1.68</v>
      </c>
      <c r="K32" s="2470">
        <v>1.97</v>
      </c>
      <c r="L32" s="2471">
        <v>0.87</v>
      </c>
      <c r="N32" s="2448">
        <f t="shared" si="146"/>
        <v>1.83E-2</v>
      </c>
      <c r="O32" s="2449">
        <f t="shared" si="141"/>
        <v>1.6799999999999999E-2</v>
      </c>
      <c r="P32" s="2449">
        <f t="shared" si="141"/>
        <v>1.9699999999999999E-2</v>
      </c>
      <c r="Q32" s="2449">
        <f t="shared" si="141"/>
        <v>8.6999999999999994E-3</v>
      </c>
      <c r="R32" s="2429"/>
      <c r="S32" s="2442"/>
      <c r="T32" s="2443"/>
      <c r="U32" s="2443"/>
      <c r="V32" s="2443"/>
      <c r="X32" s="2443"/>
      <c r="Y32" s="2443"/>
      <c r="Z32" s="2443"/>
    </row>
    <row r="33" spans="1:26">
      <c r="A33" s="2425" t="s">
        <v>1131</v>
      </c>
      <c r="B33" s="2426">
        <f t="shared" ref="B33:C35" si="153">B32/(1+N32)</f>
        <v>293.62663262299913</v>
      </c>
      <c r="C33" s="2426">
        <f t="shared" si="153"/>
        <v>247.83634933123525</v>
      </c>
      <c r="D33" s="2426">
        <f t="shared" si="144"/>
        <v>247.83634933123525</v>
      </c>
      <c r="E33" s="2426">
        <f t="shared" ref="E33:F35" si="154">E32/(1+P32)</f>
        <v>401.09836226341076</v>
      </c>
      <c r="F33" s="2426">
        <f t="shared" si="154"/>
        <v>225.04213343908003</v>
      </c>
      <c r="G33" s="3372"/>
      <c r="H33" s="2451">
        <v>3</v>
      </c>
      <c r="I33" s="2451">
        <v>1.86</v>
      </c>
      <c r="J33" s="2451">
        <v>1.72</v>
      </c>
      <c r="K33" s="2451">
        <v>1.98</v>
      </c>
      <c r="L33" s="2452">
        <v>0.88</v>
      </c>
      <c r="N33" s="2428">
        <f t="shared" si="146"/>
        <v>1.8600000000000002E-2</v>
      </c>
      <c r="O33" s="2453">
        <f t="shared" si="141"/>
        <v>1.72E-2</v>
      </c>
      <c r="P33" s="2453">
        <f t="shared" si="141"/>
        <v>1.9799999999999998E-2</v>
      </c>
      <c r="Q33" s="2453">
        <f t="shared" si="141"/>
        <v>8.8000000000000005E-3</v>
      </c>
      <c r="R33" s="2429"/>
      <c r="S33" s="2428"/>
      <c r="T33" s="2413"/>
      <c r="U33" s="2413"/>
      <c r="V33" s="2413"/>
    </row>
    <row r="34" spans="1:26">
      <c r="A34" s="2425" t="s">
        <v>1132</v>
      </c>
      <c r="B34" s="2426">
        <f t="shared" si="153"/>
        <v>288.2649053828776</v>
      </c>
      <c r="C34" s="2426">
        <f t="shared" si="153"/>
        <v>243.64564425013293</v>
      </c>
      <c r="D34" s="2426">
        <f t="shared" si="144"/>
        <v>243.64564425013293</v>
      </c>
      <c r="E34" s="2426">
        <f t="shared" si="154"/>
        <v>393.31080825986544</v>
      </c>
      <c r="F34" s="2426">
        <f t="shared" si="154"/>
        <v>223.07903790551154</v>
      </c>
      <c r="G34" s="3372"/>
      <c r="H34" s="2438">
        <v>2</v>
      </c>
      <c r="I34" s="2438">
        <v>2.04</v>
      </c>
      <c r="J34" s="2438">
        <v>2.33</v>
      </c>
      <c r="K34" s="2438">
        <v>2.0699999999999998</v>
      </c>
      <c r="L34" s="2439">
        <v>0.69</v>
      </c>
      <c r="N34" s="2428">
        <f t="shared" si="146"/>
        <v>2.0400000000000001E-2</v>
      </c>
      <c r="O34" s="2453">
        <f t="shared" si="141"/>
        <v>2.3300000000000001E-2</v>
      </c>
      <c r="P34" s="2453">
        <f t="shared" si="141"/>
        <v>2.07E-2</v>
      </c>
      <c r="Q34" s="2453">
        <f t="shared" si="141"/>
        <v>6.8999999999999999E-3</v>
      </c>
      <c r="R34" s="2429"/>
      <c r="S34" s="2428"/>
      <c r="T34" s="2413"/>
      <c r="U34" s="2413"/>
      <c r="V34" s="2413"/>
      <c r="X34" s="2472"/>
      <c r="Y34" s="2473"/>
    </row>
    <row r="35" spans="1:26">
      <c r="A35" s="2425" t="s">
        <v>1133</v>
      </c>
      <c r="B35" s="2426">
        <f t="shared" si="153"/>
        <v>282.50186729015837</v>
      </c>
      <c r="C35" s="2426">
        <f t="shared" si="153"/>
        <v>238.09796174155468</v>
      </c>
      <c r="D35" s="2426">
        <f t="shared" si="144"/>
        <v>238.09796174155468</v>
      </c>
      <c r="E35" s="2426">
        <f t="shared" si="154"/>
        <v>385.33438646014054</v>
      </c>
      <c r="F35" s="2426">
        <f t="shared" si="154"/>
        <v>221.55034055567739</v>
      </c>
      <c r="G35" s="3373"/>
      <c r="H35" s="2427">
        <v>1</v>
      </c>
      <c r="I35" s="2427">
        <v>1.67</v>
      </c>
      <c r="J35" s="2427">
        <v>1.31</v>
      </c>
      <c r="K35" s="2427">
        <v>1.85</v>
      </c>
      <c r="L35" s="2433">
        <v>0.96</v>
      </c>
      <c r="N35" s="2444">
        <f t="shared" si="146"/>
        <v>1.67E-2</v>
      </c>
      <c r="O35" s="2445">
        <f t="shared" si="146"/>
        <v>1.3100000000000001E-2</v>
      </c>
      <c r="P35" s="2445">
        <f t="shared" si="146"/>
        <v>1.8500000000000003E-2</v>
      </c>
      <c r="Q35" s="2445">
        <f t="shared" si="146"/>
        <v>9.5999999999999992E-3</v>
      </c>
      <c r="R35" s="2429"/>
      <c r="S35" s="2444">
        <f>B35/B36-1</f>
        <v>1.6193767230785472E-2</v>
      </c>
      <c r="T35" s="2445">
        <f>C35/C36-1</f>
        <v>1.7512657015190891E-2</v>
      </c>
      <c r="U35" s="2445">
        <f>E35/E36-1</f>
        <v>1.6713420739157048E-2</v>
      </c>
      <c r="V35" s="2445">
        <f>F35/F36-1</f>
        <v>7.0470025258062563E-3</v>
      </c>
      <c r="X35" s="2474"/>
      <c r="Y35" s="2413"/>
      <c r="Z35" s="2413"/>
    </row>
    <row r="36" spans="1:26" ht="13.5" thickBot="1">
      <c r="A36" s="2425" t="s">
        <v>1134</v>
      </c>
      <c r="B36" s="2475">
        <v>278</v>
      </c>
      <c r="C36" s="2475">
        <v>234</v>
      </c>
      <c r="D36" s="2475">
        <f t="shared" si="144"/>
        <v>234</v>
      </c>
      <c r="E36" s="2475">
        <v>379</v>
      </c>
      <c r="F36" s="2476">
        <v>220</v>
      </c>
      <c r="G36" s="3366">
        <v>2012</v>
      </c>
      <c r="H36" s="2446">
        <v>4</v>
      </c>
      <c r="I36" s="2446">
        <v>0.91</v>
      </c>
      <c r="J36" s="2446">
        <v>0.68</v>
      </c>
      <c r="K36" s="2446">
        <v>0.98</v>
      </c>
      <c r="L36" s="2447">
        <v>0.9</v>
      </c>
      <c r="N36" s="2428">
        <f t="shared" si="146"/>
        <v>9.1000000000000004E-3</v>
      </c>
      <c r="O36" s="2413">
        <f t="shared" si="146"/>
        <v>6.8000000000000005E-3</v>
      </c>
      <c r="P36" s="2413">
        <f t="shared" si="146"/>
        <v>9.7999999999999997E-3</v>
      </c>
      <c r="Q36" s="2413">
        <f t="shared" si="146"/>
        <v>9.0000000000000011E-3</v>
      </c>
      <c r="R36" s="2429"/>
      <c r="S36" s="2442"/>
      <c r="T36" s="2443"/>
      <c r="U36" s="2443"/>
      <c r="V36" s="2443"/>
      <c r="X36" s="2443"/>
      <c r="Y36" s="2443"/>
      <c r="Z36" s="2443"/>
    </row>
    <row r="37" spans="1:26">
      <c r="A37" s="2425" t="s">
        <v>1135</v>
      </c>
      <c r="B37" s="2426">
        <f>B36/(1+N36)</f>
        <v>275.49301357645425</v>
      </c>
      <c r="C37" s="2426">
        <f>C36/(1+O36)</f>
        <v>232.41954707985698</v>
      </c>
      <c r="D37" s="2426">
        <f t="shared" si="144"/>
        <v>232.41954707985698</v>
      </c>
      <c r="E37" s="2426">
        <f t="shared" ref="E37:F39" si="155">E36/(1+P36)</f>
        <v>375.32184591008121</v>
      </c>
      <c r="F37" s="2426">
        <f t="shared" si="155"/>
        <v>218.03766105054513</v>
      </c>
      <c r="G37" s="3367"/>
      <c r="H37" s="2451">
        <v>3</v>
      </c>
      <c r="I37" s="2451">
        <v>0.09</v>
      </c>
      <c r="J37" s="2451">
        <v>0.28999999999999998</v>
      </c>
      <c r="K37" s="2451">
        <v>-0.01</v>
      </c>
      <c r="L37" s="2452">
        <v>0.57999999999999996</v>
      </c>
      <c r="N37" s="2428">
        <f t="shared" si="146"/>
        <v>8.9999999999999998E-4</v>
      </c>
      <c r="O37" s="2413">
        <f t="shared" si="146"/>
        <v>2.8999999999999998E-3</v>
      </c>
      <c r="P37" s="2413">
        <f t="shared" si="146"/>
        <v>-1E-4</v>
      </c>
      <c r="Q37" s="2413">
        <f t="shared" si="146"/>
        <v>5.7999999999999996E-3</v>
      </c>
      <c r="R37" s="2429"/>
      <c r="S37" s="2428"/>
      <c r="T37" s="2413"/>
      <c r="U37" s="2413"/>
      <c r="V37" s="2413"/>
    </row>
    <row r="38" spans="1:26">
      <c r="A38" s="2425" t="s">
        <v>1136</v>
      </c>
      <c r="B38" s="2426">
        <f>B37/(1+N37)</f>
        <v>275.24529281292263</v>
      </c>
      <c r="C38" s="2426">
        <f>C37/(1+O37)</f>
        <v>231.74747938962707</v>
      </c>
      <c r="D38" s="2426">
        <f t="shared" si="144"/>
        <v>231.74747938962707</v>
      </c>
      <c r="E38" s="2426">
        <f t="shared" si="155"/>
        <v>375.35938184826603</v>
      </c>
      <c r="F38" s="2426">
        <f t="shared" si="155"/>
        <v>216.78033510692495</v>
      </c>
      <c r="G38" s="3367"/>
      <c r="H38" s="2438">
        <v>2</v>
      </c>
      <c r="I38" s="2438">
        <v>0.02</v>
      </c>
      <c r="J38" s="2438">
        <v>0.12</v>
      </c>
      <c r="K38" s="2438">
        <v>-0.08</v>
      </c>
      <c r="L38" s="2439">
        <v>1.24</v>
      </c>
      <c r="N38" s="2428">
        <f t="shared" si="146"/>
        <v>2.0000000000000001E-4</v>
      </c>
      <c r="O38" s="2413">
        <f t="shared" si="146"/>
        <v>1.1999999999999999E-3</v>
      </c>
      <c r="P38" s="2413">
        <f t="shared" si="146"/>
        <v>-8.0000000000000004E-4</v>
      </c>
      <c r="Q38" s="2413">
        <f t="shared" si="146"/>
        <v>1.24E-2</v>
      </c>
      <c r="R38" s="2429"/>
      <c r="S38" s="2428"/>
      <c r="T38" s="2413"/>
      <c r="U38" s="2413"/>
      <c r="V38" s="2413"/>
    </row>
    <row r="39" spans="1:26" ht="13.5" thickBot="1">
      <c r="A39" s="2425" t="s">
        <v>1137</v>
      </c>
      <c r="B39" s="2426">
        <f>B38/(1+N38)</f>
        <v>275.19025476197027</v>
      </c>
      <c r="C39" s="2477">
        <v>232</v>
      </c>
      <c r="D39" s="2477">
        <f t="shared" si="144"/>
        <v>232</v>
      </c>
      <c r="E39" s="2426">
        <f t="shared" si="155"/>
        <v>375.65990977608692</v>
      </c>
      <c r="F39" s="2426">
        <f t="shared" si="155"/>
        <v>214.12518283971252</v>
      </c>
      <c r="G39" s="3368"/>
      <c r="H39" s="2427">
        <v>1</v>
      </c>
      <c r="I39" s="2427">
        <v>0.02</v>
      </c>
      <c r="J39" s="2427">
        <v>0.13</v>
      </c>
      <c r="K39" s="2427">
        <v>-0.04</v>
      </c>
      <c r="L39" s="2433">
        <v>0.46</v>
      </c>
      <c r="N39" s="2428">
        <f t="shared" si="146"/>
        <v>2.0000000000000001E-4</v>
      </c>
      <c r="O39" s="2413">
        <f t="shared" si="146"/>
        <v>1.2999999999999999E-3</v>
      </c>
      <c r="P39" s="2413">
        <f t="shared" si="146"/>
        <v>-4.0000000000000002E-4</v>
      </c>
      <c r="Q39" s="2413">
        <f t="shared" si="146"/>
        <v>4.5999999999999999E-3</v>
      </c>
      <c r="R39" s="2429"/>
      <c r="S39" s="2444">
        <f>B39/B40-1</f>
        <v>6.9183549807361189E-4</v>
      </c>
      <c r="T39" s="2445">
        <f>C39/C40-1</f>
        <v>0</v>
      </c>
      <c r="U39" s="2445">
        <f>E39/E40-1</f>
        <v>-9.0449527636460303E-4</v>
      </c>
      <c r="V39" s="2445">
        <f>F39/F40-1</f>
        <v>5.2825485432512753E-3</v>
      </c>
      <c r="X39" s="2413"/>
      <c r="Y39" s="2413"/>
      <c r="Z39" s="2413"/>
    </row>
    <row r="40" spans="1:26" ht="13.5" thickBot="1">
      <c r="A40" s="2425" t="s">
        <v>1138</v>
      </c>
      <c r="B40" s="2440">
        <v>275</v>
      </c>
      <c r="C40" s="2440">
        <v>232</v>
      </c>
      <c r="D40" s="2440">
        <f t="shared" si="144"/>
        <v>232</v>
      </c>
      <c r="E40" s="2440">
        <v>376</v>
      </c>
      <c r="F40" s="2441">
        <v>213</v>
      </c>
      <c r="G40" s="3366">
        <v>2011</v>
      </c>
      <c r="H40" s="2446">
        <v>4</v>
      </c>
      <c r="I40" s="2446">
        <v>-0.2</v>
      </c>
      <c r="J40" s="2446">
        <v>0.04</v>
      </c>
      <c r="K40" s="2446">
        <v>-0.34</v>
      </c>
      <c r="L40" s="2447">
        <v>0.46</v>
      </c>
      <c r="N40" s="2448">
        <f t="shared" si="146"/>
        <v>-2E-3</v>
      </c>
      <c r="O40" s="2449">
        <f t="shared" si="146"/>
        <v>4.0000000000000002E-4</v>
      </c>
      <c r="P40" s="2449">
        <f t="shared" si="146"/>
        <v>-3.4000000000000002E-3</v>
      </c>
      <c r="Q40" s="2449">
        <f t="shared" si="146"/>
        <v>4.5999999999999999E-3</v>
      </c>
      <c r="R40" s="2429"/>
      <c r="S40" s="2442"/>
      <c r="T40" s="2443"/>
      <c r="U40" s="2443"/>
      <c r="V40" s="2443"/>
      <c r="X40" s="2443"/>
      <c r="Y40" s="2443"/>
      <c r="Z40" s="2443"/>
    </row>
    <row r="41" spans="1:26">
      <c r="A41" s="2425" t="s">
        <v>1139</v>
      </c>
      <c r="B41" s="2426">
        <f t="shared" ref="B41:C43" si="156">B40/(1+N40)</f>
        <v>275.55110220440883</v>
      </c>
      <c r="C41" s="2426">
        <f t="shared" si="156"/>
        <v>231.90723710515795</v>
      </c>
      <c r="D41" s="2426">
        <f t="shared" si="144"/>
        <v>231.90723710515795</v>
      </c>
      <c r="E41" s="2426">
        <f t="shared" ref="E41:F43" si="157">E40/(1+P40)</f>
        <v>377.28276138872161</v>
      </c>
      <c r="F41" s="2426">
        <f t="shared" si="157"/>
        <v>212.02468644236512</v>
      </c>
      <c r="G41" s="3367">
        <v>2011</v>
      </c>
      <c r="H41" s="2451">
        <v>3</v>
      </c>
      <c r="I41" s="2451">
        <v>0.13</v>
      </c>
      <c r="J41" s="2451">
        <v>0.75</v>
      </c>
      <c r="K41" s="2451">
        <v>-0.08</v>
      </c>
      <c r="L41" s="2452">
        <v>0.53</v>
      </c>
      <c r="N41" s="2428">
        <f t="shared" si="146"/>
        <v>1.2999999999999999E-3</v>
      </c>
      <c r="O41" s="2453">
        <f t="shared" si="146"/>
        <v>7.4999999999999997E-3</v>
      </c>
      <c r="P41" s="2453">
        <f t="shared" si="146"/>
        <v>-8.0000000000000004E-4</v>
      </c>
      <c r="Q41" s="2453">
        <f t="shared" si="146"/>
        <v>5.3E-3</v>
      </c>
      <c r="R41" s="2429"/>
      <c r="S41" s="2428"/>
      <c r="T41" s="2413"/>
      <c r="U41" s="2413"/>
      <c r="V41" s="2413"/>
    </row>
    <row r="42" spans="1:26">
      <c r="A42" s="2425" t="s">
        <v>1140</v>
      </c>
      <c r="B42" s="2426">
        <f t="shared" si="156"/>
        <v>275.19335084830601</v>
      </c>
      <c r="C42" s="2426">
        <f t="shared" si="156"/>
        <v>230.18088050139744</v>
      </c>
      <c r="D42" s="2426">
        <f t="shared" si="144"/>
        <v>230.18088050139744</v>
      </c>
      <c r="E42" s="2426">
        <f t="shared" si="157"/>
        <v>377.58482925212331</v>
      </c>
      <c r="F42" s="2426">
        <f t="shared" si="157"/>
        <v>210.90687997847917</v>
      </c>
      <c r="G42" s="3367">
        <v>2011</v>
      </c>
      <c r="H42" s="2438">
        <v>2</v>
      </c>
      <c r="I42" s="2438">
        <v>-0.4</v>
      </c>
      <c r="J42" s="2438">
        <v>0.17</v>
      </c>
      <c r="K42" s="2438">
        <v>-0.57999999999999996</v>
      </c>
      <c r="L42" s="2439">
        <v>-0.2</v>
      </c>
      <c r="N42" s="2428">
        <f t="shared" si="146"/>
        <v>-4.0000000000000001E-3</v>
      </c>
      <c r="O42" s="2453">
        <f t="shared" si="146"/>
        <v>1.7000000000000001E-3</v>
      </c>
      <c r="P42" s="2453">
        <f t="shared" si="146"/>
        <v>-5.7999999999999996E-3</v>
      </c>
      <c r="Q42" s="2453">
        <f t="shared" si="146"/>
        <v>-2E-3</v>
      </c>
      <c r="R42" s="2429"/>
      <c r="S42" s="2428"/>
      <c r="T42" s="2413"/>
      <c r="U42" s="2413"/>
      <c r="V42" s="2413"/>
    </row>
    <row r="43" spans="1:26" ht="13.5" thickBot="1">
      <c r="A43" s="2425" t="s">
        <v>1141</v>
      </c>
      <c r="B43" s="2426">
        <f t="shared" si="156"/>
        <v>276.29854502841971</v>
      </c>
      <c r="C43" s="2426">
        <f t="shared" si="156"/>
        <v>229.79023709833027</v>
      </c>
      <c r="D43" s="2426">
        <f t="shared" si="144"/>
        <v>229.79023709833027</v>
      </c>
      <c r="E43" s="2426">
        <f t="shared" si="157"/>
        <v>379.78759731655936</v>
      </c>
      <c r="F43" s="2426">
        <f t="shared" si="157"/>
        <v>211.32953905659235</v>
      </c>
      <c r="G43" s="3368">
        <v>2011</v>
      </c>
      <c r="H43" s="2427">
        <v>1</v>
      </c>
      <c r="I43" s="2427">
        <v>2.65</v>
      </c>
      <c r="J43" s="2427">
        <v>3.76</v>
      </c>
      <c r="K43" s="2427">
        <v>1.89</v>
      </c>
      <c r="L43" s="2433">
        <v>7.95</v>
      </c>
      <c r="N43" s="2444">
        <f t="shared" si="146"/>
        <v>2.6499999999999999E-2</v>
      </c>
      <c r="O43" s="2445">
        <f t="shared" si="146"/>
        <v>3.7599999999999995E-2</v>
      </c>
      <c r="P43" s="2445">
        <f t="shared" si="146"/>
        <v>1.89E-2</v>
      </c>
      <c r="Q43" s="2445">
        <f t="shared" si="146"/>
        <v>7.9500000000000001E-2</v>
      </c>
      <c r="R43" s="2429"/>
      <c r="S43" s="2444">
        <f>B43/B44-1</f>
        <v>2.713213765211786E-2</v>
      </c>
      <c r="T43" s="2445">
        <f>C43/C44-1</f>
        <v>3.9774828499231862E-2</v>
      </c>
      <c r="U43" s="2445">
        <f>E43/E44-1</f>
        <v>1.8197311840641772E-2</v>
      </c>
      <c r="V43" s="2445">
        <f>F43/F44-1</f>
        <v>7.8211933962205826E-2</v>
      </c>
      <c r="X43" s="2413"/>
      <c r="Y43" s="2413"/>
      <c r="Z43" s="2413"/>
    </row>
    <row r="44" spans="1:26" ht="13.5" thickBot="1">
      <c r="A44" s="2425" t="s">
        <v>1142</v>
      </c>
      <c r="B44" s="2440">
        <v>269</v>
      </c>
      <c r="C44" s="2440">
        <v>221</v>
      </c>
      <c r="D44" s="2440">
        <f t="shared" si="144"/>
        <v>221</v>
      </c>
      <c r="E44" s="2440">
        <v>373</v>
      </c>
      <c r="F44" s="2441">
        <v>196</v>
      </c>
      <c r="G44" s="3366">
        <v>2010</v>
      </c>
      <c r="H44" s="2446">
        <v>4</v>
      </c>
      <c r="I44" s="2446">
        <v>5.72</v>
      </c>
      <c r="J44" s="2446">
        <v>6.57</v>
      </c>
      <c r="K44" s="2446">
        <v>5.72</v>
      </c>
      <c r="L44" s="2447">
        <v>2.72</v>
      </c>
      <c r="N44" s="2428">
        <f t="shared" si="146"/>
        <v>5.7200000000000001E-2</v>
      </c>
      <c r="O44" s="2413">
        <f t="shared" si="146"/>
        <v>6.5700000000000008E-2</v>
      </c>
      <c r="P44" s="2413">
        <f t="shared" si="146"/>
        <v>5.7200000000000001E-2</v>
      </c>
      <c r="Q44" s="2413">
        <f t="shared" si="146"/>
        <v>2.7200000000000002E-2</v>
      </c>
      <c r="R44" s="2429"/>
      <c r="S44" s="2442"/>
      <c r="T44" s="2443"/>
      <c r="U44" s="2443"/>
      <c r="V44" s="2443"/>
      <c r="X44" s="2443"/>
      <c r="Y44" s="2443"/>
      <c r="Z44" s="2443"/>
    </row>
    <row r="45" spans="1:26">
      <c r="A45" s="2425" t="s">
        <v>1143</v>
      </c>
      <c r="B45" s="2426">
        <f t="shared" ref="B45:C47" si="158">B44/(1+N44)</f>
        <v>254.44570563753314</v>
      </c>
      <c r="C45" s="2426">
        <f t="shared" si="158"/>
        <v>207.37543398705074</v>
      </c>
      <c r="D45" s="2426">
        <f t="shared" si="144"/>
        <v>207.37543398705074</v>
      </c>
      <c r="E45" s="2426">
        <f t="shared" ref="E45:F47" si="159">E44/(1+P44)</f>
        <v>352.81876655315932</v>
      </c>
      <c r="F45" s="2426">
        <f t="shared" si="159"/>
        <v>190.809968847352</v>
      </c>
      <c r="G45" s="3367">
        <v>2010</v>
      </c>
      <c r="H45" s="2451">
        <v>3</v>
      </c>
      <c r="I45" s="2451">
        <v>4.7300000000000004</v>
      </c>
      <c r="J45" s="2451">
        <v>3.9</v>
      </c>
      <c r="K45" s="2451">
        <v>5.03</v>
      </c>
      <c r="L45" s="2452">
        <v>4.21</v>
      </c>
      <c r="N45" s="2428">
        <f t="shared" si="146"/>
        <v>4.7300000000000002E-2</v>
      </c>
      <c r="O45" s="2413">
        <f t="shared" si="146"/>
        <v>3.9E-2</v>
      </c>
      <c r="P45" s="2413">
        <f t="shared" si="146"/>
        <v>5.0300000000000004E-2</v>
      </c>
      <c r="Q45" s="2413">
        <f t="shared" si="146"/>
        <v>4.2099999999999999E-2</v>
      </c>
      <c r="R45" s="2429"/>
      <c r="S45" s="2428"/>
      <c r="T45" s="2413"/>
      <c r="U45" s="2413"/>
      <c r="V45" s="2413"/>
    </row>
    <row r="46" spans="1:26">
      <c r="A46" s="2425" t="s">
        <v>1144</v>
      </c>
      <c r="B46" s="2426">
        <f t="shared" si="158"/>
        <v>242.95398227588385</v>
      </c>
      <c r="C46" s="2426">
        <f t="shared" si="158"/>
        <v>199.59137053614126</v>
      </c>
      <c r="D46" s="2426">
        <f t="shared" si="144"/>
        <v>199.59137053614126</v>
      </c>
      <c r="E46" s="2426">
        <f t="shared" si="159"/>
        <v>335.92189522342125</v>
      </c>
      <c r="F46" s="2426">
        <f t="shared" si="159"/>
        <v>183.10139991109489</v>
      </c>
      <c r="G46" s="3367">
        <v>2010</v>
      </c>
      <c r="H46" s="2438">
        <v>2</v>
      </c>
      <c r="I46" s="2438">
        <v>4.6900000000000004</v>
      </c>
      <c r="J46" s="2438">
        <v>3.55</v>
      </c>
      <c r="K46" s="2438">
        <v>5.07</v>
      </c>
      <c r="L46" s="2439">
        <v>4.2300000000000004</v>
      </c>
      <c r="N46" s="2428">
        <f t="shared" si="146"/>
        <v>4.6900000000000004E-2</v>
      </c>
      <c r="O46" s="2413">
        <f t="shared" si="146"/>
        <v>3.5499999999999997E-2</v>
      </c>
      <c r="P46" s="2413">
        <f t="shared" si="146"/>
        <v>5.0700000000000002E-2</v>
      </c>
      <c r="Q46" s="2413">
        <f t="shared" si="146"/>
        <v>4.2300000000000004E-2</v>
      </c>
      <c r="R46" s="2429"/>
      <c r="S46" s="2428"/>
      <c r="T46" s="2413"/>
      <c r="U46" s="2413"/>
      <c r="V46" s="2413"/>
    </row>
    <row r="47" spans="1:26" ht="13.5" thickBot="1">
      <c r="A47" s="2425" t="s">
        <v>1145</v>
      </c>
      <c r="B47" s="2426">
        <f t="shared" si="158"/>
        <v>232.06990378821649</v>
      </c>
      <c r="C47" s="2426">
        <f t="shared" si="158"/>
        <v>192.74878854286936</v>
      </c>
      <c r="D47" s="2426">
        <f t="shared" si="144"/>
        <v>192.74878854286936</v>
      </c>
      <c r="E47" s="2426">
        <f t="shared" si="159"/>
        <v>319.71247284992984</v>
      </c>
      <c r="F47" s="2426">
        <f t="shared" si="159"/>
        <v>175.67053622862409</v>
      </c>
      <c r="G47" s="3368">
        <v>2010</v>
      </c>
      <c r="H47" s="2427">
        <v>1</v>
      </c>
      <c r="I47" s="2427">
        <v>5.4</v>
      </c>
      <c r="J47" s="2427">
        <v>3.2</v>
      </c>
      <c r="K47" s="2427">
        <v>6.16</v>
      </c>
      <c r="L47" s="2433">
        <v>4.51</v>
      </c>
      <c r="N47" s="2428">
        <f t="shared" si="146"/>
        <v>5.4000000000000006E-2</v>
      </c>
      <c r="O47" s="2413">
        <f t="shared" si="146"/>
        <v>3.2000000000000001E-2</v>
      </c>
      <c r="P47" s="2413">
        <f t="shared" si="146"/>
        <v>6.1600000000000002E-2</v>
      </c>
      <c r="Q47" s="2413">
        <f t="shared" si="146"/>
        <v>4.5100000000000001E-2</v>
      </c>
      <c r="R47" s="2429"/>
      <c r="S47" s="2444">
        <f>B47/B48-1</f>
        <v>5.4863199037347599E-2</v>
      </c>
      <c r="T47" s="2445">
        <f>C47/C48-1</f>
        <v>3.0742184721226584E-2</v>
      </c>
      <c r="U47" s="2445">
        <f>E47/E48-1</f>
        <v>6.2167683886810154E-2</v>
      </c>
      <c r="V47" s="2445">
        <f>F47/F48-1</f>
        <v>4.5657953741810031E-2</v>
      </c>
      <c r="X47" s="2413"/>
      <c r="Y47" s="2413"/>
      <c r="Z47" s="2413"/>
    </row>
    <row r="48" spans="1:26" ht="13.5" thickBot="1">
      <c r="A48" s="2425" t="s">
        <v>1146</v>
      </c>
      <c r="B48" s="2440">
        <v>220</v>
      </c>
      <c r="C48" s="2440">
        <v>187</v>
      </c>
      <c r="D48" s="2440">
        <f t="shared" si="144"/>
        <v>187</v>
      </c>
      <c r="E48" s="2440">
        <v>301</v>
      </c>
      <c r="F48" s="2441">
        <v>168</v>
      </c>
      <c r="G48" s="3366">
        <v>2009</v>
      </c>
      <c r="H48" s="2446">
        <v>4</v>
      </c>
      <c r="I48" s="2446">
        <v>2.2999999999999998</v>
      </c>
      <c r="J48" s="2446">
        <v>1.04</v>
      </c>
      <c r="K48" s="2446">
        <v>2.84</v>
      </c>
      <c r="L48" s="2447">
        <v>0.67</v>
      </c>
      <c r="N48" s="2448">
        <f t="shared" si="146"/>
        <v>2.3E-2</v>
      </c>
      <c r="O48" s="2449">
        <f t="shared" si="146"/>
        <v>1.04E-2</v>
      </c>
      <c r="P48" s="2449">
        <f t="shared" si="146"/>
        <v>2.8399999999999998E-2</v>
      </c>
      <c r="Q48" s="2449">
        <f t="shared" si="146"/>
        <v>6.7000000000000002E-3</v>
      </c>
      <c r="R48" s="2429"/>
      <c r="S48" s="2442"/>
      <c r="T48" s="2443"/>
      <c r="U48" s="2443"/>
      <c r="V48" s="2443"/>
      <c r="X48" s="2443"/>
      <c r="Y48" s="2443"/>
      <c r="Z48" s="2443"/>
    </row>
    <row r="49" spans="1:26">
      <c r="A49" s="2425" t="s">
        <v>1147</v>
      </c>
      <c r="B49" s="2426">
        <f t="shared" ref="B49:C51" si="160">B48/(1+N48)</f>
        <v>215.05376344086022</v>
      </c>
      <c r="C49" s="2426">
        <f t="shared" si="160"/>
        <v>185.0752177355503</v>
      </c>
      <c r="D49" s="2426">
        <f t="shared" si="144"/>
        <v>185.0752177355503</v>
      </c>
      <c r="E49" s="2426">
        <f t="shared" ref="E49:F51" si="161">E48/(1+P48)</f>
        <v>292.68767016725008</v>
      </c>
      <c r="F49" s="2426">
        <f t="shared" si="161"/>
        <v>166.88189132810174</v>
      </c>
      <c r="G49" s="3367">
        <v>2009</v>
      </c>
      <c r="H49" s="2451">
        <v>3</v>
      </c>
      <c r="I49" s="2451">
        <v>2.1</v>
      </c>
      <c r="J49" s="2451">
        <v>1.86</v>
      </c>
      <c r="K49" s="2451">
        <v>2.29</v>
      </c>
      <c r="L49" s="2452">
        <v>0.85</v>
      </c>
      <c r="N49" s="2428">
        <f t="shared" si="146"/>
        <v>2.1000000000000001E-2</v>
      </c>
      <c r="O49" s="2453">
        <f t="shared" si="146"/>
        <v>1.8600000000000002E-2</v>
      </c>
      <c r="P49" s="2453">
        <f t="shared" si="146"/>
        <v>2.29E-2</v>
      </c>
      <c r="Q49" s="2453">
        <f t="shared" si="146"/>
        <v>8.5000000000000006E-3</v>
      </c>
      <c r="R49" s="2429"/>
      <c r="S49" s="2428"/>
      <c r="T49" s="2413"/>
      <c r="U49" s="2413"/>
      <c r="V49" s="2413"/>
    </row>
    <row r="50" spans="1:26">
      <c r="A50" s="2425" t="s">
        <v>1148</v>
      </c>
      <c r="B50" s="2426">
        <f t="shared" si="160"/>
        <v>210.630522469011</v>
      </c>
      <c r="C50" s="2426">
        <f t="shared" si="160"/>
        <v>181.69567812247232</v>
      </c>
      <c r="D50" s="2426">
        <f t="shared" si="144"/>
        <v>181.69567812247232</v>
      </c>
      <c r="E50" s="2426">
        <f t="shared" si="161"/>
        <v>286.13517466736738</v>
      </c>
      <c r="F50" s="2426">
        <f t="shared" si="161"/>
        <v>165.47535084591149</v>
      </c>
      <c r="G50" s="3367">
        <v>2009</v>
      </c>
      <c r="H50" s="2438">
        <v>2</v>
      </c>
      <c r="I50" s="2438">
        <v>0.86</v>
      </c>
      <c r="J50" s="2438">
        <v>-1.1299999999999999</v>
      </c>
      <c r="K50" s="2438">
        <v>1.79</v>
      </c>
      <c r="L50" s="2439">
        <v>-2.0699999999999998</v>
      </c>
      <c r="N50" s="2428">
        <f t="shared" si="146"/>
        <v>8.6E-3</v>
      </c>
      <c r="O50" s="2453">
        <f t="shared" si="146"/>
        <v>-1.1299999999999999E-2</v>
      </c>
      <c r="P50" s="2453">
        <f t="shared" si="146"/>
        <v>1.7899999999999999E-2</v>
      </c>
      <c r="Q50" s="2453">
        <f t="shared" si="146"/>
        <v>-2.07E-2</v>
      </c>
      <c r="R50" s="2429"/>
      <c r="S50" s="2428"/>
      <c r="T50" s="2413"/>
      <c r="U50" s="2413"/>
      <c r="V50" s="2413"/>
    </row>
    <row r="51" spans="1:26">
      <c r="A51" s="2425" t="s">
        <v>1149</v>
      </c>
      <c r="B51" s="2426">
        <f t="shared" si="160"/>
        <v>208.83454537875372</v>
      </c>
      <c r="C51" s="2426">
        <f t="shared" si="160"/>
        <v>183.77230517090351</v>
      </c>
      <c r="D51" s="2426">
        <f t="shared" si="144"/>
        <v>183.77230517090351</v>
      </c>
      <c r="E51" s="2426">
        <f t="shared" si="161"/>
        <v>281.10342338870947</v>
      </c>
      <c r="F51" s="2426">
        <f t="shared" si="161"/>
        <v>168.97309388942256</v>
      </c>
      <c r="G51" s="3368">
        <v>2009</v>
      </c>
      <c r="H51" s="2427">
        <v>1</v>
      </c>
      <c r="I51" s="2427">
        <v>-2.64</v>
      </c>
      <c r="J51" s="2427">
        <v>-2.5299999999999998</v>
      </c>
      <c r="K51" s="2427">
        <v>-3.02</v>
      </c>
      <c r="L51" s="2433">
        <v>1.52</v>
      </c>
      <c r="N51" s="2444">
        <f t="shared" si="146"/>
        <v>-2.64E-2</v>
      </c>
      <c r="O51" s="2445">
        <f t="shared" si="146"/>
        <v>-2.53E-2</v>
      </c>
      <c r="P51" s="2445">
        <f t="shared" si="146"/>
        <v>-3.0200000000000001E-2</v>
      </c>
      <c r="Q51" s="2445">
        <f t="shared" si="146"/>
        <v>1.52E-2</v>
      </c>
      <c r="R51" s="2429"/>
      <c r="S51" s="2444">
        <f>B51/B52-1</f>
        <v>-2.4137638417038754E-2</v>
      </c>
      <c r="T51" s="2445">
        <f>C51/C52-1</f>
        <v>-2.248773845264096E-2</v>
      </c>
      <c r="U51" s="2445">
        <f>E51/E52-1</f>
        <v>-2.7323794502735366E-2</v>
      </c>
      <c r="V51" s="2445">
        <f>F51/F52-1</f>
        <v>1.7910204153148035E-2</v>
      </c>
      <c r="X51" s="2413"/>
      <c r="Y51" s="2413"/>
      <c r="Z51" s="2413"/>
    </row>
    <row r="52" spans="1:26" ht="13.5" thickBot="1">
      <c r="A52" s="2425" t="s">
        <v>1150</v>
      </c>
      <c r="B52" s="2475">
        <v>214</v>
      </c>
      <c r="C52" s="2475">
        <v>188</v>
      </c>
      <c r="D52" s="2475">
        <f t="shared" si="144"/>
        <v>188</v>
      </c>
      <c r="E52" s="2475">
        <v>289</v>
      </c>
      <c r="F52" s="2476">
        <v>166</v>
      </c>
      <c r="G52" s="3366">
        <v>2008</v>
      </c>
      <c r="H52" s="2446">
        <v>4</v>
      </c>
      <c r="I52" s="2446">
        <v>1.73</v>
      </c>
      <c r="J52" s="2446">
        <v>0.03</v>
      </c>
      <c r="K52" s="2446">
        <v>2.59</v>
      </c>
      <c r="L52" s="2447">
        <v>-1.66</v>
      </c>
      <c r="N52" s="2428">
        <f t="shared" si="146"/>
        <v>1.7299999999999999E-2</v>
      </c>
      <c r="O52" s="2413">
        <f t="shared" si="146"/>
        <v>2.9999999999999997E-4</v>
      </c>
      <c r="P52" s="2413">
        <f t="shared" si="146"/>
        <v>2.5899999999999999E-2</v>
      </c>
      <c r="Q52" s="2413">
        <f t="shared" si="146"/>
        <v>-1.66E-2</v>
      </c>
      <c r="R52" s="2429"/>
      <c r="S52" s="2442"/>
      <c r="T52" s="2443"/>
      <c r="U52" s="2443"/>
      <c r="V52" s="2443"/>
      <c r="X52" s="2443"/>
      <c r="Y52" s="2443"/>
      <c r="Z52" s="2443"/>
    </row>
    <row r="53" spans="1:26">
      <c r="A53" s="2425" t="s">
        <v>1151</v>
      </c>
      <c r="B53" s="2426">
        <f t="shared" ref="B53:C55" si="162">B52/(1+N52)</f>
        <v>210.36075887152265</v>
      </c>
      <c r="C53" s="2426">
        <f t="shared" si="162"/>
        <v>187.94361691492554</v>
      </c>
      <c r="D53" s="2426">
        <f t="shared" si="144"/>
        <v>187.94361691492554</v>
      </c>
      <c r="E53" s="2426">
        <f t="shared" ref="E53:F55" si="163">E52/(1+P52)</f>
        <v>281.70386977288234</v>
      </c>
      <c r="F53" s="2426">
        <f t="shared" si="163"/>
        <v>168.80211511083994</v>
      </c>
      <c r="G53" s="3367">
        <v>2008</v>
      </c>
      <c r="H53" s="2451">
        <v>3</v>
      </c>
      <c r="I53" s="2451">
        <v>1.96</v>
      </c>
      <c r="J53" s="2451">
        <v>2.36</v>
      </c>
      <c r="K53" s="2451">
        <v>1.82</v>
      </c>
      <c r="L53" s="2452">
        <v>2.2200000000000002</v>
      </c>
      <c r="N53" s="2428">
        <f t="shared" si="146"/>
        <v>1.9599999999999999E-2</v>
      </c>
      <c r="O53" s="2413">
        <f t="shared" si="146"/>
        <v>2.3599999999999999E-2</v>
      </c>
      <c r="P53" s="2413">
        <f t="shared" si="146"/>
        <v>1.8200000000000001E-2</v>
      </c>
      <c r="Q53" s="2413">
        <f t="shared" si="146"/>
        <v>2.2200000000000001E-2</v>
      </c>
      <c r="R53" s="2429"/>
      <c r="S53" s="2428"/>
      <c r="T53" s="2413"/>
      <c r="U53" s="2413"/>
      <c r="V53" s="2413"/>
    </row>
    <row r="54" spans="1:26">
      <c r="A54" s="2425" t="s">
        <v>1152</v>
      </c>
      <c r="B54" s="2426">
        <f t="shared" si="162"/>
        <v>206.31694671589116</v>
      </c>
      <c r="C54" s="2426">
        <f t="shared" si="162"/>
        <v>183.61041121036101</v>
      </c>
      <c r="D54" s="2426">
        <f t="shared" si="144"/>
        <v>183.61041121036101</v>
      </c>
      <c r="E54" s="2426">
        <f t="shared" si="163"/>
        <v>276.66850301795557</v>
      </c>
      <c r="F54" s="2426">
        <f t="shared" si="163"/>
        <v>165.1360938278614</v>
      </c>
      <c r="G54" s="3367">
        <v>2008</v>
      </c>
      <c r="H54" s="2438">
        <v>2</v>
      </c>
      <c r="I54" s="2438">
        <v>4.93</v>
      </c>
      <c r="J54" s="2438">
        <v>7.38</v>
      </c>
      <c r="K54" s="2438">
        <v>3.98</v>
      </c>
      <c r="L54" s="2439">
        <v>6.86</v>
      </c>
      <c r="N54" s="2428">
        <f t="shared" si="146"/>
        <v>4.9299999999999997E-2</v>
      </c>
      <c r="O54" s="2413">
        <f t="shared" si="146"/>
        <v>7.3800000000000004E-2</v>
      </c>
      <c r="P54" s="2413">
        <f t="shared" si="146"/>
        <v>3.9800000000000002E-2</v>
      </c>
      <c r="Q54" s="2413">
        <f t="shared" si="146"/>
        <v>6.8600000000000008E-2</v>
      </c>
      <c r="R54" s="2429"/>
      <c r="S54" s="2428"/>
      <c r="T54" s="2413"/>
      <c r="U54" s="2413"/>
      <c r="V54" s="2413"/>
    </row>
    <row r="55" spans="1:26" s="2481" customFormat="1" ht="13.5" thickBot="1">
      <c r="A55" s="2425" t="s">
        <v>1153</v>
      </c>
      <c r="B55" s="2478">
        <f t="shared" si="162"/>
        <v>196.62341248059772</v>
      </c>
      <c r="C55" s="2478">
        <f t="shared" si="162"/>
        <v>170.99125648199012</v>
      </c>
      <c r="D55" s="2478">
        <f t="shared" si="144"/>
        <v>170.99125648199012</v>
      </c>
      <c r="E55" s="2478">
        <f t="shared" si="163"/>
        <v>266.07857570490052</v>
      </c>
      <c r="F55" s="2478">
        <f t="shared" si="163"/>
        <v>154.53499328828505</v>
      </c>
      <c r="G55" s="3368">
        <v>2008</v>
      </c>
      <c r="H55" s="2479">
        <v>1</v>
      </c>
      <c r="I55" s="2479">
        <v>4.1399999999999997</v>
      </c>
      <c r="J55" s="2479">
        <v>3.45</v>
      </c>
      <c r="K55" s="2479">
        <v>4.95</v>
      </c>
      <c r="L55" s="2480">
        <v>4.82</v>
      </c>
      <c r="N55" s="2482">
        <f t="shared" si="146"/>
        <v>4.1399999999999999E-2</v>
      </c>
      <c r="O55" s="2483">
        <f t="shared" si="146"/>
        <v>3.4500000000000003E-2</v>
      </c>
      <c r="P55" s="2483">
        <f t="shared" si="146"/>
        <v>4.9500000000000002E-2</v>
      </c>
      <c r="Q55" s="2483">
        <f t="shared" si="146"/>
        <v>4.82E-2</v>
      </c>
      <c r="R55" s="2484"/>
      <c r="S55" s="2482">
        <f>B55/B56-1</f>
        <v>4.5869215322328349E-2</v>
      </c>
      <c r="T55" s="2483">
        <f>C55/C56-1</f>
        <v>3.6310645345394743E-2</v>
      </c>
      <c r="U55" s="2483">
        <f>E55/E56-1</f>
        <v>4.7553447657088688E-2</v>
      </c>
      <c r="V55" s="2483">
        <f>F55/F56-1</f>
        <v>4.4155360055980086E-2</v>
      </c>
      <c r="X55" s="2483"/>
      <c r="Y55" s="2483"/>
      <c r="Z55" s="2483"/>
    </row>
    <row r="56" spans="1:26" ht="13.5" thickBot="1">
      <c r="A56" s="2425" t="s">
        <v>1154</v>
      </c>
      <c r="B56" s="2440">
        <v>188</v>
      </c>
      <c r="C56" s="2440">
        <v>165</v>
      </c>
      <c r="D56" s="2440">
        <f t="shared" si="144"/>
        <v>165</v>
      </c>
      <c r="E56" s="2440">
        <v>254</v>
      </c>
      <c r="F56" s="2441">
        <v>148</v>
      </c>
      <c r="G56" s="3366">
        <v>2007</v>
      </c>
      <c r="H56" s="2485">
        <v>4</v>
      </c>
      <c r="I56" s="2485">
        <v>5.51</v>
      </c>
      <c r="J56" s="2485">
        <v>4.8899999999999997</v>
      </c>
      <c r="K56" s="2485">
        <v>6.43</v>
      </c>
      <c r="L56" s="2486">
        <v>5.36</v>
      </c>
      <c r="N56" s="2487">
        <f t="shared" ref="N56:O59" si="164">B56/B57-1</f>
        <v>4.1339718365245526E-2</v>
      </c>
      <c r="O56" s="2488">
        <f t="shared" si="164"/>
        <v>4.0324492593776018E-2</v>
      </c>
      <c r="P56" s="2488">
        <f t="shared" ref="P56:Q59" si="165">E56/E57-1</f>
        <v>6.1625555347990968E-2</v>
      </c>
      <c r="Q56" s="2488">
        <f t="shared" si="165"/>
        <v>4.6757569250590603E-2</v>
      </c>
      <c r="R56" s="2429"/>
      <c r="S56" s="2442"/>
      <c r="T56" s="2443"/>
      <c r="U56" s="2443"/>
      <c r="V56" s="2443"/>
      <c r="X56" s="2443"/>
      <c r="Y56" s="2443"/>
      <c r="Z56" s="2443"/>
    </row>
    <row r="57" spans="1:26">
      <c r="A57" s="2425" t="s">
        <v>1155</v>
      </c>
      <c r="B57" s="2426">
        <f t="shared" ref="B57:C59" si="166">B58+(B$56-B$60)*I57/SUM(I$56:I$59)</f>
        <v>180.5366651097618</v>
      </c>
      <c r="C57" s="2426">
        <f t="shared" si="166"/>
        <v>158.60435967302453</v>
      </c>
      <c r="D57" s="2426">
        <f t="shared" si="144"/>
        <v>158.60435967302453</v>
      </c>
      <c r="E57" s="2426">
        <f t="shared" ref="E57:F59" si="167">E58+(E$56-E$60)*K57/SUM(K$56:K$59)</f>
        <v>239.25573260785075</v>
      </c>
      <c r="F57" s="2426">
        <f t="shared" si="167"/>
        <v>141.38899430740037</v>
      </c>
      <c r="G57" s="3367">
        <v>2007</v>
      </c>
      <c r="H57" s="2451">
        <v>3</v>
      </c>
      <c r="I57" s="2451">
        <v>8.65</v>
      </c>
      <c r="J57" s="2451">
        <v>8.06</v>
      </c>
      <c r="K57" s="2451">
        <v>9.94</v>
      </c>
      <c r="L57" s="2452">
        <v>5.8</v>
      </c>
      <c r="N57" s="2487">
        <f t="shared" si="164"/>
        <v>6.940217571740015E-2</v>
      </c>
      <c r="O57" s="2488">
        <f t="shared" si="164"/>
        <v>7.1197482471153428E-2</v>
      </c>
      <c r="P57" s="2488">
        <f t="shared" si="165"/>
        <v>0.10529679922579582</v>
      </c>
      <c r="Q57" s="2488">
        <f t="shared" si="165"/>
        <v>5.3292245059512133E-2</v>
      </c>
      <c r="R57" s="2429"/>
      <c r="S57" s="2428"/>
      <c r="T57" s="2413"/>
      <c r="U57" s="2413"/>
      <c r="V57" s="2413"/>
      <c r="X57" s="2489"/>
      <c r="Y57" s="2489"/>
      <c r="Z57" s="2489"/>
    </row>
    <row r="58" spans="1:26">
      <c r="A58" s="2425" t="s">
        <v>1156</v>
      </c>
      <c r="B58" s="2426">
        <f t="shared" si="166"/>
        <v>168.82017748715555</v>
      </c>
      <c r="C58" s="2426">
        <f t="shared" si="166"/>
        <v>148.06267029972753</v>
      </c>
      <c r="D58" s="2426">
        <f t="shared" si="144"/>
        <v>148.06267029972753</v>
      </c>
      <c r="E58" s="2426">
        <f t="shared" si="167"/>
        <v>216.46288379323747</v>
      </c>
      <c r="F58" s="2426">
        <f t="shared" si="167"/>
        <v>134.23529411764704</v>
      </c>
      <c r="G58" s="3367">
        <v>2007</v>
      </c>
      <c r="H58" s="2438">
        <v>2</v>
      </c>
      <c r="I58" s="2438">
        <v>3.67</v>
      </c>
      <c r="J58" s="2438">
        <v>2.3199999999999998</v>
      </c>
      <c r="K58" s="2438">
        <v>5.0199999999999996</v>
      </c>
      <c r="L58" s="2439">
        <v>6.71</v>
      </c>
      <c r="N58" s="2487">
        <f t="shared" si="164"/>
        <v>3.0339138143848032E-2</v>
      </c>
      <c r="O58" s="2488">
        <f t="shared" si="164"/>
        <v>2.0922341588790472E-2</v>
      </c>
      <c r="P58" s="2488">
        <f t="shared" si="165"/>
        <v>5.6164796592717003E-2</v>
      </c>
      <c r="Q58" s="2488">
        <f t="shared" si="165"/>
        <v>6.5704536723887319E-2</v>
      </c>
      <c r="R58" s="2429"/>
      <c r="S58" s="2428"/>
      <c r="T58" s="2413"/>
      <c r="U58" s="2413"/>
      <c r="V58" s="2413"/>
      <c r="X58" s="2489"/>
      <c r="Y58" s="2489"/>
      <c r="Z58" s="2489"/>
    </row>
    <row r="59" spans="1:26">
      <c r="A59" s="2425" t="s">
        <v>1157</v>
      </c>
      <c r="B59" s="2426">
        <f t="shared" si="166"/>
        <v>163.84913591779542</v>
      </c>
      <c r="C59" s="2426">
        <f t="shared" si="166"/>
        <v>145.0283378746594</v>
      </c>
      <c r="D59" s="2426">
        <f t="shared" si="144"/>
        <v>145.0283378746594</v>
      </c>
      <c r="E59" s="2426">
        <f t="shared" si="167"/>
        <v>204.95180722891567</v>
      </c>
      <c r="F59" s="2426">
        <f t="shared" si="167"/>
        <v>125.95920303605313</v>
      </c>
      <c r="G59" s="3368">
        <v>2007</v>
      </c>
      <c r="H59" s="2427">
        <v>1</v>
      </c>
      <c r="I59" s="2427">
        <v>3.58</v>
      </c>
      <c r="J59" s="2427">
        <v>3.08</v>
      </c>
      <c r="K59" s="2427">
        <v>4.34</v>
      </c>
      <c r="L59" s="2433">
        <v>3.21</v>
      </c>
      <c r="N59" s="2490">
        <f t="shared" si="164"/>
        <v>3.0497710174814063E-2</v>
      </c>
      <c r="O59" s="2491">
        <f t="shared" si="164"/>
        <v>2.8569772160704998E-2</v>
      </c>
      <c r="P59" s="2491">
        <f t="shared" si="165"/>
        <v>5.1034908866234296E-2</v>
      </c>
      <c r="Q59" s="2491">
        <f t="shared" si="165"/>
        <v>3.245248390207478E-2</v>
      </c>
      <c r="R59" s="2429"/>
      <c r="S59" s="2444">
        <f>B59/B60-1</f>
        <v>3.0497710174814063E-2</v>
      </c>
      <c r="T59" s="2445">
        <f>C59/C60-1</f>
        <v>2.8569772160704998E-2</v>
      </c>
      <c r="U59" s="2445">
        <f>E59/E60-1</f>
        <v>5.1034908866234296E-2</v>
      </c>
      <c r="V59" s="2445">
        <f>F59/F60-1</f>
        <v>3.245248390207478E-2</v>
      </c>
      <c r="X59" s="2489"/>
      <c r="Y59" s="2489"/>
      <c r="Z59" s="2489"/>
    </row>
    <row r="60" spans="1:26" ht="13.5" thickBot="1">
      <c r="A60" s="2425" t="s">
        <v>1158</v>
      </c>
      <c r="B60" s="2454">
        <v>159</v>
      </c>
      <c r="C60" s="2454">
        <v>141</v>
      </c>
      <c r="D60" s="2454">
        <f t="shared" si="144"/>
        <v>141</v>
      </c>
      <c r="E60" s="2454">
        <v>195</v>
      </c>
      <c r="F60" s="2455">
        <v>122</v>
      </c>
      <c r="G60" s="3366">
        <v>2006</v>
      </c>
      <c r="H60" s="2446">
        <v>4</v>
      </c>
      <c r="I60" s="2446">
        <v>3.79</v>
      </c>
      <c r="J60" s="2446">
        <v>2.21</v>
      </c>
      <c r="K60" s="2446">
        <v>5.65</v>
      </c>
      <c r="L60" s="2447">
        <v>5.41</v>
      </c>
      <c r="N60" s="2487">
        <f t="shared" ref="N60:O63" si="168">I60/SUM(I$60:I$63)*(B$60/B$64-1)</f>
        <v>7.245466462748526E-2</v>
      </c>
      <c r="O60" s="2488">
        <f t="shared" si="168"/>
        <v>2.3237230038062766E-2</v>
      </c>
      <c r="P60" s="2488">
        <f t="shared" ref="P60:Q63" si="169">K60/SUM(K$60:K$63)*(E$60/E$64-1)</f>
        <v>0.16146893866323722</v>
      </c>
      <c r="Q60" s="2488">
        <f t="shared" si="169"/>
        <v>5.0755230321793784E-2</v>
      </c>
      <c r="R60" s="2429"/>
      <c r="S60" s="2442"/>
      <c r="T60" s="2443"/>
      <c r="U60" s="2443"/>
      <c r="V60" s="2443"/>
      <c r="X60" s="2489"/>
      <c r="Y60" s="2489"/>
      <c r="Z60" s="2489"/>
    </row>
    <row r="61" spans="1:26">
      <c r="A61" s="2425" t="s">
        <v>1159</v>
      </c>
      <c r="B61" s="2426">
        <f t="shared" ref="B61:C63" si="170">B62+(B$60-B$64)*I61/SUM(I$60:I$63)</f>
        <v>149.00125628140702</v>
      </c>
      <c r="C61" s="2426">
        <f t="shared" si="170"/>
        <v>137.95592286501378</v>
      </c>
      <c r="D61" s="2426">
        <f t="shared" si="144"/>
        <v>137.95592286501378</v>
      </c>
      <c r="E61" s="2426">
        <f t="shared" ref="E61:F63" si="171">E62+(E$60-E$64)*K61/SUM(K$60:K$63)</f>
        <v>169.97231450719823</v>
      </c>
      <c r="F61" s="2426">
        <f t="shared" si="171"/>
        <v>116.21390374331551</v>
      </c>
      <c r="G61" s="3367">
        <v>2006</v>
      </c>
      <c r="H61" s="2451">
        <v>3</v>
      </c>
      <c r="I61" s="2451">
        <v>0.92</v>
      </c>
      <c r="J61" s="2451">
        <v>1.08</v>
      </c>
      <c r="K61" s="2451">
        <v>0.73</v>
      </c>
      <c r="L61" s="2452">
        <v>1.08</v>
      </c>
      <c r="N61" s="2487">
        <f t="shared" si="168"/>
        <v>1.7587939698492462E-2</v>
      </c>
      <c r="O61" s="2488">
        <f t="shared" si="168"/>
        <v>1.1355750425840628E-2</v>
      </c>
      <c r="P61" s="2488">
        <f t="shared" si="169"/>
        <v>2.0862358446754544E-2</v>
      </c>
      <c r="Q61" s="2488">
        <f t="shared" si="169"/>
        <v>1.0132282578103011E-2</v>
      </c>
      <c r="R61" s="2429"/>
      <c r="S61" s="2428"/>
      <c r="T61" s="2413"/>
      <c r="U61" s="2413"/>
      <c r="V61" s="2413"/>
      <c r="X61" s="2489"/>
      <c r="Y61" s="2489"/>
      <c r="Z61" s="2489"/>
    </row>
    <row r="62" spans="1:26">
      <c r="A62" s="2425" t="s">
        <v>1160</v>
      </c>
      <c r="B62" s="2426">
        <f t="shared" si="170"/>
        <v>146.57412060301507</v>
      </c>
      <c r="C62" s="2426">
        <f t="shared" si="170"/>
        <v>136.46831955922866</v>
      </c>
      <c r="D62" s="2426">
        <f t="shared" si="144"/>
        <v>136.46831955922866</v>
      </c>
      <c r="E62" s="2426">
        <f t="shared" si="171"/>
        <v>166.73864894795128</v>
      </c>
      <c r="F62" s="2426">
        <f t="shared" si="171"/>
        <v>115.05882352941177</v>
      </c>
      <c r="G62" s="3367">
        <v>2006</v>
      </c>
      <c r="H62" s="2438">
        <v>2</v>
      </c>
      <c r="I62" s="2438">
        <v>0.96</v>
      </c>
      <c r="J62" s="2438">
        <v>0.25</v>
      </c>
      <c r="K62" s="2438">
        <v>1.9</v>
      </c>
      <c r="L62" s="2439">
        <v>0.95</v>
      </c>
      <c r="N62" s="2487">
        <f t="shared" si="168"/>
        <v>1.8352632728861701E-2</v>
      </c>
      <c r="O62" s="2488">
        <f t="shared" si="168"/>
        <v>2.6286459319075526E-3</v>
      </c>
      <c r="P62" s="2488">
        <f t="shared" si="169"/>
        <v>5.4299289107991269E-2</v>
      </c>
      <c r="Q62" s="2488">
        <f t="shared" si="169"/>
        <v>8.9126559714794995E-3</v>
      </c>
      <c r="R62" s="2429"/>
      <c r="S62" s="2428"/>
      <c r="T62" s="2413"/>
      <c r="U62" s="2413"/>
      <c r="V62" s="2413"/>
      <c r="X62" s="2489"/>
      <c r="Y62" s="2489"/>
      <c r="Z62" s="2489"/>
    </row>
    <row r="63" spans="1:26">
      <c r="A63" s="2425" t="s">
        <v>1161</v>
      </c>
      <c r="B63" s="2426">
        <f t="shared" si="170"/>
        <v>144.04145728643215</v>
      </c>
      <c r="C63" s="2426">
        <f t="shared" si="170"/>
        <v>136.12396694214877</v>
      </c>
      <c r="D63" s="2426">
        <f t="shared" si="144"/>
        <v>136.12396694214877</v>
      </c>
      <c r="E63" s="2426">
        <f t="shared" si="171"/>
        <v>158.32225913621264</v>
      </c>
      <c r="F63" s="2426">
        <f t="shared" si="171"/>
        <v>114.04278074866311</v>
      </c>
      <c r="G63" s="3368">
        <v>2006</v>
      </c>
      <c r="H63" s="2427">
        <v>1</v>
      </c>
      <c r="I63" s="2427">
        <v>2.29</v>
      </c>
      <c r="J63" s="2427">
        <v>3.72</v>
      </c>
      <c r="K63" s="2427">
        <v>0.75</v>
      </c>
      <c r="L63" s="2433">
        <v>0.04</v>
      </c>
      <c r="N63" s="2490">
        <f t="shared" si="168"/>
        <v>4.3778675988638847E-2</v>
      </c>
      <c r="O63" s="2491">
        <f t="shared" si="168"/>
        <v>3.9114251466784385E-2</v>
      </c>
      <c r="P63" s="2491">
        <f t="shared" si="169"/>
        <v>2.1433929911049188E-2</v>
      </c>
      <c r="Q63" s="2491">
        <f t="shared" si="169"/>
        <v>3.7526972511492629E-4</v>
      </c>
      <c r="R63" s="2429"/>
      <c r="S63" s="2444">
        <f>B63/B64-1</f>
        <v>4.3778675988638716E-2</v>
      </c>
      <c r="T63" s="2445">
        <f>C63/C64-1</f>
        <v>3.91142514667846E-2</v>
      </c>
      <c r="U63" s="2445">
        <f>E63/E64-1</f>
        <v>2.143392991104931E-2</v>
      </c>
      <c r="V63" s="2445">
        <f>F63/F64-1</f>
        <v>3.7526972511492396E-4</v>
      </c>
      <c r="X63" s="2489"/>
      <c r="Y63" s="2489"/>
      <c r="Z63" s="2489"/>
    </row>
    <row r="64" spans="1:26" ht="13.5" thickBot="1">
      <c r="A64" s="2425" t="s">
        <v>1162</v>
      </c>
      <c r="B64" s="2454">
        <v>138</v>
      </c>
      <c r="C64" s="2454">
        <v>131</v>
      </c>
      <c r="D64" s="2454">
        <f t="shared" si="144"/>
        <v>131</v>
      </c>
      <c r="E64" s="2454">
        <v>155</v>
      </c>
      <c r="F64" s="2455">
        <v>114</v>
      </c>
      <c r="G64" s="3366">
        <v>2005</v>
      </c>
      <c r="H64" s="2446">
        <v>4</v>
      </c>
      <c r="I64" s="2446">
        <v>3.29</v>
      </c>
      <c r="J64" s="2446">
        <v>1.44</v>
      </c>
      <c r="K64" s="2446">
        <v>0.66</v>
      </c>
      <c r="L64" s="2447">
        <v>7.78</v>
      </c>
      <c r="N64" s="2487">
        <f t="shared" ref="N64:O67" si="172">I64/SUM(I$64:I$67)*(B$64/B$68-1)</f>
        <v>9.9404603216919935E-2</v>
      </c>
      <c r="O64" s="2488">
        <f t="shared" si="172"/>
        <v>4.7636550760861554E-2</v>
      </c>
      <c r="P64" s="2488">
        <f t="shared" ref="P64:Q67" si="173">K64/SUM(K$64:K$67)*(E$64/E$68-1)</f>
        <v>8.3756345177664976E-2</v>
      </c>
      <c r="Q64" s="2488">
        <f t="shared" si="173"/>
        <v>5.2148766661559584E-2</v>
      </c>
      <c r="R64" s="2429"/>
      <c r="S64" s="2442"/>
      <c r="T64" s="2443"/>
      <c r="U64" s="2443"/>
      <c r="V64" s="2443"/>
      <c r="X64" s="2489"/>
      <c r="Y64" s="2489"/>
      <c r="Z64" s="2489"/>
    </row>
    <row r="65" spans="1:26">
      <c r="A65" s="2425" t="s">
        <v>1163</v>
      </c>
      <c r="B65" s="2426">
        <f t="shared" ref="B65:C67" si="174">B66+(B$64-B$68)*I65/SUM(I$64:I$67)</f>
        <v>125.9720430107527</v>
      </c>
      <c r="C65" s="2426">
        <f t="shared" si="174"/>
        <v>125.1883408071749</v>
      </c>
      <c r="D65" s="2426">
        <f t="shared" si="144"/>
        <v>125.1883408071749</v>
      </c>
      <c r="E65" s="2426">
        <f t="shared" ref="E65:F67" si="175">E66+(E$64-E$68)*K65/SUM(K$64:K$67)</f>
        <v>144.61421319796952</v>
      </c>
      <c r="F65" s="2426">
        <f t="shared" si="175"/>
        <v>108.42008196721311</v>
      </c>
      <c r="G65" s="3367">
        <v>2005</v>
      </c>
      <c r="H65" s="2451">
        <v>3</v>
      </c>
      <c r="I65" s="2451">
        <v>0.46</v>
      </c>
      <c r="J65" s="2451">
        <v>0.32</v>
      </c>
      <c r="K65" s="2451">
        <v>0.42</v>
      </c>
      <c r="L65" s="2452">
        <v>0.64</v>
      </c>
      <c r="N65" s="2487">
        <f t="shared" si="172"/>
        <v>1.3898515951301874E-2</v>
      </c>
      <c r="O65" s="2488">
        <f t="shared" si="172"/>
        <v>1.0585900169080346E-2</v>
      </c>
      <c r="P65" s="2488">
        <f t="shared" si="173"/>
        <v>5.3299492385786795E-2</v>
      </c>
      <c r="Q65" s="2488">
        <f t="shared" si="173"/>
        <v>4.2898728359123568E-3</v>
      </c>
      <c r="R65" s="2429"/>
      <c r="S65" s="2428"/>
      <c r="T65" s="2413"/>
      <c r="U65" s="2413"/>
      <c r="V65" s="2413"/>
      <c r="X65" s="2489"/>
      <c r="Y65" s="2489"/>
      <c r="Z65" s="2489"/>
    </row>
    <row r="66" spans="1:26">
      <c r="A66" s="2425" t="s">
        <v>1164</v>
      </c>
      <c r="B66" s="2426">
        <f t="shared" si="174"/>
        <v>124.29032258064517</v>
      </c>
      <c r="C66" s="2426">
        <f t="shared" si="174"/>
        <v>123.8968609865471</v>
      </c>
      <c r="D66" s="2426">
        <f t="shared" si="144"/>
        <v>123.8968609865471</v>
      </c>
      <c r="E66" s="2426">
        <f t="shared" si="175"/>
        <v>138.00507614213197</v>
      </c>
      <c r="F66" s="2426">
        <f t="shared" si="175"/>
        <v>107.96106557377048</v>
      </c>
      <c r="G66" s="3367">
        <v>2005</v>
      </c>
      <c r="H66" s="2438">
        <v>2</v>
      </c>
      <c r="I66" s="2438">
        <v>0.47</v>
      </c>
      <c r="J66" s="2438">
        <v>0.1</v>
      </c>
      <c r="K66" s="2438">
        <v>0.52</v>
      </c>
      <c r="L66" s="2439">
        <v>0.79</v>
      </c>
      <c r="N66" s="2487">
        <f t="shared" si="172"/>
        <v>1.420065760241713E-2</v>
      </c>
      <c r="O66" s="2488">
        <f t="shared" si="172"/>
        <v>3.3080938028376083E-3</v>
      </c>
      <c r="P66" s="2488">
        <f t="shared" si="173"/>
        <v>6.598984771573603E-2</v>
      </c>
      <c r="Q66" s="2488">
        <f t="shared" si="173"/>
        <v>5.2953117818293153E-3</v>
      </c>
      <c r="R66" s="2429"/>
      <c r="S66" s="2428"/>
      <c r="T66" s="2413"/>
      <c r="U66" s="2413"/>
      <c r="V66" s="2413"/>
      <c r="X66" s="2489"/>
      <c r="Y66" s="2489"/>
      <c r="Z66" s="2489"/>
    </row>
    <row r="67" spans="1:26">
      <c r="A67" s="2425" t="s">
        <v>1165</v>
      </c>
      <c r="B67" s="2426">
        <f t="shared" si="174"/>
        <v>122.57204301075269</v>
      </c>
      <c r="C67" s="2426">
        <f t="shared" si="174"/>
        <v>123.4932735426009</v>
      </c>
      <c r="D67" s="2426">
        <f t="shared" si="144"/>
        <v>123.4932735426009</v>
      </c>
      <c r="E67" s="2426">
        <f t="shared" si="175"/>
        <v>129.82233502538071</v>
      </c>
      <c r="F67" s="2426">
        <f t="shared" si="175"/>
        <v>107.39446721311475</v>
      </c>
      <c r="G67" s="3368">
        <v>2005</v>
      </c>
      <c r="H67" s="2427">
        <v>1</v>
      </c>
      <c r="I67" s="2427">
        <v>0.43</v>
      </c>
      <c r="J67" s="2427">
        <v>0.37</v>
      </c>
      <c r="K67" s="2427">
        <v>0.37</v>
      </c>
      <c r="L67" s="2433">
        <v>0.55000000000000004</v>
      </c>
      <c r="N67" s="2490">
        <f t="shared" si="172"/>
        <v>1.2992090997956099E-2</v>
      </c>
      <c r="O67" s="2491">
        <f t="shared" si="172"/>
        <v>1.2239947070499151E-2</v>
      </c>
      <c r="P67" s="2491">
        <f t="shared" si="173"/>
        <v>4.6954314720812178E-2</v>
      </c>
      <c r="Q67" s="2491">
        <f t="shared" si="173"/>
        <v>3.6866094683621815E-3</v>
      </c>
      <c r="R67" s="2429"/>
      <c r="S67" s="2444">
        <f>B67/B68-1</f>
        <v>1.2992090997956174E-2</v>
      </c>
      <c r="T67" s="2445">
        <f>C67/C68-1</f>
        <v>1.2239947070499246E-2</v>
      </c>
      <c r="U67" s="2445">
        <f>E67/E68-1</f>
        <v>4.695431472081224E-2</v>
      </c>
      <c r="V67" s="2445">
        <f>F67/F68-1</f>
        <v>3.6866094683620787E-3</v>
      </c>
      <c r="X67" s="2489"/>
      <c r="Y67" s="2489"/>
      <c r="Z67" s="2489"/>
    </row>
    <row r="68" spans="1:26" ht="13.5" thickBot="1">
      <c r="A68" s="2425" t="s">
        <v>1166</v>
      </c>
      <c r="B68" s="2475">
        <v>121</v>
      </c>
      <c r="C68" s="2475">
        <v>122</v>
      </c>
      <c r="D68" s="2475">
        <f t="shared" si="144"/>
        <v>122</v>
      </c>
      <c r="E68" s="2475">
        <v>124</v>
      </c>
      <c r="F68" s="2476">
        <v>107</v>
      </c>
      <c r="G68" s="3366">
        <v>2004</v>
      </c>
      <c r="H68" s="2446">
        <v>4</v>
      </c>
      <c r="I68" s="2446">
        <v>0.33</v>
      </c>
      <c r="J68" s="2446">
        <v>0.5</v>
      </c>
      <c r="K68" s="2446">
        <v>0.5</v>
      </c>
      <c r="L68" s="2447">
        <v>0</v>
      </c>
      <c r="N68" s="2487">
        <f t="shared" ref="N68:O71" si="176">I68/SUM(I$68:I$71)*(B$68/B$72-1)</f>
        <v>1.3391770148526898E-2</v>
      </c>
      <c r="O68" s="2488">
        <f t="shared" si="176"/>
        <v>1.063264221158958E-2</v>
      </c>
      <c r="P68" s="2488">
        <f t="shared" ref="P68:Q71" si="177">K68/SUM(K$68:K$71)*(E$68/E$72-1)</f>
        <v>2.2244466688911134E-2</v>
      </c>
      <c r="Q68" s="2488">
        <f t="shared" si="177"/>
        <v>0</v>
      </c>
      <c r="R68" s="2429"/>
      <c r="S68" s="2442"/>
      <c r="T68" s="2443"/>
      <c r="U68" s="2443"/>
      <c r="V68" s="2443"/>
      <c r="X68" s="2489"/>
      <c r="Y68" s="2489"/>
      <c r="Z68" s="2489"/>
    </row>
    <row r="69" spans="1:26">
      <c r="A69" s="2425" t="s">
        <v>1167</v>
      </c>
      <c r="B69" s="2426">
        <f t="shared" ref="B69:C71" si="178">B70+(B$68-B$72)*I69/SUM(I$68:I$71)</f>
        <v>119.51351351351352</v>
      </c>
      <c r="C69" s="2426">
        <f t="shared" si="178"/>
        <v>120.7878787878788</v>
      </c>
      <c r="D69" s="2426">
        <f t="shared" si="144"/>
        <v>120.7878787878788</v>
      </c>
      <c r="E69" s="2426">
        <f t="shared" ref="E69:F71" si="179">E70+(E$68-E$72)*K69/SUM(K$68:K$71)</f>
        <v>121.5975975975976</v>
      </c>
      <c r="F69" s="2426">
        <f t="shared" si="179"/>
        <v>107</v>
      </c>
      <c r="G69" s="3367">
        <v>2004</v>
      </c>
      <c r="H69" s="2451">
        <v>3</v>
      </c>
      <c r="I69" s="2451">
        <v>0.56000000000000005</v>
      </c>
      <c r="J69" s="2451">
        <v>0.8</v>
      </c>
      <c r="K69" s="2451">
        <v>0.83</v>
      </c>
      <c r="L69" s="2452">
        <v>0.06</v>
      </c>
      <c r="N69" s="2487">
        <f t="shared" si="176"/>
        <v>2.2725428130833527E-2</v>
      </c>
      <c r="O69" s="2488">
        <f t="shared" si="176"/>
        <v>1.7012227538543329E-2</v>
      </c>
      <c r="P69" s="2488">
        <f t="shared" si="177"/>
        <v>3.6925814703592477E-2</v>
      </c>
      <c r="Q69" s="2488">
        <f t="shared" si="177"/>
        <v>2.8846153846153744E-2</v>
      </c>
      <c r="R69" s="2429"/>
      <c r="S69" s="2428"/>
      <c r="T69" s="2413"/>
      <c r="U69" s="2413"/>
      <c r="V69" s="2413"/>
      <c r="X69" s="2489"/>
      <c r="Y69" s="2489"/>
      <c r="Z69" s="2489"/>
    </row>
    <row r="70" spans="1:26">
      <c r="A70" s="2425" t="s">
        <v>1168</v>
      </c>
      <c r="B70" s="2426">
        <f t="shared" si="178"/>
        <v>116.99099099099099</v>
      </c>
      <c r="C70" s="2426">
        <f t="shared" si="178"/>
        <v>118.84848484848486</v>
      </c>
      <c r="D70" s="2426">
        <f t="shared" si="144"/>
        <v>118.84848484848486</v>
      </c>
      <c r="E70" s="2426">
        <f t="shared" si="179"/>
        <v>117.60960960960961</v>
      </c>
      <c r="F70" s="2426">
        <f t="shared" si="179"/>
        <v>104</v>
      </c>
      <c r="G70" s="3367">
        <v>2004</v>
      </c>
      <c r="H70" s="2438">
        <v>2</v>
      </c>
      <c r="I70" s="2438">
        <v>1</v>
      </c>
      <c r="J70" s="2438">
        <v>1.5</v>
      </c>
      <c r="K70" s="2438">
        <v>1.5</v>
      </c>
      <c r="L70" s="2439">
        <v>0</v>
      </c>
      <c r="N70" s="2487">
        <f t="shared" si="176"/>
        <v>4.0581121662202721E-2</v>
      </c>
      <c r="O70" s="2488">
        <f t="shared" si="176"/>
        <v>3.1897926634768738E-2</v>
      </c>
      <c r="P70" s="2488">
        <f t="shared" si="177"/>
        <v>6.6733400066733395E-2</v>
      </c>
      <c r="Q70" s="2488">
        <f t="shared" si="177"/>
        <v>0</v>
      </c>
      <c r="R70" s="2429"/>
      <c r="S70" s="2428"/>
      <c r="T70" s="2413"/>
      <c r="U70" s="2413"/>
      <c r="V70" s="2413"/>
      <c r="X70" s="2489"/>
      <c r="Y70" s="2489"/>
      <c r="Z70" s="2489"/>
    </row>
    <row r="71" spans="1:26" s="2481" customFormat="1" ht="13.5" thickBot="1">
      <c r="A71" s="2425" t="s">
        <v>1169</v>
      </c>
      <c r="B71" s="2478">
        <f t="shared" si="178"/>
        <v>112.48648648648648</v>
      </c>
      <c r="C71" s="2478">
        <f t="shared" si="178"/>
        <v>115.21212121212122</v>
      </c>
      <c r="D71" s="2478">
        <f t="shared" si="144"/>
        <v>115.21212121212122</v>
      </c>
      <c r="E71" s="2478">
        <f t="shared" si="179"/>
        <v>110.4024024024024</v>
      </c>
      <c r="F71" s="2478">
        <f t="shared" si="179"/>
        <v>104</v>
      </c>
      <c r="G71" s="3368">
        <v>2004</v>
      </c>
      <c r="H71" s="2479">
        <v>1</v>
      </c>
      <c r="I71" s="2479">
        <v>0.33</v>
      </c>
      <c r="J71" s="2479">
        <v>0.5</v>
      </c>
      <c r="K71" s="2479">
        <v>0.5</v>
      </c>
      <c r="L71" s="2480">
        <v>0</v>
      </c>
      <c r="N71" s="2492">
        <f t="shared" si="176"/>
        <v>1.3391770148526898E-2</v>
      </c>
      <c r="O71" s="2493">
        <f t="shared" si="176"/>
        <v>1.063264221158958E-2</v>
      </c>
      <c r="P71" s="2493">
        <f t="shared" si="177"/>
        <v>2.2244466688911134E-2</v>
      </c>
      <c r="Q71" s="2493">
        <f t="shared" si="177"/>
        <v>0</v>
      </c>
      <c r="R71" s="2484"/>
      <c r="S71" s="2482">
        <f>B71/B72-1</f>
        <v>1.3391770148526883E-2</v>
      </c>
      <c r="T71" s="2483">
        <f>C71/C72-1</f>
        <v>1.063264221158966E-2</v>
      </c>
      <c r="U71" s="2483">
        <f>E71/E72-1</f>
        <v>2.2244466688911224E-2</v>
      </c>
      <c r="V71" s="2483">
        <f>F71/F72-1</f>
        <v>0</v>
      </c>
      <c r="X71" s="2494"/>
      <c r="Y71" s="2494"/>
      <c r="Z71" s="2494"/>
    </row>
    <row r="72" spans="1:26" ht="13.5" thickBot="1">
      <c r="A72" s="2425" t="s">
        <v>1170</v>
      </c>
      <c r="B72" s="2495">
        <v>111</v>
      </c>
      <c r="C72" s="2495">
        <v>114</v>
      </c>
      <c r="D72" s="2495">
        <f t="shared" si="144"/>
        <v>114</v>
      </c>
      <c r="E72" s="2495">
        <v>108</v>
      </c>
      <c r="F72" s="2496">
        <v>104</v>
      </c>
      <c r="G72" s="3366">
        <v>2003</v>
      </c>
      <c r="H72" s="2485">
        <v>4</v>
      </c>
      <c r="I72" s="2497"/>
      <c r="J72" s="2497"/>
      <c r="K72" s="2497"/>
      <c r="L72" s="2497"/>
      <c r="N72" s="2498"/>
      <c r="O72" s="2497"/>
      <c r="P72" s="2497"/>
      <c r="Q72" s="2497"/>
      <c r="S72" s="2498"/>
      <c r="T72" s="2497"/>
      <c r="U72" s="2497"/>
      <c r="V72" s="2497"/>
      <c r="X72" s="2489"/>
      <c r="Y72" s="2489"/>
      <c r="Z72" s="2489"/>
    </row>
    <row r="73" spans="1:26">
      <c r="A73" s="2425" t="s">
        <v>1171</v>
      </c>
      <c r="B73" s="2499">
        <f t="shared" ref="B73:C75" si="180">B74+(B$72-B$76)/4</f>
        <v>109.75</v>
      </c>
      <c r="C73" s="2499">
        <f t="shared" si="180"/>
        <v>112.25</v>
      </c>
      <c r="D73" s="2499">
        <f t="shared" si="144"/>
        <v>112.25</v>
      </c>
      <c r="E73" s="2499">
        <f t="shared" ref="E73:F75" si="181">E74+(E$72-E$76)/4</f>
        <v>107.25</v>
      </c>
      <c r="F73" s="2499">
        <f t="shared" si="181"/>
        <v>103.5</v>
      </c>
      <c r="G73" s="3367">
        <v>2003</v>
      </c>
      <c r="H73" s="2451">
        <v>3</v>
      </c>
      <c r="I73" s="2497"/>
      <c r="J73" s="2497"/>
      <c r="K73" s="2497"/>
      <c r="L73" s="2497"/>
      <c r="X73" s="2489"/>
      <c r="Y73" s="2489"/>
      <c r="Z73" s="2489"/>
    </row>
    <row r="74" spans="1:26">
      <c r="A74" s="2425" t="s">
        <v>1172</v>
      </c>
      <c r="B74" s="2499">
        <f t="shared" si="180"/>
        <v>108.5</v>
      </c>
      <c r="C74" s="2499">
        <f t="shared" si="180"/>
        <v>110.5</v>
      </c>
      <c r="D74" s="2499">
        <f t="shared" si="144"/>
        <v>110.5</v>
      </c>
      <c r="E74" s="2499">
        <f t="shared" si="181"/>
        <v>106.5</v>
      </c>
      <c r="F74" s="2499">
        <f t="shared" si="181"/>
        <v>103</v>
      </c>
      <c r="G74" s="3367">
        <v>2003</v>
      </c>
      <c r="H74" s="2438">
        <v>2</v>
      </c>
      <c r="I74" s="2497"/>
      <c r="J74" s="2497"/>
      <c r="K74" s="2497"/>
      <c r="L74" s="2497"/>
      <c r="X74" s="2489"/>
      <c r="Y74" s="2489"/>
      <c r="Z74" s="2489"/>
    </row>
    <row r="75" spans="1:26" ht="13.5" thickBot="1">
      <c r="A75" s="2425" t="s">
        <v>1173</v>
      </c>
      <c r="B75" s="2499">
        <f t="shared" si="180"/>
        <v>107.25</v>
      </c>
      <c r="C75" s="2499">
        <f t="shared" si="180"/>
        <v>108.75</v>
      </c>
      <c r="D75" s="2499">
        <f t="shared" si="144"/>
        <v>108.75</v>
      </c>
      <c r="E75" s="2499">
        <f t="shared" si="181"/>
        <v>105.75</v>
      </c>
      <c r="F75" s="2499">
        <f t="shared" si="181"/>
        <v>102.5</v>
      </c>
      <c r="G75" s="3368">
        <v>2003</v>
      </c>
      <c r="H75" s="2500">
        <v>1</v>
      </c>
      <c r="I75" s="2497"/>
      <c r="J75" s="2497"/>
      <c r="K75" s="2497"/>
      <c r="L75" s="2497"/>
      <c r="S75" s="2428"/>
      <c r="T75" s="2413"/>
      <c r="U75" s="2413"/>
      <c r="X75" s="2489"/>
      <c r="Y75" s="2489"/>
      <c r="Z75" s="2489"/>
    </row>
    <row r="76" spans="1:26" ht="13.5" thickBot="1">
      <c r="A76" s="2425" t="s">
        <v>1174</v>
      </c>
      <c r="B76" s="2501">
        <v>106</v>
      </c>
      <c r="C76" s="2501">
        <v>107</v>
      </c>
      <c r="D76" s="2501">
        <f t="shared" si="144"/>
        <v>107</v>
      </c>
      <c r="E76" s="2501">
        <v>105</v>
      </c>
      <c r="F76" s="2502">
        <v>102</v>
      </c>
      <c r="G76" s="3366">
        <v>2002</v>
      </c>
      <c r="H76" s="2446">
        <v>4</v>
      </c>
      <c r="I76" s="2497"/>
      <c r="J76" s="2497"/>
      <c r="K76" s="2497"/>
      <c r="L76" s="2497"/>
      <c r="N76" s="2498"/>
      <c r="O76" s="2497"/>
      <c r="P76" s="2497"/>
      <c r="Q76" s="2497"/>
      <c r="S76" s="2498"/>
      <c r="T76" s="2497"/>
      <c r="U76" s="2497"/>
      <c r="V76" s="2497"/>
      <c r="X76" s="2489"/>
      <c r="Y76" s="2489"/>
      <c r="Z76" s="2489"/>
    </row>
    <row r="77" spans="1:26">
      <c r="A77" s="2425" t="s">
        <v>1175</v>
      </c>
      <c r="B77" s="2499">
        <f t="shared" ref="B77:C79" si="182">B78+(B$76-B$80)/4</f>
        <v>105</v>
      </c>
      <c r="C77" s="2499">
        <f t="shared" si="182"/>
        <v>106</v>
      </c>
      <c r="D77" s="2499">
        <f t="shared" si="144"/>
        <v>106</v>
      </c>
      <c r="E77" s="2499">
        <f t="shared" ref="E77:F79" si="183">E78+(E$76-E$80)/4</f>
        <v>104.5</v>
      </c>
      <c r="F77" s="2499">
        <f t="shared" si="183"/>
        <v>101.5</v>
      </c>
      <c r="G77" s="3367">
        <v>2002</v>
      </c>
      <c r="H77" s="2451">
        <v>3</v>
      </c>
      <c r="I77" s="2497"/>
      <c r="J77" s="2497"/>
      <c r="K77" s="2497"/>
      <c r="L77" s="2497"/>
      <c r="X77" s="2489"/>
      <c r="Y77" s="2489"/>
      <c r="Z77" s="2489"/>
    </row>
    <row r="78" spans="1:26">
      <c r="A78" s="2425" t="s">
        <v>1176</v>
      </c>
      <c r="B78" s="2499">
        <f t="shared" si="182"/>
        <v>104</v>
      </c>
      <c r="C78" s="2499">
        <f t="shared" si="182"/>
        <v>105</v>
      </c>
      <c r="D78" s="2499">
        <f t="shared" si="144"/>
        <v>105</v>
      </c>
      <c r="E78" s="2499">
        <f t="shared" si="183"/>
        <v>104</v>
      </c>
      <c r="F78" s="2499">
        <f t="shared" si="183"/>
        <v>101</v>
      </c>
      <c r="G78" s="3367">
        <v>2002</v>
      </c>
      <c r="H78" s="2438">
        <v>2</v>
      </c>
      <c r="I78" s="2497"/>
      <c r="J78" s="2497"/>
      <c r="K78" s="2497"/>
      <c r="L78" s="2497"/>
      <c r="X78" s="2489"/>
      <c r="Y78" s="2489"/>
      <c r="Z78" s="2489"/>
    </row>
    <row r="79" spans="1:26" s="2462" customFormat="1" ht="13.5" thickBot="1">
      <c r="A79" s="2458" t="s">
        <v>1177</v>
      </c>
      <c r="B79" s="2465">
        <f t="shared" si="182"/>
        <v>103</v>
      </c>
      <c r="C79" s="2465">
        <f t="shared" si="182"/>
        <v>104</v>
      </c>
      <c r="D79" s="2465">
        <f t="shared" si="144"/>
        <v>104</v>
      </c>
      <c r="E79" s="2465">
        <f t="shared" si="183"/>
        <v>103.5</v>
      </c>
      <c r="F79" s="2465">
        <f t="shared" si="183"/>
        <v>100.5</v>
      </c>
      <c r="G79" s="3368">
        <v>2002</v>
      </c>
      <c r="H79" s="2503">
        <v>1</v>
      </c>
      <c r="I79" s="2504"/>
      <c r="J79" s="2504"/>
      <c r="K79" s="2504"/>
      <c r="L79" s="2504"/>
      <c r="N79" s="2505"/>
      <c r="S79" s="2505"/>
      <c r="X79" s="2506"/>
      <c r="Y79" s="2506"/>
      <c r="Z79" s="2506"/>
    </row>
    <row r="80" spans="1:26" ht="13.5" thickBot="1">
      <c r="B80" s="2507">
        <v>102</v>
      </c>
      <c r="C80" s="2508">
        <v>103</v>
      </c>
      <c r="D80" s="2508">
        <f t="shared" si="144"/>
        <v>103</v>
      </c>
      <c r="E80" s="2508">
        <v>103</v>
      </c>
      <c r="F80" s="2509">
        <v>100</v>
      </c>
      <c r="I80" s="2497"/>
      <c r="J80" s="2497"/>
      <c r="K80" s="2497"/>
      <c r="L80" s="2497"/>
      <c r="N80" s="2498"/>
      <c r="O80" s="2497"/>
      <c r="P80" s="2497"/>
      <c r="Q80" s="2497"/>
      <c r="S80" s="2498"/>
      <c r="T80" s="2497"/>
      <c r="U80" s="2497"/>
      <c r="V80" s="2497"/>
      <c r="X80" s="2443"/>
      <c r="Y80" s="2443"/>
      <c r="Z80" s="2443"/>
    </row>
    <row r="82" spans="1:22" s="2511" customFormat="1">
      <c r="A82" s="2510" t="s">
        <v>1178</v>
      </c>
      <c r="G82" s="2512"/>
      <c r="N82" s="2512"/>
      <c r="S82" s="2512"/>
    </row>
    <row r="83" spans="1:22" s="2511" customFormat="1">
      <c r="A83" s="2511" t="s">
        <v>1179</v>
      </c>
      <c r="G83" s="2512"/>
      <c r="N83" s="2512"/>
      <c r="S83" s="2512"/>
    </row>
    <row r="84" spans="1:22" s="2511" customFormat="1">
      <c r="A84" s="2511" t="s">
        <v>1180</v>
      </c>
      <c r="G84" s="2512"/>
      <c r="I84" s="2513"/>
      <c r="J84" s="2513"/>
      <c r="K84" s="2513"/>
      <c r="L84" s="2513"/>
      <c r="N84" s="2514"/>
      <c r="O84" s="2513"/>
      <c r="P84" s="2513"/>
      <c r="Q84" s="2513"/>
      <c r="S84" s="2514"/>
      <c r="T84" s="2513"/>
      <c r="U84" s="2513"/>
      <c r="V84" s="2513"/>
    </row>
    <row r="85" spans="1:22" s="2511" customFormat="1">
      <c r="A85" s="2511" t="s">
        <v>1181</v>
      </c>
      <c r="G85" s="2512"/>
      <c r="N85" s="2512"/>
      <c r="S85" s="2512"/>
    </row>
    <row r="92" spans="1:22" ht="13.5" thickBot="1"/>
    <row r="93" spans="1:22">
      <c r="G93" s="2412"/>
      <c r="S93" s="2515" t="s">
        <v>1182</v>
      </c>
      <c r="T93" s="2516" t="s">
        <v>1183</v>
      </c>
      <c r="U93" s="2516" t="s">
        <v>1184</v>
      </c>
      <c r="V93" s="2516" t="s">
        <v>1185</v>
      </c>
    </row>
    <row r="94" spans="1:22">
      <c r="G94" s="2412"/>
      <c r="N94" s="2442"/>
      <c r="O94" s="2443"/>
      <c r="P94" s="2443"/>
      <c r="Q94" s="2443"/>
      <c r="S94" s="2517">
        <v>2006</v>
      </c>
      <c r="T94" s="2518">
        <v>15.1</v>
      </c>
      <c r="U94" s="2518">
        <v>7.43</v>
      </c>
      <c r="V94" s="2518">
        <v>26.26</v>
      </c>
    </row>
    <row r="95" spans="1:22">
      <c r="G95" s="2412"/>
      <c r="N95" s="2442"/>
      <c r="O95" s="2443"/>
      <c r="P95" s="2443"/>
      <c r="Q95" s="2443"/>
      <c r="S95" s="2519">
        <v>2005</v>
      </c>
      <c r="T95" s="2520">
        <v>13.9</v>
      </c>
      <c r="U95" s="2520">
        <v>7.49</v>
      </c>
      <c r="V95" s="2520">
        <v>24.92</v>
      </c>
    </row>
    <row r="96" spans="1:22">
      <c r="G96" s="2412"/>
      <c r="N96" s="2442"/>
      <c r="O96" s="2443"/>
      <c r="P96" s="2443"/>
      <c r="Q96" s="2443"/>
      <c r="S96" s="2517">
        <v>2004</v>
      </c>
      <c r="T96" s="2518">
        <v>9.48</v>
      </c>
      <c r="U96" s="2518">
        <v>7.2</v>
      </c>
      <c r="V96" s="2518">
        <v>14.68</v>
      </c>
    </row>
    <row r="97" spans="7:22">
      <c r="G97" s="2412"/>
      <c r="N97" s="2442"/>
      <c r="O97" s="2443"/>
      <c r="P97" s="2443"/>
      <c r="Q97" s="2443"/>
      <c r="S97" s="2519">
        <v>2003</v>
      </c>
      <c r="T97" s="2520">
        <v>4.5</v>
      </c>
      <c r="U97" s="2520">
        <v>6.12</v>
      </c>
      <c r="V97" s="2520">
        <v>2.34</v>
      </c>
    </row>
    <row r="98" spans="7:22" ht="13.5" thickBot="1">
      <c r="G98" s="2412"/>
      <c r="N98" s="2442"/>
      <c r="O98" s="2443"/>
      <c r="P98" s="2443"/>
      <c r="Q98" s="2443"/>
      <c r="S98" s="2521">
        <v>2002</v>
      </c>
      <c r="T98" s="2522">
        <v>3.59</v>
      </c>
      <c r="U98" s="2522">
        <v>4.54</v>
      </c>
      <c r="V98" s="2522">
        <v>2.5499999999999998</v>
      </c>
    </row>
    <row r="99" spans="7:22">
      <c r="G99" s="2412"/>
      <c r="N99" s="2442"/>
      <c r="O99" s="2443"/>
      <c r="P99" s="2443"/>
      <c r="Q99" s="2443"/>
    </row>
    <row r="100" spans="7:22">
      <c r="G100" s="2412"/>
      <c r="N100" s="2442"/>
      <c r="O100" s="2443"/>
      <c r="P100" s="2443"/>
      <c r="Q100" s="2443"/>
    </row>
    <row r="101" spans="7:22">
      <c r="G101" s="2412"/>
      <c r="N101" s="2442"/>
      <c r="O101" s="2443"/>
      <c r="P101" s="2443"/>
      <c r="Q101" s="2443"/>
    </row>
    <row r="102" spans="7:22">
      <c r="G102" s="2412"/>
      <c r="N102" s="2442"/>
      <c r="O102" s="2443"/>
      <c r="P102" s="2443"/>
      <c r="Q102" s="2443"/>
    </row>
    <row r="103" spans="7:22">
      <c r="G103" s="2412"/>
      <c r="N103" s="2442"/>
      <c r="O103" s="2443"/>
      <c r="P103" s="2443"/>
      <c r="Q103" s="2443"/>
    </row>
    <row r="104" spans="7:22">
      <c r="G104" s="2412"/>
      <c r="N104" s="2442"/>
      <c r="O104" s="2443"/>
      <c r="P104" s="2443"/>
      <c r="Q104" s="2443"/>
    </row>
    <row r="105" spans="7:22">
      <c r="G105" s="2412"/>
      <c r="N105" s="2442"/>
      <c r="O105" s="2443"/>
      <c r="P105" s="2443"/>
      <c r="Q105" s="2443"/>
    </row>
    <row r="106" spans="7:22">
      <c r="G106" s="2412"/>
      <c r="N106" s="2442"/>
      <c r="O106" s="2443"/>
      <c r="P106" s="2443"/>
      <c r="Q106" s="2443"/>
    </row>
    <row r="107" spans="7:22">
      <c r="G107" s="2412"/>
      <c r="N107" s="2442"/>
      <c r="O107" s="2443"/>
      <c r="P107" s="2443"/>
      <c r="Q107" s="2443"/>
    </row>
    <row r="108" spans="7:22">
      <c r="G108" s="2412"/>
      <c r="N108" s="2442"/>
      <c r="O108" s="2443"/>
      <c r="P108" s="2443"/>
      <c r="Q108" s="2443"/>
    </row>
    <row r="109" spans="7:22">
      <c r="G109" s="2412"/>
      <c r="N109" s="2442"/>
      <c r="O109" s="2443"/>
      <c r="P109" s="2443"/>
      <c r="Q109" s="2443"/>
      <c r="S109" s="2412"/>
    </row>
    <row r="110" spans="7:22">
      <c r="G110" s="2412"/>
      <c r="N110" s="2442"/>
      <c r="O110" s="2443"/>
      <c r="P110" s="2443"/>
      <c r="Q110" s="2443"/>
      <c r="S110" s="2412"/>
    </row>
    <row r="111" spans="7:22">
      <c r="G111" s="2412"/>
      <c r="N111" s="2442"/>
      <c r="O111" s="2443"/>
      <c r="P111" s="2443"/>
      <c r="Q111" s="2443"/>
      <c r="S111" s="2412"/>
    </row>
    <row r="112" spans="7:22">
      <c r="G112" s="2412"/>
      <c r="N112" s="2442"/>
      <c r="O112" s="2443"/>
      <c r="P112" s="2443"/>
      <c r="Q112" s="2443"/>
      <c r="S112" s="2412"/>
    </row>
    <row r="113" spans="7:19">
      <c r="G113" s="2412"/>
      <c r="N113" s="2442"/>
      <c r="O113" s="2443"/>
      <c r="P113" s="2443"/>
      <c r="Q113" s="2443"/>
      <c r="S113" s="2412"/>
    </row>
    <row r="114" spans="7:19">
      <c r="G114" s="2412"/>
      <c r="N114" s="2442"/>
      <c r="O114" s="2443"/>
      <c r="P114" s="2443"/>
      <c r="Q114" s="2443"/>
      <c r="S114" s="2412"/>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U518" sqref="U518"/>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2825</v>
      </c>
      <c r="C1" s="3378" t="s">
        <v>2826</v>
      </c>
      <c r="D1" s="3379"/>
      <c r="E1" s="3379"/>
      <c r="F1" s="3379"/>
      <c r="G1" s="3379"/>
      <c r="H1" s="3379"/>
      <c r="I1" s="3379"/>
      <c r="J1" s="3379"/>
      <c r="K1" s="3379"/>
      <c r="L1" s="3379"/>
      <c r="M1" s="3379"/>
      <c r="N1" s="3379"/>
      <c r="O1" s="3379"/>
      <c r="P1" s="3379"/>
      <c r="Q1" s="3379"/>
      <c r="R1" s="3379"/>
      <c r="S1" s="3380"/>
      <c r="T1" s="1114" t="s">
        <v>2827</v>
      </c>
    </row>
    <row r="2" spans="1:45" s="663" customFormat="1">
      <c r="A2" s="1115"/>
      <c r="B2" s="659" t="s">
        <v>2828</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2829</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2830</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2831</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2832</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2833</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2834</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6" t="s">
        <v>2835</v>
      </c>
      <c r="B17" s="2367" t="s">
        <v>2836</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8" t="s">
        <v>2837</v>
      </c>
      <c r="E19" s="1526"/>
      <c r="F19" s="1526"/>
      <c r="G19" s="1526"/>
      <c r="H19" s="1190"/>
      <c r="I19" s="164"/>
      <c r="J19" s="164"/>
      <c r="K19" s="164"/>
      <c r="L19" s="164"/>
      <c r="M19" s="164"/>
      <c r="N19" s="164"/>
      <c r="O19" s="164"/>
      <c r="P19" s="164"/>
      <c r="Q19" s="164"/>
      <c r="R19" s="727"/>
      <c r="S19" s="134"/>
    </row>
    <row r="20" spans="1:45" ht="16.5" thickBot="1">
      <c r="A20" s="671" t="s">
        <v>2838</v>
      </c>
      <c r="B20" s="300" t="e">
        <f ca="1">IF(D20="——",S22,S22-F20)</f>
        <v>#REF!</v>
      </c>
      <c r="C20" s="164"/>
      <c r="D20" s="2369"/>
      <c r="E20" s="1527"/>
      <c r="F20" s="1114" t="e">
        <f ca="1">SUMIF(INDIRECT("'"&amp;H20&amp;"'"&amp;"!A:A"),"承租人权益价值",INDIRECT("'"&amp;H20&amp;"'"&amp;"!c:c"))</f>
        <v>#REF!</v>
      </c>
      <c r="G20" s="1114" t="s">
        <v>2839</v>
      </c>
      <c r="H20" s="2370"/>
      <c r="I20" s="164"/>
      <c r="J20" s="164"/>
      <c r="K20" s="164"/>
      <c r="L20" s="164"/>
      <c r="M20" s="164"/>
      <c r="N20" s="164"/>
      <c r="O20" s="164"/>
      <c r="P20" s="164"/>
      <c r="Q20" s="164"/>
      <c r="R20" s="727"/>
      <c r="S20" s="134"/>
    </row>
    <row r="21" spans="1:45" ht="15.75">
      <c r="A21" s="671" t="s">
        <v>2840</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2841</v>
      </c>
      <c r="B22" s="24">
        <f>SUM(B24:B10000)</f>
        <v>100</v>
      </c>
      <c r="C22" s="3375" t="s">
        <v>33</v>
      </c>
      <c r="D22" s="3376"/>
      <c r="E22" s="3376"/>
      <c r="F22" s="3376"/>
      <c r="G22" s="3376"/>
      <c r="H22" s="3376"/>
      <c r="I22" s="3376"/>
      <c r="J22" s="3376"/>
      <c r="K22" s="3376"/>
      <c r="L22" s="3376"/>
      <c r="M22" s="3376"/>
      <c r="N22" s="3376"/>
      <c r="O22" s="3376"/>
      <c r="P22" s="3376"/>
      <c r="Q22" s="3377"/>
      <c r="R22" s="672">
        <f>ROUND(S22*10000/B22,0)</f>
        <v>10000</v>
      </c>
      <c r="S22" s="24">
        <f>SUM(S24:S10000)</f>
        <v>100</v>
      </c>
    </row>
    <row r="23" spans="1:45" s="12" customFormat="1" ht="24">
      <c r="A23" s="11" t="s">
        <v>2842</v>
      </c>
      <c r="B23" s="11" t="s">
        <v>2843</v>
      </c>
      <c r="C23" s="11" t="s">
        <v>2844</v>
      </c>
      <c r="D23" s="11" t="str">
        <f>B5</f>
        <v>修正项2</v>
      </c>
      <c r="E23" s="11" t="s">
        <v>2844</v>
      </c>
      <c r="F23" s="11" t="str">
        <f>B7</f>
        <v>修正项3</v>
      </c>
      <c r="G23" s="11" t="s">
        <v>2844</v>
      </c>
      <c r="H23" s="11" t="str">
        <f>B9</f>
        <v>修正项4</v>
      </c>
      <c r="I23" s="11" t="s">
        <v>2844</v>
      </c>
      <c r="J23" s="11" t="str">
        <f>B11</f>
        <v>修正项5</v>
      </c>
      <c r="K23" s="11" t="s">
        <v>2844</v>
      </c>
      <c r="L23" s="11" t="str">
        <f>B13</f>
        <v>修正项6</v>
      </c>
      <c r="M23" s="11" t="s">
        <v>2844</v>
      </c>
      <c r="N23" s="11" t="str">
        <f>B15</f>
        <v>修正项7</v>
      </c>
      <c r="O23" s="11" t="s">
        <v>2844</v>
      </c>
      <c r="P23" s="11" t="str">
        <f>B17</f>
        <v>楼层</v>
      </c>
      <c r="Q23" s="11" t="s">
        <v>2844</v>
      </c>
      <c r="R23" s="673" t="s">
        <v>2845</v>
      </c>
      <c r="S23" s="11" t="s">
        <v>2846</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2847</v>
      </c>
      <c r="B24" s="674">
        <v>100</v>
      </c>
      <c r="C24" s="3042">
        <v>1</v>
      </c>
      <c r="D24" s="3043"/>
      <c r="E24" s="3042">
        <v>1</v>
      </c>
      <c r="F24" s="3043"/>
      <c r="G24" s="3042">
        <v>1</v>
      </c>
      <c r="H24" s="3043"/>
      <c r="I24" s="3042">
        <v>1</v>
      </c>
      <c r="J24" s="3043"/>
      <c r="K24" s="3042">
        <v>1</v>
      </c>
      <c r="L24" s="3043"/>
      <c r="M24" s="3042">
        <v>1</v>
      </c>
      <c r="N24" s="3043"/>
      <c r="O24" s="3042">
        <v>1</v>
      </c>
      <c r="P24" s="3043"/>
      <c r="Q24" s="3042">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1586</v>
      </c>
      <c r="B1" s="1678"/>
      <c r="C1" s="1678"/>
      <c r="D1" s="1678"/>
      <c r="E1" s="1678"/>
    </row>
    <row r="2" spans="1:5" ht="78" customHeight="1">
      <c r="A2" s="305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51"/>
      <c r="C2" s="3051"/>
      <c r="D2" s="3051"/>
      <c r="E2" s="3051"/>
    </row>
    <row r="3" spans="1:5" ht="18">
      <c r="A3" s="3052" t="str">
        <f>IF(项目基本情况!B9="房地产市场价值","估价结果一览表（市场价值不需“结果表-1”）","估价结果一览表")</f>
        <v>估价结果一览表</v>
      </c>
      <c r="B3" s="3052"/>
      <c r="C3" s="3052"/>
      <c r="D3" s="3052"/>
      <c r="E3" s="3052"/>
    </row>
    <row r="4" spans="1:5" ht="19.5" thickBot="1">
      <c r="A4" s="1680"/>
      <c r="B4" s="3050" t="s">
        <v>1595</v>
      </c>
      <c r="C4" s="3050"/>
      <c r="D4" s="3050"/>
      <c r="E4" s="1680"/>
    </row>
    <row r="5" spans="1:5" ht="16.5" thickTop="1">
      <c r="A5" s="1678"/>
      <c r="B5" s="3048" t="s">
        <v>1587</v>
      </c>
      <c r="C5" s="1681" t="s">
        <v>1588</v>
      </c>
      <c r="D5" s="959">
        <f ca="1">结果表!H101</f>
        <v>23373</v>
      </c>
      <c r="E5" s="1678"/>
    </row>
    <row r="6" spans="1:5" ht="15.75">
      <c r="A6" s="1678"/>
      <c r="B6" s="3048"/>
      <c r="C6" s="1681" t="s">
        <v>1589</v>
      </c>
      <c r="D6" s="959" t="str">
        <f ca="1">NUMBERSTRING(INT(D5*10000),2)&amp;"元整"</f>
        <v>贰亿叁仟叁佰柒拾叁万元整</v>
      </c>
      <c r="E6" s="1678"/>
    </row>
    <row r="7" spans="1:5" ht="15.75">
      <c r="A7" s="1678"/>
      <c r="B7" s="3053"/>
      <c r="C7" s="1682" t="s">
        <v>1590</v>
      </c>
      <c r="D7" s="960">
        <f ca="1">结果表!H102</f>
        <v>28240</v>
      </c>
      <c r="E7" s="1678"/>
    </row>
    <row r="8" spans="1:5" ht="15.75">
      <c r="A8" s="1678"/>
      <c r="B8" s="3054" t="str">
        <f>结果表!E103</f>
        <v>2.估价师知悉的法定优先受偿款</v>
      </c>
      <c r="C8" s="1683" t="s">
        <v>1591</v>
      </c>
      <c r="D8" s="960">
        <f>结果表!H103</f>
        <v>0</v>
      </c>
      <c r="E8" s="1678"/>
    </row>
    <row r="9" spans="1:5" ht="15.75">
      <c r="A9" s="1678"/>
      <c r="B9" s="3056"/>
      <c r="C9" s="1681" t="s">
        <v>1589</v>
      </c>
      <c r="D9" s="959" t="str">
        <f>NUMBERSTRING(INT(D8*10000),2)&amp;"元整"</f>
        <v>零元整</v>
      </c>
      <c r="E9" s="1678"/>
    </row>
    <row r="10" spans="1:5" ht="15">
      <c r="A10" s="1678"/>
      <c r="B10" s="1684" t="s">
        <v>1594</v>
      </c>
      <c r="C10" s="1685" t="s">
        <v>1592</v>
      </c>
      <c r="D10" s="961">
        <f>结果表!H104</f>
        <v>0</v>
      </c>
      <c r="E10" s="1678"/>
    </row>
    <row r="11" spans="1:5" ht="15">
      <c r="A11" s="1678"/>
      <c r="B11" s="1684" t="s">
        <v>1596</v>
      </c>
      <c r="C11" s="1685" t="s">
        <v>1597</v>
      </c>
      <c r="D11" s="961">
        <f>结果表!H105</f>
        <v>0</v>
      </c>
      <c r="E11" s="1678"/>
    </row>
    <row r="12" spans="1:5" ht="15">
      <c r="A12" s="1678"/>
      <c r="B12" s="1684" t="s">
        <v>1598</v>
      </c>
      <c r="C12" s="1685" t="s">
        <v>1597</v>
      </c>
      <c r="D12" s="961">
        <f>结果表!H106</f>
        <v>0</v>
      </c>
      <c r="E12" s="1678"/>
    </row>
    <row r="13" spans="1:5" ht="15.75">
      <c r="A13" s="1678"/>
      <c r="B13" s="3047" t="str">
        <f>结果表!E107</f>
        <v>3.房地产抵押价值</v>
      </c>
      <c r="C13" s="1686" t="s">
        <v>1588</v>
      </c>
      <c r="D13" s="962">
        <f ca="1">结果表!H107</f>
        <v>23373</v>
      </c>
      <c r="E13" s="1678"/>
    </row>
    <row r="14" spans="1:5" ht="15.75">
      <c r="A14" s="1678"/>
      <c r="B14" s="3048"/>
      <c r="C14" s="1681" t="s">
        <v>1589</v>
      </c>
      <c r="D14" s="959" t="str">
        <f ca="1">NUMBERSTRING(INT(D13*10000),2)&amp;"元整"</f>
        <v>贰亿叁仟叁佰柒拾叁万元整</v>
      </c>
      <c r="E14" s="1678"/>
    </row>
    <row r="15" spans="1:5" ht="15">
      <c r="A15" s="1678"/>
      <c r="B15" s="3053"/>
      <c r="C15" s="1682" t="s">
        <v>1599</v>
      </c>
      <c r="D15" s="968">
        <f ca="1">结果表!H108</f>
        <v>28240</v>
      </c>
      <c r="E15" s="1678"/>
    </row>
    <row r="16" spans="1:5" ht="15">
      <c r="A16" s="1678"/>
      <c r="B16" s="3054" t="str">
        <f>结果表!E109</f>
        <v>——</v>
      </c>
      <c r="C16" s="1686" t="s">
        <v>1600</v>
      </c>
      <c r="D16" s="1687" t="str">
        <f>结果表!H109</f>
        <v>——</v>
      </c>
      <c r="E16" s="1678"/>
    </row>
    <row r="17" spans="1:5" ht="15.75">
      <c r="A17" s="1678"/>
      <c r="B17" s="3055"/>
      <c r="C17" s="1681" t="s">
        <v>1601</v>
      </c>
      <c r="D17" s="959" t="e">
        <f>NUMBERSTRING(INT(D16*10000),2)&amp;"元整"</f>
        <v>#VALUE!</v>
      </c>
      <c r="E17" s="1678"/>
    </row>
    <row r="18" spans="1:5" ht="15">
      <c r="A18" s="1678"/>
      <c r="B18" s="3056"/>
      <c r="C18" s="1682" t="s">
        <v>1590</v>
      </c>
      <c r="D18" s="968" t="str">
        <f>结果表!H110</f>
        <v>——</v>
      </c>
      <c r="E18" s="1678"/>
    </row>
    <row r="19" spans="1:5" ht="15.75">
      <c r="A19" s="1678"/>
      <c r="B19" s="3047" t="str">
        <f>结果表!E111</f>
        <v>——</v>
      </c>
      <c r="C19" s="1686" t="s">
        <v>1588</v>
      </c>
      <c r="D19" s="960" t="str">
        <f>结果表!H111</f>
        <v>——</v>
      </c>
      <c r="E19" s="1678"/>
    </row>
    <row r="20" spans="1:5" ht="15.75">
      <c r="A20" s="1678"/>
      <c r="B20" s="3048"/>
      <c r="C20" s="1681" t="s">
        <v>1601</v>
      </c>
      <c r="D20" s="959" t="e">
        <f>NUMBERSTRING(INT(D19*10000),2)&amp;"元整"</f>
        <v>#VALUE!</v>
      </c>
      <c r="E20" s="1678"/>
    </row>
    <row r="21" spans="1:5" ht="15.75" thickBot="1">
      <c r="A21" s="1678"/>
      <c r="B21" s="3049"/>
      <c r="C21" s="1688" t="s">
        <v>1599</v>
      </c>
      <c r="D21" s="969" t="str">
        <f>结果表!H112</f>
        <v>——</v>
      </c>
      <c r="E21" s="1678"/>
    </row>
    <row r="22" spans="1:5" ht="15" thickTop="1">
      <c r="A22" s="1678"/>
      <c r="B22" s="1689" t="s">
        <v>1602</v>
      </c>
      <c r="C22" s="1678"/>
      <c r="D22" s="1678"/>
      <c r="E22" s="1678"/>
    </row>
    <row r="23" spans="1:5">
      <c r="A23" s="1678"/>
      <c r="B23" s="1678"/>
      <c r="C23" s="1678"/>
      <c r="D23" s="1678"/>
      <c r="E23" s="1678"/>
    </row>
    <row r="24" spans="1:5" ht="18.75">
      <c r="A24" s="1690"/>
      <c r="B24" s="1691" t="s">
        <v>1593</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32548</v>
      </c>
      <c r="C2" s="2" t="s">
        <v>133</v>
      </c>
      <c r="D2" s="205"/>
      <c r="E2" s="205"/>
      <c r="F2" s="205"/>
      <c r="G2" s="205"/>
    </row>
    <row r="3" spans="1:7" s="206" customFormat="1" ht="18" customHeight="1" thickBot="1">
      <c r="A3" s="209" t="s">
        <v>85</v>
      </c>
      <c r="B3" s="210">
        <f ca="1">ROUND(B2*10000/'数据-汇总表'!E3,0)</f>
        <v>39325</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166</v>
      </c>
      <c r="D10" s="954">
        <f>'数据-汇总表'!E6</f>
        <v>8276.64</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166</v>
      </c>
      <c r="D19" s="958">
        <f>'数据-汇总表'!E3</f>
        <v>8276.64</v>
      </c>
      <c r="E19" s="217">
        <f>'数据-取费表'!B31</f>
        <v>200</v>
      </c>
      <c r="F19" s="237"/>
      <c r="G19" s="1" t="s">
        <v>1042</v>
      </c>
    </row>
    <row r="20" spans="1:7" s="220" customFormat="1" ht="13.5" customHeight="1">
      <c r="A20" s="885" t="s">
        <v>1025</v>
      </c>
      <c r="B20" s="216" t="s">
        <v>104</v>
      </c>
      <c r="C20" s="238">
        <f>ROUND((C5+C19)*F20,0)</f>
        <v>416</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2040</v>
      </c>
      <c r="D22" s="241">
        <f ca="1">C26</f>
        <v>1E-3</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2004</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16</v>
      </c>
      <c r="D24" s="244"/>
      <c r="E24" s="244"/>
      <c r="F24" s="245"/>
      <c r="G24" s="246" t="s">
        <v>109</v>
      </c>
    </row>
    <row r="25" spans="1:7" s="220" customFormat="1" ht="24">
      <c r="A25" s="888" t="s">
        <v>793</v>
      </c>
      <c r="B25" s="221" t="s">
        <v>1026</v>
      </c>
      <c r="C25" s="1265">
        <f ca="1">ROUND(IF('数据-取费表'!B22&lt;=1,C20*F22*'数据-取费表'!B23/2,C20*(POWER((1+F22),'数据-取费表'!B23/2)-1)),0)</f>
        <v>20</v>
      </c>
      <c r="D25" s="244"/>
      <c r="E25" s="247"/>
      <c r="F25" s="245"/>
      <c r="G25" s="248" t="s">
        <v>110</v>
      </c>
    </row>
    <row r="26" spans="1:7" s="220" customFormat="1">
      <c r="A26" s="888" t="s">
        <v>795</v>
      </c>
      <c r="B26" s="221" t="s">
        <v>1028</v>
      </c>
      <c r="C26" s="244">
        <f ca="1">ROUND(IF('数据-取费表'!B22&lt;=1,F21*F22*'数据-取费表'!B23/2,F21*(POWER((1+F22),'数据-取费表'!B23/2)-1)),4)</f>
        <v>1E-3</v>
      </c>
      <c r="D26" s="244"/>
      <c r="E26" s="247"/>
      <c r="F26" s="245"/>
      <c r="G26" s="249"/>
    </row>
    <row r="27" spans="1:7" s="220" customFormat="1" ht="24.75">
      <c r="A27" s="885" t="s">
        <v>787</v>
      </c>
      <c r="B27" s="250" t="s">
        <v>112</v>
      </c>
      <c r="C27" s="251">
        <f>C28</f>
        <v>4238</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4238</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29805</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2760</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2483</v>
      </c>
      <c r="D34" s="223"/>
      <c r="E34" s="226"/>
      <c r="F34" s="263">
        <f>IF('数据-取费表'!B24=0,1,'数据-取费表'!N16)</f>
        <v>1</v>
      </c>
      <c r="G34" s="225" t="s">
        <v>116</v>
      </c>
    </row>
    <row r="35" spans="1:7" ht="13.5" customHeight="1">
      <c r="A35" s="888" t="s">
        <v>796</v>
      </c>
      <c r="B35" s="221" t="s">
        <v>60</v>
      </c>
      <c r="C35" s="226">
        <f>ROUND(C34*F35,0)</f>
        <v>74</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166</v>
      </c>
      <c r="D37" s="223">
        <f>'数据-汇总表'!E3</f>
        <v>8276.64</v>
      </c>
      <c r="E37" s="255">
        <f>'数据-取费表'!B35</f>
        <v>200</v>
      </c>
      <c r="F37" s="265"/>
      <c r="G37" s="267" t="s">
        <v>119</v>
      </c>
    </row>
    <row r="38" spans="1:7" ht="13.5" customHeight="1">
      <c r="A38" s="888" t="s">
        <v>799</v>
      </c>
      <c r="B38" s="221" t="s">
        <v>63</v>
      </c>
      <c r="C38" s="226">
        <f>ROUND(C34*F38,0)</f>
        <v>37</v>
      </c>
      <c r="D38" s="226"/>
      <c r="E38" s="226"/>
      <c r="F38" s="265">
        <f>'数据-取费表'!B36</f>
        <v>1.4999999999999999E-2</v>
      </c>
      <c r="G38" s="225" t="s">
        <v>117</v>
      </c>
    </row>
    <row r="39" spans="1:7" s="220" customFormat="1" ht="13.5" customHeight="1">
      <c r="A39" s="885" t="s">
        <v>783</v>
      </c>
      <c r="B39" s="216" t="s">
        <v>104</v>
      </c>
      <c r="C39" s="238">
        <f>ROUND(C33*F20,0)</f>
        <v>55</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134</v>
      </c>
      <c r="D41" s="241">
        <f ca="1">C44</f>
        <v>1E-3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131</v>
      </c>
      <c r="D42" s="244"/>
      <c r="E42" s="244"/>
      <c r="F42" s="245"/>
      <c r="G42" s="3235" t="s">
        <v>121</v>
      </c>
    </row>
    <row r="43" spans="1:7" ht="13.5" customHeight="1">
      <c r="A43" s="888" t="s">
        <v>792</v>
      </c>
      <c r="B43" s="221" t="s">
        <v>1032</v>
      </c>
      <c r="C43" s="244">
        <f ca="1">ROUND(IF('数据-取费表'!B22&lt;=1,C39*F22*'数据-取费表'!B21/2,C39*(POWER((1+F22),'数据-取费表'!B21/2)-1)),0)</f>
        <v>3</v>
      </c>
      <c r="D43" s="244"/>
      <c r="E43" s="244"/>
      <c r="F43" s="245"/>
      <c r="G43" s="3236"/>
    </row>
    <row r="44" spans="1:7" ht="13.5" customHeight="1">
      <c r="A44" s="888" t="s">
        <v>793</v>
      </c>
      <c r="B44" s="221" t="s">
        <v>1034</v>
      </c>
      <c r="C44" s="244">
        <f ca="1">ROUND(IF('数据-取费表'!B22&lt;=1,C40*F22*'数据-取费表'!B21/2,C40*(POWER((1+F22),'数据-取费表'!B21/2)-1)),4)</f>
        <v>1E-3</v>
      </c>
      <c r="D44" s="244"/>
      <c r="E44" s="244"/>
      <c r="F44" s="245"/>
      <c r="G44" s="3237"/>
    </row>
    <row r="45" spans="1:7" s="220" customFormat="1" ht="13.5" customHeight="1">
      <c r="A45" s="885" t="s">
        <v>786</v>
      </c>
      <c r="B45" s="250" t="s">
        <v>112</v>
      </c>
      <c r="C45" s="251">
        <f>C46</f>
        <v>563</v>
      </c>
      <c r="D45" s="241">
        <f>C47</f>
        <v>4.0000000000000001E-3</v>
      </c>
      <c r="E45" s="242" t="s">
        <v>129</v>
      </c>
      <c r="F45" s="252"/>
      <c r="G45" s="253" t="s">
        <v>1040</v>
      </c>
    </row>
    <row r="46" spans="1:7" s="220" customFormat="1" ht="13.5" customHeight="1">
      <c r="A46" s="888" t="s">
        <v>794</v>
      </c>
      <c r="B46" s="254" t="s">
        <v>1033</v>
      </c>
      <c r="C46" s="255">
        <f>ROUND((C33+C39)*F27,0)</f>
        <v>563</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3810</v>
      </c>
      <c r="D49" s="238"/>
      <c r="E49" s="238"/>
      <c r="F49" s="270"/>
      <c r="G49" s="240" t="s">
        <v>1041</v>
      </c>
    </row>
    <row r="50" spans="1:7" s="264" customFormat="1" ht="24">
      <c r="A50" s="885" t="s">
        <v>789</v>
      </c>
      <c r="B50" s="216" t="s">
        <v>124</v>
      </c>
      <c r="C50" s="238"/>
      <c r="D50" s="238"/>
      <c r="E50" s="238"/>
      <c r="F50" s="270">
        <f>IF('数据-取费表'!B24=0,'数据-取费表'!N16,1)</f>
        <v>0.72</v>
      </c>
      <c r="G50" s="253" t="s">
        <v>125</v>
      </c>
    </row>
    <row r="51" spans="1:7" ht="16.5" customHeight="1">
      <c r="A51" s="885" t="s">
        <v>790</v>
      </c>
      <c r="B51" s="216" t="s">
        <v>132</v>
      </c>
      <c r="C51" s="238">
        <f ca="1">ROUND(C49*F50,0)</f>
        <v>2743</v>
      </c>
      <c r="D51" s="238"/>
      <c r="E51" s="238"/>
      <c r="F51" s="270"/>
      <c r="G51" s="240" t="s">
        <v>64</v>
      </c>
    </row>
    <row r="52" spans="1:7" s="214" customFormat="1" ht="16.5" thickBot="1">
      <c r="A52" s="271" t="s">
        <v>65</v>
      </c>
      <c r="B52" s="272"/>
      <c r="C52" s="273">
        <f ca="1">C31+C51</f>
        <v>32548</v>
      </c>
      <c r="D52" s="272"/>
      <c r="E52" s="272"/>
      <c r="F52" s="272"/>
      <c r="G52" s="274"/>
    </row>
    <row r="55" spans="1:7" ht="15">
      <c r="B55" s="276" t="s">
        <v>66</v>
      </c>
      <c r="C55" s="277"/>
    </row>
    <row r="56" spans="1:7">
      <c r="B56" s="279" t="s">
        <v>67</v>
      </c>
      <c r="C56" s="280">
        <f ca="1">ROUND(C51/C52,3)</f>
        <v>8.4000000000000005E-2</v>
      </c>
    </row>
    <row r="57" spans="1:7">
      <c r="B57" s="279" t="s">
        <v>68</v>
      </c>
      <c r="C57" s="281">
        <f ca="1">1-C56</f>
        <v>0.91600000000000004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381" t="s">
        <v>156</v>
      </c>
      <c r="B1" s="3381"/>
      <c r="C1" s="3381"/>
      <c r="D1" s="3381"/>
      <c r="E1" s="3381"/>
      <c r="F1" s="338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382" t="s">
        <v>169</v>
      </c>
      <c r="B2" s="3382"/>
      <c r="C2" s="3382"/>
      <c r="D2" s="3382"/>
      <c r="E2" s="3382"/>
      <c r="F2" s="338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383"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384"/>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381" t="s">
        <v>839</v>
      </c>
      <c r="B1" s="3381"/>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44076</v>
      </c>
      <c r="D1" s="1472" t="s">
        <v>1268</v>
      </c>
      <c r="E1" s="1467">
        <f>'数据-取费表'!B22</f>
        <v>2</v>
      </c>
      <c r="F1" s="1472" t="s">
        <v>1269</v>
      </c>
      <c r="G1" s="1468">
        <f ca="1">INDIRECT("d"&amp;$K$1)/100</f>
        <v>4.7500000000000001E-2</v>
      </c>
      <c r="H1" s="1472" t="s">
        <v>1299</v>
      </c>
      <c r="I1" s="1468">
        <f ca="1">F4/100</f>
        <v>1.4999999999999999E-2</v>
      </c>
      <c r="J1" s="1473">
        <f>IF(C1&gt;C13,0,MATCH(C1,C$13:C$100,-1))+IF(SUMIF(C13:C100,C1,D13:D100)=0,13,12)</f>
        <v>13</v>
      </c>
      <c r="K1" s="1473">
        <f>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1338</v>
      </c>
      <c r="E1" s="1514" t="s">
        <v>1342</v>
      </c>
      <c r="F1" s="1515" t="s">
        <v>1346</v>
      </c>
    </row>
    <row r="2" spans="1:13" ht="20.25">
      <c r="A2" s="1521" t="s">
        <v>1339</v>
      </c>
    </row>
    <row r="3" spans="1:13" ht="16.5">
      <c r="A3" s="1522" t="s">
        <v>1340</v>
      </c>
    </row>
    <row r="4" spans="1:13" ht="14.25">
      <c r="A4" s="1512" t="s">
        <v>1341</v>
      </c>
      <c r="B4" s="1517" t="s">
        <v>1343</v>
      </c>
      <c r="C4" s="1518"/>
      <c r="D4" s="1519"/>
      <c r="E4" s="1517" t="s">
        <v>27</v>
      </c>
      <c r="F4" s="1518"/>
      <c r="G4" s="1519"/>
      <c r="H4" s="1517" t="s">
        <v>1344</v>
      </c>
      <c r="I4" s="1518"/>
      <c r="J4" s="1519"/>
      <c r="K4" s="1517" t="s">
        <v>6</v>
      </c>
      <c r="L4" s="1518"/>
      <c r="M4" s="1519"/>
    </row>
    <row r="5" spans="1:13" ht="14.25">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057" t="str">
        <f>IF(项目基本情况!B9="房地产市场价值","估价结果一览表","结果表-2")</f>
        <v>结果表-2</v>
      </c>
      <c r="B1" s="3057"/>
      <c r="C1" s="3057"/>
      <c r="D1" s="3057"/>
      <c r="E1" s="3057"/>
      <c r="F1" s="3057"/>
      <c r="G1" s="3057"/>
      <c r="H1" s="3057"/>
      <c r="I1" s="3057"/>
    </row>
    <row r="2" spans="1:9" ht="30" customHeight="1" thickTop="1">
      <c r="A2" s="3058" t="s">
        <v>1606</v>
      </c>
      <c r="B2" s="3058" t="s">
        <v>1607</v>
      </c>
      <c r="C2" s="3058" t="s">
        <v>1608</v>
      </c>
      <c r="D2" s="3058" t="str">
        <f>结果表!D116</f>
        <v>出让国有建设用地使用权价值</v>
      </c>
      <c r="E2" s="3058"/>
      <c r="F2" s="3058" t="str">
        <f>结果表!F116</f>
        <v>在建建筑物价值</v>
      </c>
      <c r="G2" s="3058"/>
      <c r="H2" s="3058" t="str">
        <f>IF(项目基本情况!B9="房地产市场价值","房地产市场价值","房地产价值")</f>
        <v>房地产价值</v>
      </c>
      <c r="I2" s="3058"/>
    </row>
    <row r="3" spans="1:9" ht="15">
      <c r="A3" s="3059"/>
      <c r="B3" s="3059"/>
      <c r="C3" s="3059"/>
      <c r="D3" s="963" t="s">
        <v>1603</v>
      </c>
      <c r="E3" s="963" t="s">
        <v>1609</v>
      </c>
      <c r="F3" s="963" t="s">
        <v>1603</v>
      </c>
      <c r="G3" s="963" t="s">
        <v>1604</v>
      </c>
      <c r="H3" s="963" t="s">
        <v>1603</v>
      </c>
      <c r="I3" s="963" t="s">
        <v>1604</v>
      </c>
    </row>
    <row r="4" spans="1:9" ht="15">
      <c r="A4" s="1692" t="str">
        <f>项目基本情况!S2</f>
        <v>北京市房地产</v>
      </c>
      <c r="B4" s="963">
        <f>项目基本情况!C17</f>
        <v>8276.64</v>
      </c>
      <c r="C4" s="963">
        <f>项目基本情况!C18</f>
        <v>927.85</v>
      </c>
      <c r="D4" s="963">
        <f ca="1">结果表!D118</f>
        <v>21269</v>
      </c>
      <c r="E4" s="963">
        <f ca="1">结果表!E118</f>
        <v>25698</v>
      </c>
      <c r="F4" s="963">
        <f ca="1">结果表!F118</f>
        <v>2104</v>
      </c>
      <c r="G4" s="963">
        <f ca="1">结果表!G118</f>
        <v>2542</v>
      </c>
      <c r="H4" s="963">
        <f ca="1">结果表!H118</f>
        <v>23373</v>
      </c>
      <c r="I4" s="963">
        <f ca="1">结果表!I118</f>
        <v>28240</v>
      </c>
    </row>
    <row r="5" spans="1:9" ht="30" customHeight="1">
      <c r="A5" s="3059" t="s">
        <v>1605</v>
      </c>
      <c r="B5" s="3059"/>
      <c r="C5" s="3059"/>
      <c r="D5" s="3060" t="str">
        <f ca="1">结果表!D119</f>
        <v>贰亿壹仟贰佰陆拾玖万元整</v>
      </c>
      <c r="E5" s="3060"/>
      <c r="F5" s="3060" t="str">
        <f ca="1">结果表!F119</f>
        <v>贰仟壹佰零肆万元整</v>
      </c>
      <c r="G5" s="3060"/>
      <c r="H5" s="3060" t="str">
        <f ca="1">结果表!H119</f>
        <v>贰亿叁仟叁佰柒拾叁万元整</v>
      </c>
      <c r="I5" s="3060"/>
    </row>
    <row r="6" spans="1:9" ht="15.75">
      <c r="A6" s="3061" t="str">
        <f>结果表!A120</f>
        <v>估价师知悉的法定优先受偿款</v>
      </c>
      <c r="B6" s="3061"/>
      <c r="C6" s="3061"/>
      <c r="D6" s="3061">
        <f>结果表!D120</f>
        <v>0</v>
      </c>
      <c r="E6" s="3061"/>
      <c r="F6" s="3061"/>
      <c r="G6" s="3061"/>
      <c r="H6" s="3061"/>
      <c r="I6" s="3061"/>
    </row>
    <row r="7" spans="1:9" ht="15">
      <c r="A7" s="3059" t="s">
        <v>1605</v>
      </c>
      <c r="B7" s="3059"/>
      <c r="C7" s="3059"/>
      <c r="D7" s="3062" t="str">
        <f>结果表!D121</f>
        <v>零元整</v>
      </c>
      <c r="E7" s="3063"/>
      <c r="F7" s="3063"/>
      <c r="G7" s="3063"/>
      <c r="H7" s="3063"/>
      <c r="I7" s="3064"/>
    </row>
    <row r="8" spans="1:9" ht="15.75">
      <c r="A8" s="3061" t="str">
        <f>结果表!A122</f>
        <v>房地产抵押价值</v>
      </c>
      <c r="B8" s="3061"/>
      <c r="C8" s="3061"/>
      <c r="D8" s="3061">
        <f ca="1">结果表!D122</f>
        <v>23373</v>
      </c>
      <c r="E8" s="3061"/>
      <c r="F8" s="3061"/>
      <c r="G8" s="3061"/>
      <c r="H8" s="3061"/>
      <c r="I8" s="3061"/>
    </row>
    <row r="9" spans="1:9" ht="15">
      <c r="A9" s="3059" t="s">
        <v>1605</v>
      </c>
      <c r="B9" s="3059"/>
      <c r="C9" s="3059"/>
      <c r="D9" s="3060" t="str">
        <f ca="1">结果表!D123</f>
        <v>贰亿叁仟叁佰柒拾叁万元整</v>
      </c>
      <c r="E9" s="3060"/>
      <c r="F9" s="3060"/>
      <c r="G9" s="3060"/>
      <c r="H9" s="3060"/>
      <c r="I9" s="3060"/>
    </row>
    <row r="10" spans="1:9" ht="15.75">
      <c r="A10" s="3061" t="str">
        <f>结果表!A124</f>
        <v/>
      </c>
      <c r="B10" s="3061"/>
      <c r="C10" s="3061"/>
      <c r="D10" s="3061" t="str">
        <f>结果表!D124</f>
        <v>——</v>
      </c>
      <c r="E10" s="3061"/>
      <c r="F10" s="3061"/>
      <c r="G10" s="3061"/>
      <c r="H10" s="3061"/>
      <c r="I10" s="3061"/>
    </row>
    <row r="11" spans="1:9" ht="15">
      <c r="A11" s="3059" t="s">
        <v>1605</v>
      </c>
      <c r="B11" s="3059"/>
      <c r="C11" s="3059"/>
      <c r="D11" s="3060" t="e">
        <f>结果表!D125</f>
        <v>#VALUE!</v>
      </c>
      <c r="E11" s="3060"/>
      <c r="F11" s="3060"/>
      <c r="G11" s="3060"/>
      <c r="H11" s="3060"/>
      <c r="I11" s="3060"/>
    </row>
    <row r="12" spans="1:9" ht="15.75">
      <c r="A12" s="3061" t="str">
        <f>结果表!A126</f>
        <v/>
      </c>
      <c r="B12" s="3061"/>
      <c r="C12" s="3061"/>
      <c r="D12" s="3061" t="str">
        <f>结果表!D126</f>
        <v>——</v>
      </c>
      <c r="E12" s="3061"/>
      <c r="F12" s="3061"/>
      <c r="G12" s="3061"/>
      <c r="H12" s="3061"/>
      <c r="I12" s="3061"/>
    </row>
    <row r="13" spans="1:9" ht="15.75" thickBot="1">
      <c r="A13" s="3065" t="s">
        <v>1605</v>
      </c>
      <c r="B13" s="3065"/>
      <c r="C13" s="3065"/>
      <c r="D13" s="3066" t="e">
        <f>结果表!D127</f>
        <v>#VALUE!</v>
      </c>
      <c r="E13" s="3066"/>
      <c r="F13" s="3066"/>
      <c r="G13" s="3066"/>
      <c r="H13" s="3066"/>
      <c r="I13" s="3066"/>
    </row>
    <row r="14" spans="1:9" ht="15" thickTop="1">
      <c r="A14" s="3067" t="s">
        <v>1610</v>
      </c>
      <c r="B14" s="3067"/>
      <c r="C14" s="3067"/>
      <c r="D14" s="3067"/>
      <c r="E14" s="3067"/>
      <c r="F14" s="3067"/>
      <c r="G14" s="3067"/>
      <c r="H14" s="3067"/>
      <c r="I14" s="3067"/>
    </row>
    <row r="16" spans="1:9" ht="18.75">
      <c r="A16" s="1693" t="s">
        <v>1593</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068" t="s">
        <v>1627</v>
      </c>
      <c r="B1" s="3068"/>
      <c r="C1" s="3068"/>
      <c r="D1" s="3068"/>
    </row>
    <row r="2" spans="1:4" ht="18">
      <c r="A2" s="3069" t="s">
        <v>1611</v>
      </c>
      <c r="B2" s="3069"/>
      <c r="C2" s="3069"/>
      <c r="D2" s="3069"/>
    </row>
    <row r="3" spans="1:4" ht="18.75">
      <c r="A3" s="1696" t="s">
        <v>1612</v>
      </c>
      <c r="B3" s="1696" t="s">
        <v>1613</v>
      </c>
      <c r="C3" s="1696" t="s">
        <v>1614</v>
      </c>
      <c r="D3" s="1696" t="s">
        <v>1615</v>
      </c>
    </row>
    <row r="4" spans="1:4" ht="56.25" customHeight="1">
      <c r="A4" s="1697">
        <f>项目基本情况!B4</f>
        <v>0</v>
      </c>
      <c r="B4" s="1698">
        <f>项目基本情况!C4</f>
        <v>0</v>
      </c>
      <c r="C4" s="1699"/>
      <c r="D4" s="1700" t="s">
        <v>1616</v>
      </c>
    </row>
    <row r="5" spans="1:4" ht="56.25" customHeight="1">
      <c r="A5" s="1697">
        <f>项目基本情况!D4</f>
        <v>0</v>
      </c>
      <c r="B5" s="1698">
        <f>项目基本情况!E4</f>
        <v>0</v>
      </c>
      <c r="C5" s="1701"/>
      <c r="D5" s="1700" t="s">
        <v>1616</v>
      </c>
    </row>
    <row r="6" spans="1:4" ht="18">
      <c r="A6" s="3069" t="s">
        <v>1617</v>
      </c>
      <c r="B6" s="3069"/>
      <c r="C6" s="3069"/>
      <c r="D6" s="3069"/>
    </row>
    <row r="7" spans="1:4" ht="18.75">
      <c r="A7" s="1696" t="s">
        <v>1612</v>
      </c>
      <c r="B7" s="1698" t="s">
        <v>1618</v>
      </c>
      <c r="C7" s="1696" t="s">
        <v>1614</v>
      </c>
      <c r="D7" s="1696" t="s">
        <v>1615</v>
      </c>
    </row>
    <row r="8" spans="1:4" ht="56.25" customHeight="1">
      <c r="A8" s="1702" t="s">
        <v>837</v>
      </c>
      <c r="B8" s="1702" t="s">
        <v>1</v>
      </c>
      <c r="C8" s="1699"/>
      <c r="D8" s="1700" t="s">
        <v>1616</v>
      </c>
    </row>
    <row r="9" spans="1:4">
      <c r="A9" s="684"/>
      <c r="B9" s="684"/>
      <c r="C9" s="684"/>
      <c r="D9" s="684"/>
    </row>
    <row r="10" spans="1:4" ht="18.75">
      <c r="A10" s="1703" t="s">
        <v>1619</v>
      </c>
      <c r="B10" s="684"/>
      <c r="C10" s="684"/>
      <c r="D10" s="684"/>
    </row>
    <row r="11" spans="1:4" ht="30" customHeight="1">
      <c r="A11" s="3070" t="s">
        <v>1620</v>
      </c>
      <c r="B11" s="3071"/>
      <c r="C11" s="3071"/>
      <c r="D11" s="3071"/>
    </row>
    <row r="12" spans="1:4" ht="15.75">
      <c r="A12" s="307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72"/>
      <c r="C12" s="3072"/>
      <c r="D12" s="3072"/>
    </row>
    <row r="13" spans="1:4" ht="30" customHeight="1">
      <c r="A13" s="307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72"/>
      <c r="C13" s="3072"/>
      <c r="D13" s="3072"/>
    </row>
    <row r="14" spans="1:4" ht="15.75" customHeight="1">
      <c r="A14" s="3071" t="str">
        <f>IF(项目基本情况!B8="抵押","4.本次评估估价师所知悉的法定优先受偿款情况说明如下：","——")</f>
        <v>4.本次评估估价师所知悉的法定优先受偿款情况说明如下：</v>
      </c>
      <c r="B14" s="3072"/>
      <c r="C14" s="3072"/>
      <c r="D14" s="3072"/>
    </row>
    <row r="15" spans="1:4" ht="42" customHeight="1">
      <c r="A15" s="3071"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71"/>
      <c r="C15" s="3071"/>
      <c r="D15" s="3071"/>
    </row>
    <row r="16" spans="1:4" ht="30" customHeight="1">
      <c r="A16" s="3074" t="s">
        <v>1621</v>
      </c>
      <c r="B16" s="3074"/>
      <c r="C16" s="3074"/>
      <c r="D16" s="3074"/>
    </row>
    <row r="17" spans="1:4" ht="144" customHeight="1">
      <c r="A17" s="3074" t="s">
        <v>1622</v>
      </c>
      <c r="B17" s="3074"/>
      <c r="C17" s="3074"/>
      <c r="D17" s="3074"/>
    </row>
    <row r="18" spans="1:4" ht="15.75" customHeight="1">
      <c r="A18" s="3071" t="str">
        <f>IF(项目基本情况!B8="抵押",结果表!K120,"——")</f>
        <v>故，本次评估不存在估价师知悉的法定优先受偿款</v>
      </c>
      <c r="B18" s="3071"/>
      <c r="C18" s="3071"/>
      <c r="D18" s="3071"/>
    </row>
    <row r="19" spans="1:4" ht="46.5" customHeight="1">
      <c r="A19" s="307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71"/>
      <c r="C19" s="3071"/>
      <c r="D19" s="3071"/>
    </row>
    <row r="20" spans="1:4" ht="57.75" customHeight="1">
      <c r="A20" s="307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71"/>
      <c r="C20" s="3071"/>
      <c r="D20" s="3071"/>
    </row>
    <row r="21" spans="1:4" ht="57.75" customHeight="1">
      <c r="A21" s="30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75"/>
      <c r="C21" s="3075"/>
      <c r="D21" s="3075"/>
    </row>
    <row r="22" spans="1:4" ht="18.75" customHeight="1">
      <c r="A22" s="3076" t="s">
        <v>1623</v>
      </c>
      <c r="B22" s="3076"/>
      <c r="C22" s="3076"/>
      <c r="D22" s="3076"/>
    </row>
    <row r="23" spans="1:4">
      <c r="A23" s="1704"/>
      <c r="B23" s="1676"/>
      <c r="C23" s="1676"/>
      <c r="D23" s="1676"/>
    </row>
    <row r="24" spans="1:4">
      <c r="A24" s="1704"/>
      <c r="B24" s="1676"/>
      <c r="C24" s="1676"/>
      <c r="D24" s="1676"/>
    </row>
    <row r="25" spans="1:4" ht="18.75">
      <c r="A25" s="1705" t="s">
        <v>1624</v>
      </c>
    </row>
    <row r="26" spans="1:4" ht="18">
      <c r="A26" s="1674"/>
    </row>
    <row r="27" spans="1:4" ht="18.75">
      <c r="A27" s="1674" t="s">
        <v>1625</v>
      </c>
    </row>
    <row r="30" spans="1:4" ht="18.75">
      <c r="D30" s="1705" t="s">
        <v>1626</v>
      </c>
    </row>
    <row r="31" spans="1:4" ht="13.5" customHeight="1">
      <c r="C31" s="3073">
        <v>42551</v>
      </c>
      <c r="D31" s="307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1628</v>
      </c>
    </row>
    <row r="3" spans="1:7">
      <c r="A3" s="1710" t="s">
        <v>82</v>
      </c>
      <c r="B3" s="1694" t="s">
        <v>1629</v>
      </c>
      <c r="G3" s="1711"/>
    </row>
    <row r="4" spans="1:7">
      <c r="G4" s="1711"/>
    </row>
    <row r="5" spans="1:7">
      <c r="A5" s="1713" t="s">
        <v>73</v>
      </c>
      <c r="B5" s="1694" t="s">
        <v>1630</v>
      </c>
      <c r="G5" s="1711"/>
    </row>
    <row r="6" spans="1:7">
      <c r="G6" s="1711"/>
    </row>
    <row r="7" spans="1:7">
      <c r="A7" s="1714" t="s">
        <v>135</v>
      </c>
      <c r="B7" s="1694" t="s">
        <v>1631</v>
      </c>
      <c r="G7" s="1711"/>
    </row>
    <row r="8" spans="1:7">
      <c r="G8" s="1711"/>
    </row>
    <row r="9" spans="1:7">
      <c r="A9" s="1715" t="s">
        <v>74</v>
      </c>
      <c r="B9" s="1694" t="s">
        <v>1632</v>
      </c>
    </row>
    <row r="11" spans="1:7">
      <c r="A11" s="1716" t="s">
        <v>75</v>
      </c>
      <c r="B11" s="1717" t="s">
        <v>72</v>
      </c>
    </row>
    <row r="13" spans="1:7">
      <c r="A13" s="1718" t="s">
        <v>1633</v>
      </c>
    </row>
    <row r="15" spans="1:7" ht="13.5">
      <c r="A15" s="3082" t="s">
        <v>1634</v>
      </c>
      <c r="B15" s="3077" t="s">
        <v>136</v>
      </c>
      <c r="C15" s="3078"/>
    </row>
    <row r="16" spans="1:7" ht="13.5">
      <c r="A16" s="3083"/>
      <c r="B16" s="3077" t="s">
        <v>69</v>
      </c>
      <c r="C16" s="3078"/>
    </row>
    <row r="17" spans="1:3" ht="13.5">
      <c r="A17" s="3083"/>
      <c r="B17" s="3080" t="s">
        <v>1635</v>
      </c>
      <c r="C17" s="1719" t="s">
        <v>1634</v>
      </c>
    </row>
    <row r="18" spans="1:3" ht="13.5">
      <c r="A18" s="3083"/>
      <c r="B18" s="3080"/>
      <c r="C18" s="1719" t="s">
        <v>1636</v>
      </c>
    </row>
    <row r="19" spans="1:3" ht="13.5">
      <c r="A19" s="3083"/>
      <c r="B19" s="3080"/>
      <c r="C19" s="1719" t="s">
        <v>1637</v>
      </c>
    </row>
    <row r="20" spans="1:3" ht="13.5">
      <c r="A20" s="3084"/>
      <c r="B20" s="3079" t="s">
        <v>1638</v>
      </c>
      <c r="C20" s="3078"/>
    </row>
    <row r="21" spans="1:3" ht="13.5">
      <c r="A21" s="1720" t="s">
        <v>1639</v>
      </c>
      <c r="B21" s="1721"/>
      <c r="C21" s="1722"/>
    </row>
    <row r="22" spans="1:3" ht="13.5">
      <c r="A22" s="3081" t="s">
        <v>1640</v>
      </c>
      <c r="B22" s="3079" t="s">
        <v>1641</v>
      </c>
      <c r="C22" s="3078"/>
    </row>
    <row r="23" spans="1:3" ht="13.5">
      <c r="A23" s="3081"/>
      <c r="B23" s="3079" t="s">
        <v>1642</v>
      </c>
      <c r="C23" s="3078"/>
    </row>
    <row r="24" spans="1:3" ht="13.5">
      <c r="A24" s="3081"/>
      <c r="B24" s="3079" t="s">
        <v>1643</v>
      </c>
      <c r="C24" s="3078"/>
    </row>
    <row r="25" spans="1:3" ht="13.5">
      <c r="A25" s="3081"/>
      <c r="B25" s="3080" t="s">
        <v>1644</v>
      </c>
      <c r="C25" s="1719" t="s">
        <v>1645</v>
      </c>
    </row>
    <row r="26" spans="1:3" ht="13.5">
      <c r="A26" s="3081"/>
      <c r="B26" s="3080"/>
      <c r="C26" s="1719" t="s">
        <v>1646</v>
      </c>
    </row>
    <row r="27" spans="1:3" ht="13.5">
      <c r="A27" s="3081"/>
      <c r="B27" s="3080"/>
      <c r="C27" s="1719" t="s">
        <v>1647</v>
      </c>
    </row>
    <row r="28" spans="1:3" ht="13.5">
      <c r="A28" s="3081"/>
      <c r="B28" s="3080"/>
      <c r="C28" s="1719" t="s">
        <v>1648</v>
      </c>
    </row>
    <row r="29" spans="1:3" ht="13.5">
      <c r="A29" s="3081"/>
      <c r="B29" s="3080"/>
      <c r="C29" s="1719" t="s">
        <v>1649</v>
      </c>
    </row>
    <row r="30" spans="1:3" ht="13.5">
      <c r="A30" s="3081"/>
      <c r="B30" s="3080"/>
      <c r="C30" s="1719" t="s">
        <v>1650</v>
      </c>
    </row>
    <row r="31" spans="1:3" ht="13.5">
      <c r="A31" s="3081"/>
      <c r="B31" s="3080"/>
      <c r="C31" s="1719" t="s">
        <v>1651</v>
      </c>
    </row>
    <row r="32" spans="1:3" ht="13.5">
      <c r="A32" s="3081"/>
      <c r="B32" s="3080"/>
      <c r="C32" s="1719" t="s">
        <v>1652</v>
      </c>
    </row>
    <row r="33" spans="1:3" ht="13.5">
      <c r="A33" s="3081"/>
      <c r="B33" s="3080"/>
      <c r="C33" s="1719" t="s">
        <v>1653</v>
      </c>
    </row>
    <row r="34" spans="1:3">
      <c r="A34" s="1723" t="s">
        <v>76</v>
      </c>
    </row>
    <row r="37" spans="1:3">
      <c r="A37" s="1723" t="s">
        <v>1654</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2" customWidth="1"/>
    <col min="2" max="2" width="38.625" style="2562" customWidth="1"/>
    <col min="3" max="3" width="26" style="2562" customWidth="1"/>
    <col min="4" max="4" width="35" style="2562" hidden="1" customWidth="1"/>
    <col min="5" max="5" width="30.125" style="2562" customWidth="1"/>
    <col min="6" max="6" width="35.5" style="2562" customWidth="1"/>
    <col min="7" max="7" width="31" style="2562" customWidth="1"/>
    <col min="8" max="8" width="37.5" style="2562" hidden="1" customWidth="1"/>
    <col min="9" max="16384" width="22.625" style="2562"/>
  </cols>
  <sheetData>
    <row r="1" spans="1:8" ht="24" customHeight="1">
      <c r="A1" s="2561"/>
      <c r="B1" s="2561"/>
      <c r="C1" s="2561"/>
      <c r="D1" s="2561"/>
      <c r="E1" s="2561"/>
      <c r="F1" s="2561"/>
      <c r="G1" s="2561"/>
      <c r="H1" s="2561"/>
    </row>
    <row r="2" spans="1:8" ht="24" customHeight="1">
      <c r="A2" s="2563" t="s">
        <v>2883</v>
      </c>
      <c r="B2" s="2564">
        <f ca="1">TODAY()</f>
        <v>44076</v>
      </c>
      <c r="C2" s="2565" t="s">
        <v>2884</v>
      </c>
      <c r="D2" s="2565"/>
      <c r="E2" s="2565"/>
      <c r="F2" s="2561"/>
      <c r="G2" s="2561"/>
      <c r="H2" s="2561"/>
    </row>
    <row r="3" spans="1:8" ht="24" customHeight="1">
      <c r="A3" s="2566" t="s">
        <v>2885</v>
      </c>
      <c r="B3" s="2567" t="s">
        <v>2886</v>
      </c>
      <c r="C3" s="2567" t="s">
        <v>2887</v>
      </c>
      <c r="D3" s="2568" t="s">
        <v>2888</v>
      </c>
      <c r="E3" s="2569" t="s">
        <v>2889</v>
      </c>
      <c r="F3" s="1474" t="s">
        <v>2890</v>
      </c>
      <c r="G3" s="2567" t="s">
        <v>2887</v>
      </c>
      <c r="H3" s="2568" t="s">
        <v>2891</v>
      </c>
    </row>
    <row r="4" spans="1:8" ht="24" customHeight="1">
      <c r="A4" s="1474" t="s">
        <v>2892</v>
      </c>
      <c r="B4" s="1474">
        <f ca="1">IF(C4&lt;B2,"已过期",1119970066)</f>
        <v>1119970066</v>
      </c>
      <c r="C4" s="2570">
        <v>44876</v>
      </c>
      <c r="D4" s="2571" t="str">
        <f ca="1">A4&amp;"（注册号："&amp;B4&amp;"）"</f>
        <v>梁津（注册号：1119970066）</v>
      </c>
      <c r="E4" s="2572" t="s">
        <v>2892</v>
      </c>
      <c r="F4" s="1474">
        <f ca="1">IF(G4&lt;B2,"已过期",96010014)</f>
        <v>96010014</v>
      </c>
      <c r="G4" s="2573">
        <v>47118</v>
      </c>
      <c r="H4" s="2574" t="str">
        <f ca="1">E4&amp;"（注册号："&amp;F4&amp;"）"</f>
        <v>梁津（注册号：96010014）</v>
      </c>
    </row>
    <row r="5" spans="1:8" ht="24" customHeight="1">
      <c r="A5" s="1474" t="s">
        <v>2893</v>
      </c>
      <c r="B5" s="1474">
        <f ca="1">IF(C5&lt;B2,"已过期",1119970111)</f>
        <v>1119970111</v>
      </c>
      <c r="C5" s="2570">
        <v>44876</v>
      </c>
      <c r="D5" s="2571" t="str">
        <f t="shared" ref="D5:D15" ca="1" si="0">A5&amp;"（注册号："&amp;B5&amp;"）"</f>
        <v>叶凌（注册号：1119970111）</v>
      </c>
      <c r="E5" s="2572" t="s">
        <v>2893</v>
      </c>
      <c r="F5" s="1474">
        <f ca="1">IF(G5&lt;B2,"已过期",94010078)</f>
        <v>94010078</v>
      </c>
      <c r="G5" s="2573">
        <v>46387</v>
      </c>
      <c r="H5" s="2574" t="str">
        <f t="shared" ref="H5:H16" ca="1" si="1">E5&amp;"（注册号："&amp;F5&amp;"）"</f>
        <v>叶凌（注册号：94010078）</v>
      </c>
    </row>
    <row r="6" spans="1:8" ht="24" customHeight="1">
      <c r="A6" s="1474" t="s">
        <v>2894</v>
      </c>
      <c r="B6" s="1474">
        <f ca="1">IF(C6&lt;B2,"已过期",1120050019)</f>
        <v>1120050019</v>
      </c>
      <c r="C6" s="2570">
        <v>44395</v>
      </c>
      <c r="D6" s="2571" t="str">
        <f t="shared" ca="1" si="0"/>
        <v>王鹏（注册号：1120050019）</v>
      </c>
      <c r="E6" s="2572" t="s">
        <v>2894</v>
      </c>
      <c r="F6" s="1474">
        <f ca="1">IF(G6&lt;B2,"已过期",2002110030)</f>
        <v>2002110030</v>
      </c>
      <c r="G6" s="2573">
        <v>46387</v>
      </c>
      <c r="H6" s="2574" t="str">
        <f t="shared" ca="1" si="1"/>
        <v>王鹏（注册号：2002110030）</v>
      </c>
    </row>
    <row r="7" spans="1:8" ht="24" customHeight="1">
      <c r="A7" s="1474" t="s">
        <v>2895</v>
      </c>
      <c r="B7" s="1474">
        <f ca="1">IF(C7&lt;B2,"已过期",1120000080)</f>
        <v>1120000080</v>
      </c>
      <c r="C7" s="2570">
        <v>44876</v>
      </c>
      <c r="D7" s="2571" t="str">
        <f t="shared" ca="1" si="0"/>
        <v>欧红伟（注册号：1120000080）</v>
      </c>
      <c r="E7" s="2572" t="s">
        <v>2895</v>
      </c>
      <c r="F7" s="1474">
        <f ca="1">IF(G7&lt;B2,"已过期",2000110082)</f>
        <v>2000110082</v>
      </c>
      <c r="G7" s="2573">
        <v>46387</v>
      </c>
      <c r="H7" s="2574" t="str">
        <f t="shared" ca="1" si="1"/>
        <v>欧红伟（注册号：2000110082）</v>
      </c>
    </row>
    <row r="8" spans="1:8" ht="24" customHeight="1">
      <c r="A8" s="1474" t="s">
        <v>2896</v>
      </c>
      <c r="B8" s="1474">
        <f ca="1">IF(C8&lt;B2,"已过期",1419970001)</f>
        <v>1419970001</v>
      </c>
      <c r="C8" s="2570">
        <v>44899</v>
      </c>
      <c r="D8" s="2571" t="str">
        <f t="shared" ca="1" si="0"/>
        <v>吴薇（注册号：1419970001）</v>
      </c>
      <c r="E8" s="2572" t="s">
        <v>2896</v>
      </c>
      <c r="F8" s="1474">
        <f ca="1">IF(G8&lt;B2,"已过期",2002110125)</f>
        <v>2002110125</v>
      </c>
      <c r="G8" s="2573">
        <v>47118</v>
      </c>
      <c r="H8" s="2574" t="str">
        <f t="shared" ca="1" si="1"/>
        <v>吴薇（注册号：2002110125）</v>
      </c>
    </row>
    <row r="9" spans="1:8" ht="24" customHeight="1">
      <c r="A9" s="1474" t="s">
        <v>2897</v>
      </c>
      <c r="B9" s="1474">
        <f ca="1">IF(C9&lt;B2,"已过期",1120060040)</f>
        <v>1120060040</v>
      </c>
      <c r="C9" s="2575">
        <v>44554</v>
      </c>
      <c r="D9" s="2571" t="str">
        <f t="shared" ca="1" si="0"/>
        <v>陈颖（注册号：1120060040）</v>
      </c>
      <c r="E9" s="2572" t="s">
        <v>2897</v>
      </c>
      <c r="F9" s="1474">
        <f ca="1">IF(G9&lt;B2,"已过期",2004110096)</f>
        <v>2004110096</v>
      </c>
      <c r="G9" s="2573">
        <v>47118</v>
      </c>
      <c r="H9" s="2574" t="str">
        <f t="shared" ca="1" si="1"/>
        <v>陈颖（注册号：2004110096）</v>
      </c>
    </row>
    <row r="10" spans="1:8" ht="24" customHeight="1">
      <c r="A10" s="1474" t="s">
        <v>2898</v>
      </c>
      <c r="B10" s="1474">
        <f ca="1">IF(C10&lt;B2,"已过期",1120100036)</f>
        <v>1120100036</v>
      </c>
      <c r="C10" s="2575">
        <v>44675</v>
      </c>
      <c r="D10" s="2571" t="str">
        <f t="shared" ca="1" si="0"/>
        <v>崔锴（注册号：1120100036）</v>
      </c>
      <c r="E10" s="2572" t="s">
        <v>2898</v>
      </c>
      <c r="F10" s="1474">
        <f ca="1">IF(G10&lt;B2,"已过期",2010110070)</f>
        <v>2010110070</v>
      </c>
      <c r="G10" s="2573">
        <v>47907</v>
      </c>
      <c r="H10" s="2574" t="str">
        <f t="shared" ca="1" si="1"/>
        <v>崔锴（注册号：2010110070）</v>
      </c>
    </row>
    <row r="11" spans="1:8" ht="24" customHeight="1">
      <c r="A11" s="1474" t="s">
        <v>2899</v>
      </c>
      <c r="B11" s="1474">
        <f ca="1">IF(C11&lt;B2,"已过期",1120070131)</f>
        <v>1120070131</v>
      </c>
      <c r="C11" s="2570">
        <v>44849</v>
      </c>
      <c r="D11" s="2571" t="str">
        <f t="shared" ca="1" si="0"/>
        <v>郑燚（注册号：1120070131）</v>
      </c>
      <c r="E11" s="2572" t="s">
        <v>2899</v>
      </c>
      <c r="F11" s="1474">
        <f ca="1">IF(G11&lt;B2,"已过期",2014110011)</f>
        <v>2014110011</v>
      </c>
      <c r="G11" s="2573">
        <v>49302</v>
      </c>
      <c r="H11" s="2574" t="str">
        <f t="shared" ca="1" si="1"/>
        <v>郑燚（注册号：2014110011）</v>
      </c>
    </row>
    <row r="12" spans="1:8" ht="24" customHeight="1">
      <c r="A12" s="1474" t="s">
        <v>2900</v>
      </c>
      <c r="B12" s="1474">
        <f ca="1">IF(C12&lt;B2,"已过期",1120040230)</f>
        <v>1120040230</v>
      </c>
      <c r="C12" s="2575">
        <v>44864</v>
      </c>
      <c r="D12" s="2571" t="str">
        <f t="shared" ca="1" si="0"/>
        <v>苏海（注册号：1120040230）</v>
      </c>
      <c r="E12" s="2572" t="s">
        <v>2900</v>
      </c>
      <c r="F12" s="1474">
        <f ca="1">IF(G12&lt;B2,"已过期",98030020)</f>
        <v>98030020</v>
      </c>
      <c r="G12" s="2573">
        <v>47118</v>
      </c>
      <c r="H12" s="2574" t="str">
        <f t="shared" ca="1" si="1"/>
        <v>苏海（注册号：98030020）</v>
      </c>
    </row>
    <row r="13" spans="1:8" ht="24" customHeight="1">
      <c r="A13" s="1474" t="s">
        <v>2901</v>
      </c>
      <c r="B13" s="1474">
        <f ca="1">IF(C13&lt;B2,"已过期",1120020033)</f>
        <v>1120020033</v>
      </c>
      <c r="C13" s="2570">
        <v>44339</v>
      </c>
      <c r="D13" s="2571" t="str">
        <f t="shared" ca="1" si="0"/>
        <v>刘敬东（注册号：1120020033）</v>
      </c>
      <c r="E13" s="2572" t="s">
        <v>2901</v>
      </c>
      <c r="F13" s="1474">
        <f ca="1">IF(G13&lt;B2,"已过期",2000110137)</f>
        <v>2000110137</v>
      </c>
      <c r="G13" s="2573">
        <v>46387</v>
      </c>
      <c r="H13" s="2574" t="str">
        <f t="shared" ca="1" si="1"/>
        <v>刘敬东（注册号：2000110137）</v>
      </c>
    </row>
    <row r="14" spans="1:8" ht="24" customHeight="1">
      <c r="A14" s="1474" t="s">
        <v>2902</v>
      </c>
      <c r="B14" s="1474">
        <f ca="1">IF(C14&lt;B2,"已过期",1119980106)</f>
        <v>1119980106</v>
      </c>
      <c r="C14" s="2575">
        <v>44969</v>
      </c>
      <c r="D14" s="2571" t="str">
        <f t="shared" ca="1" si="0"/>
        <v>刘俊财（注册号：1119980106）</v>
      </c>
      <c r="E14" s="2572" t="s">
        <v>2902</v>
      </c>
      <c r="F14" s="1474">
        <f ca="1">IF(G14&lt;B2,"已过期",96010063)</f>
        <v>96010063</v>
      </c>
      <c r="G14" s="2573">
        <v>47483</v>
      </c>
      <c r="H14" s="2574" t="str">
        <f t="shared" ca="1" si="1"/>
        <v>刘俊财（注册号：96010063）</v>
      </c>
    </row>
    <row r="15" spans="1:8" ht="24" customHeight="1">
      <c r="A15" s="1474"/>
      <c r="B15" s="1474"/>
      <c r="C15" s="2575"/>
      <c r="D15" s="2571" t="str">
        <f t="shared" si="0"/>
        <v>（注册号：）</v>
      </c>
      <c r="E15" s="2572" t="s">
        <v>2903</v>
      </c>
      <c r="F15" s="1474">
        <f ca="1">IF(G15&lt;B2,"已过期",2011110090)</f>
        <v>2011110090</v>
      </c>
      <c r="G15" s="2573">
        <v>48302</v>
      </c>
      <c r="H15" s="2574" t="str">
        <f t="shared" ca="1" si="1"/>
        <v>赵雯（注册号：2011110090）</v>
      </c>
    </row>
    <row r="16" spans="1:8" s="2577" customFormat="1" ht="24" customHeight="1">
      <c r="A16" s="1474"/>
      <c r="B16" s="1474"/>
      <c r="C16" s="1474"/>
      <c r="D16" s="2571" t="str">
        <f>A16&amp;"（注册号："&amp;B16&amp;"）"</f>
        <v>（注册号：）</v>
      </c>
      <c r="E16" s="2572"/>
      <c r="F16" s="1474"/>
      <c r="G16" s="1474"/>
      <c r="H16" s="2576" t="str">
        <f t="shared" si="1"/>
        <v>（注册号：）</v>
      </c>
    </row>
    <row r="17" spans="1:8" ht="24" customHeight="1">
      <c r="A17" s="3085" t="s">
        <v>2904</v>
      </c>
      <c r="B17" s="3085"/>
      <c r="C17" s="3085"/>
      <c r="D17" s="3085"/>
      <c r="E17" s="3085"/>
      <c r="F17" s="3085"/>
      <c r="G17" s="3085"/>
      <c r="H17" s="3085"/>
    </row>
    <row r="18" spans="1:8" ht="24" customHeight="1">
      <c r="A18" s="3086" t="s">
        <v>2905</v>
      </c>
      <c r="B18" s="3086"/>
      <c r="C18" s="3086"/>
      <c r="D18" s="2568"/>
      <c r="E18" s="3087" t="s">
        <v>2906</v>
      </c>
      <c r="F18" s="3086"/>
      <c r="G18" s="3086"/>
    </row>
    <row r="19" spans="1:8" s="2579" customFormat="1" ht="24" customHeight="1">
      <c r="A19" s="2578" t="s">
        <v>2907</v>
      </c>
      <c r="B19" s="2567" t="s">
        <v>2908</v>
      </c>
      <c r="C19" s="2567" t="s">
        <v>2887</v>
      </c>
      <c r="D19" s="2568"/>
      <c r="E19" s="2572" t="s">
        <v>2907</v>
      </c>
      <c r="F19" s="2567" t="s">
        <v>2908</v>
      </c>
      <c r="G19" s="2567" t="s">
        <v>2887</v>
      </c>
    </row>
    <row r="20" spans="1:8" s="2579" customFormat="1" ht="24" customHeight="1">
      <c r="A20" s="2580" t="s">
        <v>2909</v>
      </c>
      <c r="B20" s="2580" t="s">
        <v>2910</v>
      </c>
      <c r="C20" s="2573">
        <v>44820</v>
      </c>
      <c r="D20" s="2581"/>
      <c r="E20" s="2582" t="s">
        <v>2911</v>
      </c>
      <c r="F20" s="2580" t="s">
        <v>2912</v>
      </c>
      <c r="G20" s="2583">
        <v>44377</v>
      </c>
    </row>
    <row r="21" spans="1:8" s="2579" customFormat="1" ht="24" customHeight="1">
      <c r="A21" s="2580"/>
      <c r="B21" s="2580"/>
      <c r="C21" s="2584"/>
      <c r="D21" s="2585"/>
      <c r="E21" s="2582" t="s">
        <v>2913</v>
      </c>
      <c r="F21" s="2586" t="s">
        <v>2914</v>
      </c>
      <c r="G21" s="2587">
        <v>44012</v>
      </c>
    </row>
    <row r="22" spans="1:8" ht="24" customHeight="1">
      <c r="C22" s="2588"/>
      <c r="D22" s="2588"/>
      <c r="E22" s="2589"/>
      <c r="F22" s="2590"/>
      <c r="G22" s="2591" t="s">
        <v>2915</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152</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2020-09-02T07:15:18Z</dcterms:modified>
</cp:coreProperties>
</file>